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.ad.epa.gov\ord\CIN\Users\main\F-K\JSZABO\Net MyDocuments\Extramural Management\Pegasus EC Decon (WA 69)\Manuscript (Gune)\"/>
    </mc:Choice>
  </mc:AlternateContent>
  <bookViews>
    <workbookView xWindow="120" yWindow="15" windowWidth="15195" windowHeight="8190" activeTab="1"/>
  </bookViews>
  <sheets>
    <sheet name="Water Quality Parameters" sheetId="1" r:id="rId1"/>
    <sheet name="B. globigii Results" sheetId="2" r:id="rId2"/>
  </sheets>
  <calcPr calcId="171027"/>
</workbook>
</file>

<file path=xl/calcChain.xml><?xml version="1.0" encoding="utf-8"?>
<calcChain xmlns="http://schemas.openxmlformats.org/spreadsheetml/2006/main">
  <c r="D11" i="2" l="1"/>
  <c r="D16" i="2"/>
  <c r="D21" i="2"/>
  <c r="E26" i="2" l="1"/>
  <c r="E31" i="2"/>
  <c r="E23" i="2" l="1"/>
  <c r="E22" i="2"/>
  <c r="H22" i="2" s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K18" i="1"/>
  <c r="L18" i="1"/>
  <c r="J18" i="1"/>
  <c r="I18" i="1"/>
  <c r="H18" i="1"/>
  <c r="G18" i="1"/>
  <c r="F18" i="1"/>
  <c r="E18" i="1"/>
  <c r="D18" i="1"/>
  <c r="K17" i="1"/>
  <c r="L17" i="1"/>
  <c r="J17" i="1"/>
  <c r="I17" i="1"/>
  <c r="H17" i="1"/>
  <c r="G17" i="1"/>
  <c r="F17" i="1"/>
  <c r="E17" i="1"/>
  <c r="D17" i="1"/>
  <c r="K14" i="1"/>
  <c r="L14" i="1"/>
  <c r="J14" i="1"/>
  <c r="I14" i="1"/>
  <c r="H14" i="1"/>
  <c r="G14" i="1"/>
  <c r="F14" i="1"/>
  <c r="E14" i="1"/>
  <c r="D14" i="1"/>
  <c r="K13" i="1"/>
  <c r="L13" i="1"/>
  <c r="J13" i="1"/>
  <c r="I13" i="1"/>
  <c r="H13" i="1"/>
  <c r="G13" i="1"/>
  <c r="F13" i="1"/>
  <c r="E13" i="1"/>
  <c r="D13" i="1"/>
  <c r="E10" i="1"/>
  <c r="F10" i="1"/>
  <c r="G10" i="1"/>
  <c r="H10" i="1"/>
  <c r="I10" i="1"/>
  <c r="J10" i="1"/>
  <c r="L10" i="1"/>
  <c r="K10" i="1"/>
  <c r="E9" i="1"/>
  <c r="F9" i="1"/>
  <c r="G9" i="1"/>
  <c r="H9" i="1"/>
  <c r="I9" i="1"/>
  <c r="J9" i="1"/>
  <c r="L9" i="1"/>
  <c r="K9" i="1"/>
  <c r="D10" i="1"/>
  <c r="D9" i="1"/>
  <c r="E17" i="2"/>
  <c r="H32" i="2"/>
  <c r="I32" i="2" s="1"/>
  <c r="E34" i="2"/>
  <c r="E33" i="2"/>
  <c r="H33" i="2" s="1"/>
  <c r="I33" i="2" s="1"/>
  <c r="E32" i="2"/>
  <c r="E29" i="2"/>
  <c r="E28" i="2"/>
  <c r="E27" i="2"/>
  <c r="H27" i="2" s="1"/>
  <c r="I27" i="2" s="1"/>
  <c r="H23" i="2"/>
  <c r="D24" i="2"/>
  <c r="D23" i="2"/>
  <c r="D22" i="2"/>
  <c r="E18" i="2"/>
  <c r="H18" i="2" s="1"/>
  <c r="D19" i="2"/>
  <c r="D18" i="2"/>
  <c r="G18" i="2" s="1"/>
  <c r="I18" i="2" s="1"/>
  <c r="D17" i="2"/>
  <c r="E13" i="2"/>
  <c r="H13" i="2" s="1"/>
  <c r="D14" i="2"/>
  <c r="D13" i="2"/>
  <c r="E12" i="2"/>
  <c r="H12" i="2" s="1"/>
  <c r="D12" i="2"/>
  <c r="G12" i="2" l="1"/>
  <c r="I12" i="2" s="1"/>
  <c r="G22" i="2"/>
  <c r="I22" i="2" s="1"/>
  <c r="H28" i="2"/>
  <c r="I28" i="2" s="1"/>
  <c r="G23" i="2"/>
  <c r="I23" i="2" s="1"/>
  <c r="G17" i="2"/>
  <c r="G13" i="2"/>
  <c r="I13" i="2" s="1"/>
  <c r="H17" i="2"/>
  <c r="I17" i="2" l="1"/>
</calcChain>
</file>

<file path=xl/sharedStrings.xml><?xml version="1.0" encoding="utf-8"?>
<sst xmlns="http://schemas.openxmlformats.org/spreadsheetml/2006/main" count="163" uniqueCount="54">
  <si>
    <t>CMF (clean), UV (clean)</t>
  </si>
  <si>
    <t>CMF (50% block), UV (clean)</t>
  </si>
  <si>
    <t>CMF (100% block), UV (clean)</t>
  </si>
  <si>
    <t>UV only (70% clean)</t>
  </si>
  <si>
    <t>Free Chlorine</t>
  </si>
  <si>
    <t>pH</t>
  </si>
  <si>
    <t>Iron</t>
  </si>
  <si>
    <t>Manganese</t>
  </si>
  <si>
    <t>Total Dissolved Solids (TDS)</t>
  </si>
  <si>
    <t>Hardness</t>
  </si>
  <si>
    <t>Color</t>
  </si>
  <si>
    <t>Turbidity</t>
  </si>
  <si>
    <t>T0</t>
  </si>
  <si>
    <t>T10</t>
  </si>
  <si>
    <t>T20 Dup</t>
  </si>
  <si>
    <t>CMF Inf</t>
  </si>
  <si>
    <t>UV Eff</t>
  </si>
  <si>
    <t>-</t>
  </si>
  <si>
    <t xml:space="preserve">T20 </t>
  </si>
  <si>
    <t>LRV</t>
  </si>
  <si>
    <t>CMF</t>
  </si>
  <si>
    <t>UV</t>
  </si>
  <si>
    <t>Total</t>
  </si>
  <si>
    <t>B. globiggi Conc./100 mL</t>
  </si>
  <si>
    <t>CMF Eff/UV Inf</t>
  </si>
  <si>
    <t>UV only (100 % clean)</t>
  </si>
  <si>
    <t>UV only (100% clean)</t>
  </si>
  <si>
    <t>CMF (100% block), UV (100% clean)</t>
  </si>
  <si>
    <t>UV Tansmission (UVT) %</t>
  </si>
  <si>
    <t>ND</t>
  </si>
  <si>
    <t>Date</t>
  </si>
  <si>
    <t>Treatments</t>
  </si>
  <si>
    <t>R1</t>
  </si>
  <si>
    <t>R2</t>
  </si>
  <si>
    <t>Average</t>
  </si>
  <si>
    <t>STD</t>
  </si>
  <si>
    <t>CMF (clean), UV (100% clean)</t>
  </si>
  <si>
    <t>CMF (50% block), UV (100% clean)</t>
  </si>
  <si>
    <t>UV only (70% )</t>
  </si>
  <si>
    <t>T0 represents the measured stock concentration for each test.</t>
  </si>
  <si>
    <t>Charged Membrane Filter</t>
  </si>
  <si>
    <t>Standard Deviation</t>
  </si>
  <si>
    <t>Ultraviolet</t>
  </si>
  <si>
    <t>R</t>
  </si>
  <si>
    <t>Replicate (R1=replicate 1, R2=Replicate 2)</t>
  </si>
  <si>
    <t>No Data</t>
  </si>
  <si>
    <t>Log Reduction Value</t>
  </si>
  <si>
    <t>T</t>
  </si>
  <si>
    <t>Time (T0=Time zero, T10= 10 min, etc)</t>
  </si>
  <si>
    <t>(-)</t>
  </si>
  <si>
    <t>Inf</t>
  </si>
  <si>
    <t>Influent</t>
  </si>
  <si>
    <t xml:space="preserve">Eff </t>
  </si>
  <si>
    <t>Effluent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</si>
</sst>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textRotation="90" wrapText="1"/>
    </xf>
    <xf numFmtId="0" fontId="0" fillId="0" borderId="5" xfId="0" applyBorder="1"/>
    <xf numFmtId="0" fontId="0" fillId="0" borderId="0" xfId="0" applyBorder="1"/>
    <xf numFmtId="0" fontId="0" fillId="0" borderId="0" xfId="0" applyBorder="1" applyAlignment="1"/>
    <xf numFmtId="0" fontId="0" fillId="0" borderId="6" xfId="0" applyBorder="1" applyAlignment="1"/>
    <xf numFmtId="11" fontId="0" fillId="0" borderId="5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5" xfId="0" applyBorder="1" applyAlignment="1"/>
    <xf numFmtId="2" fontId="0" fillId="0" borderId="0" xfId="0" applyNumberFormat="1"/>
    <xf numFmtId="11" fontId="0" fillId="0" borderId="0" xfId="0" applyNumberFormat="1"/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B5"/>
    </sheetView>
  </sheetViews>
  <sheetFormatPr defaultRowHeight="15" x14ac:dyDescent="0.25"/>
  <cols>
    <col min="1" max="1" width="9.7109375" bestFit="1" customWidth="1"/>
    <col min="2" max="2" width="18.7109375" customWidth="1"/>
    <col min="3" max="3" width="9" customWidth="1"/>
    <col min="4" max="4" width="6.7109375" bestFit="1" customWidth="1"/>
    <col min="5" max="5" width="8.28515625" customWidth="1"/>
    <col min="6" max="6" width="9.5703125" customWidth="1"/>
    <col min="7" max="8" width="7.7109375" bestFit="1" customWidth="1"/>
    <col min="9" max="9" width="5.140625" customWidth="1"/>
    <col min="10" max="10" width="5.28515625" customWidth="1"/>
    <col min="11" max="11" width="5.85546875" customWidth="1"/>
    <col min="12" max="12" width="6.7109375" bestFit="1" customWidth="1"/>
  </cols>
  <sheetData>
    <row r="1" spans="1:12" ht="30" x14ac:dyDescent="0.25">
      <c r="A1" s="42" t="s">
        <v>20</v>
      </c>
      <c r="B1" s="43" t="s">
        <v>40</v>
      </c>
    </row>
    <row r="2" spans="1:12" x14ac:dyDescent="0.25">
      <c r="A2" s="42" t="s">
        <v>35</v>
      </c>
      <c r="B2" s="42" t="s">
        <v>41</v>
      </c>
    </row>
    <row r="3" spans="1:12" x14ac:dyDescent="0.25">
      <c r="A3" s="42" t="s">
        <v>21</v>
      </c>
      <c r="B3" s="42" t="s">
        <v>42</v>
      </c>
    </row>
    <row r="4" spans="1:12" x14ac:dyDescent="0.25">
      <c r="A4" s="42" t="s">
        <v>43</v>
      </c>
      <c r="B4" s="42" t="s">
        <v>44</v>
      </c>
    </row>
    <row r="5" spans="1:12" x14ac:dyDescent="0.25">
      <c r="A5" s="42" t="s">
        <v>29</v>
      </c>
      <c r="B5" s="42" t="s">
        <v>45</v>
      </c>
    </row>
    <row r="6" spans="1:12" ht="135.75" x14ac:dyDescent="0.25">
      <c r="A6" t="s">
        <v>30</v>
      </c>
      <c r="B6" t="s">
        <v>31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28</v>
      </c>
    </row>
    <row r="7" spans="1:12" ht="30" x14ac:dyDescent="0.25">
      <c r="A7" s="36">
        <v>41101</v>
      </c>
      <c r="B7" s="1" t="s">
        <v>0</v>
      </c>
      <c r="C7" s="1" t="s">
        <v>32</v>
      </c>
      <c r="D7">
        <v>0.01</v>
      </c>
      <c r="E7">
        <v>8.0500000000000007</v>
      </c>
      <c r="F7" t="s">
        <v>29</v>
      </c>
      <c r="G7" t="s">
        <v>29</v>
      </c>
      <c r="I7">
        <v>136</v>
      </c>
      <c r="J7">
        <v>8</v>
      </c>
      <c r="K7" s="33">
        <v>0.6</v>
      </c>
      <c r="L7">
        <v>100</v>
      </c>
    </row>
    <row r="8" spans="1:12" x14ac:dyDescent="0.25">
      <c r="A8" s="36"/>
      <c r="B8" s="1"/>
      <c r="C8" s="1" t="s">
        <v>33</v>
      </c>
      <c r="D8">
        <v>0.01</v>
      </c>
      <c r="E8">
        <v>7.93</v>
      </c>
      <c r="F8" t="s">
        <v>29</v>
      </c>
      <c r="G8" t="s">
        <v>29</v>
      </c>
      <c r="I8">
        <v>140</v>
      </c>
      <c r="J8">
        <v>8</v>
      </c>
      <c r="K8">
        <v>0.61</v>
      </c>
      <c r="L8">
        <v>100</v>
      </c>
    </row>
    <row r="9" spans="1:12" x14ac:dyDescent="0.25">
      <c r="A9" s="36"/>
      <c r="B9" s="1" t="s">
        <v>34</v>
      </c>
      <c r="C9" s="1"/>
      <c r="D9">
        <f>AVERAGE(D7:D8)</f>
        <v>0.01</v>
      </c>
      <c r="E9">
        <f t="shared" ref="E9:K9" si="0">AVERAGE(E7:E8)</f>
        <v>7.99</v>
      </c>
      <c r="F9" t="e">
        <f t="shared" si="0"/>
        <v>#DIV/0!</v>
      </c>
      <c r="G9" t="e">
        <f t="shared" si="0"/>
        <v>#DIV/0!</v>
      </c>
      <c r="H9" t="e">
        <f t="shared" si="0"/>
        <v>#DIV/0!</v>
      </c>
      <c r="I9">
        <f t="shared" si="0"/>
        <v>138</v>
      </c>
      <c r="J9">
        <f t="shared" si="0"/>
        <v>8</v>
      </c>
      <c r="K9">
        <f t="shared" si="0"/>
        <v>0.60499999999999998</v>
      </c>
      <c r="L9">
        <f>AVERAGE(L7:L8)</f>
        <v>100</v>
      </c>
    </row>
    <row r="10" spans="1:12" x14ac:dyDescent="0.25">
      <c r="A10" s="36"/>
      <c r="B10" s="1" t="s">
        <v>35</v>
      </c>
      <c r="C10" s="1"/>
      <c r="D10" s="37">
        <f>STDEV(D7:D8)</f>
        <v>0</v>
      </c>
      <c r="E10" s="37">
        <f t="shared" ref="E10:K10" si="1">STDEV(E7:E8)</f>
        <v>8.4852813742386402E-2</v>
      </c>
      <c r="F10" s="37" t="e">
        <f t="shared" si="1"/>
        <v>#DIV/0!</v>
      </c>
      <c r="G10" s="37" t="e">
        <f t="shared" si="1"/>
        <v>#DIV/0!</v>
      </c>
      <c r="H10" s="37" t="e">
        <f t="shared" si="1"/>
        <v>#DIV/0!</v>
      </c>
      <c r="I10" s="37">
        <f t="shared" si="1"/>
        <v>2.8284271247461903</v>
      </c>
      <c r="J10" s="37">
        <f t="shared" si="1"/>
        <v>0</v>
      </c>
      <c r="K10" s="37">
        <f t="shared" si="1"/>
        <v>7.0710678118654814E-3</v>
      </c>
      <c r="L10" s="37">
        <f>STDEV(L7:L8)</f>
        <v>0</v>
      </c>
    </row>
    <row r="11" spans="1:12" ht="30" x14ac:dyDescent="0.25">
      <c r="A11" s="36">
        <v>41162</v>
      </c>
      <c r="B11" s="1" t="s">
        <v>1</v>
      </c>
      <c r="C11" s="1" t="s">
        <v>32</v>
      </c>
      <c r="D11">
        <v>0.03</v>
      </c>
      <c r="E11">
        <v>7.95</v>
      </c>
      <c r="F11">
        <v>37.630000000000003</v>
      </c>
      <c r="G11">
        <v>1.5569999999999999</v>
      </c>
      <c r="H11">
        <v>320</v>
      </c>
      <c r="I11">
        <v>140</v>
      </c>
      <c r="J11">
        <v>17</v>
      </c>
      <c r="K11">
        <v>0.63</v>
      </c>
      <c r="L11">
        <v>99.2</v>
      </c>
    </row>
    <row r="12" spans="1:12" x14ac:dyDescent="0.25">
      <c r="A12" s="36"/>
      <c r="B12" s="1"/>
      <c r="C12" s="1" t="s">
        <v>33</v>
      </c>
      <c r="D12">
        <v>0.05</v>
      </c>
      <c r="E12">
        <v>8.15</v>
      </c>
      <c r="F12">
        <v>17.309999999999999</v>
      </c>
      <c r="G12">
        <v>0</v>
      </c>
      <c r="H12">
        <v>308.39999999999998</v>
      </c>
      <c r="I12">
        <v>140</v>
      </c>
      <c r="J12">
        <v>16</v>
      </c>
      <c r="K12">
        <v>0.73</v>
      </c>
      <c r="L12">
        <v>99.5</v>
      </c>
    </row>
    <row r="13" spans="1:12" x14ac:dyDescent="0.25">
      <c r="A13" s="36"/>
      <c r="B13" s="1" t="s">
        <v>34</v>
      </c>
      <c r="C13" s="1"/>
      <c r="D13">
        <f>AVERAGE(D11:D12)</f>
        <v>0.04</v>
      </c>
      <c r="E13">
        <f t="shared" ref="E13" si="2">AVERAGE(E11:E12)</f>
        <v>8.0500000000000007</v>
      </c>
      <c r="F13">
        <f t="shared" ref="F13" si="3">AVERAGE(F11:F12)</f>
        <v>27.47</v>
      </c>
      <c r="G13">
        <f t="shared" ref="G13" si="4">AVERAGE(G11:G12)</f>
        <v>0.77849999999999997</v>
      </c>
      <c r="H13">
        <f t="shared" ref="H13" si="5">AVERAGE(H11:H12)</f>
        <v>314.2</v>
      </c>
      <c r="I13">
        <f t="shared" ref="I13" si="6">AVERAGE(I11:I12)</f>
        <v>140</v>
      </c>
      <c r="J13">
        <f t="shared" ref="J13" si="7">AVERAGE(J11:J12)</f>
        <v>16.5</v>
      </c>
      <c r="K13">
        <f t="shared" ref="K13" si="8">AVERAGE(K11:K12)</f>
        <v>0.67999999999999994</v>
      </c>
      <c r="L13">
        <f t="shared" ref="L13" si="9">AVERAGE(L11:L12)</f>
        <v>99.35</v>
      </c>
    </row>
    <row r="14" spans="1:12" x14ac:dyDescent="0.25">
      <c r="A14" s="36"/>
      <c r="B14" s="1" t="s">
        <v>35</v>
      </c>
      <c r="C14" s="1"/>
      <c r="D14" s="37">
        <f>STDEV(D11:D12)</f>
        <v>1.4142135623730954E-2</v>
      </c>
      <c r="E14" s="37">
        <f t="shared" ref="E14:K14" si="10">STDEV(E11:E12)</f>
        <v>0.14142135623730964</v>
      </c>
      <c r="F14" s="37">
        <f t="shared" si="10"/>
        <v>14.368409793710661</v>
      </c>
      <c r="G14" s="37">
        <f t="shared" si="10"/>
        <v>1.1009652583074545</v>
      </c>
      <c r="H14" s="37">
        <f t="shared" si="10"/>
        <v>8.2024386617639671</v>
      </c>
      <c r="I14" s="37">
        <f t="shared" si="10"/>
        <v>0</v>
      </c>
      <c r="J14" s="37">
        <f t="shared" si="10"/>
        <v>0.70710678118654757</v>
      </c>
      <c r="K14" s="37">
        <f t="shared" si="10"/>
        <v>7.0710678118654738E-2</v>
      </c>
      <c r="L14" s="37">
        <f>STDEV(L11:L12)</f>
        <v>0.21213203435596226</v>
      </c>
    </row>
    <row r="15" spans="1:12" ht="30" x14ac:dyDescent="0.25">
      <c r="A15" s="36">
        <v>41123</v>
      </c>
      <c r="B15" s="1" t="s">
        <v>2</v>
      </c>
      <c r="C15" s="1" t="s">
        <v>32</v>
      </c>
      <c r="D15">
        <v>0.03</v>
      </c>
      <c r="E15">
        <v>8.19</v>
      </c>
      <c r="F15">
        <v>155.69999999999999</v>
      </c>
      <c r="G15">
        <v>1.2749999999999999</v>
      </c>
      <c r="H15">
        <v>303.60000000000002</v>
      </c>
      <c r="I15">
        <v>160</v>
      </c>
      <c r="J15">
        <v>14</v>
      </c>
      <c r="K15">
        <v>0.64</v>
      </c>
      <c r="L15">
        <v>98</v>
      </c>
    </row>
    <row r="16" spans="1:12" x14ac:dyDescent="0.25">
      <c r="A16" s="36"/>
      <c r="B16" s="1"/>
      <c r="C16" s="1" t="s">
        <v>33</v>
      </c>
      <c r="D16">
        <v>0.02</v>
      </c>
      <c r="E16">
        <v>8.15</v>
      </c>
      <c r="F16">
        <v>148.5</v>
      </c>
      <c r="G16">
        <v>2.1890000000000001</v>
      </c>
      <c r="H16">
        <v>296.8</v>
      </c>
      <c r="I16">
        <v>160</v>
      </c>
      <c r="J16">
        <v>11</v>
      </c>
      <c r="K16">
        <v>0.66</v>
      </c>
      <c r="L16">
        <v>99.1</v>
      </c>
    </row>
    <row r="17" spans="1:12" x14ac:dyDescent="0.25">
      <c r="A17" s="36"/>
      <c r="B17" s="1" t="s">
        <v>34</v>
      </c>
      <c r="C17" s="1"/>
      <c r="D17">
        <f>AVERAGE(D15:D16)</f>
        <v>2.5000000000000001E-2</v>
      </c>
      <c r="E17">
        <f t="shared" ref="E17" si="11">AVERAGE(E15:E16)</f>
        <v>8.17</v>
      </c>
      <c r="F17">
        <f t="shared" ref="F17" si="12">AVERAGE(F15:F16)</f>
        <v>152.1</v>
      </c>
      <c r="G17">
        <f t="shared" ref="G17" si="13">AVERAGE(G15:G16)</f>
        <v>1.732</v>
      </c>
      <c r="H17">
        <f t="shared" ref="H17" si="14">AVERAGE(H15:H16)</f>
        <v>300.20000000000005</v>
      </c>
      <c r="I17">
        <f t="shared" ref="I17" si="15">AVERAGE(I15:I16)</f>
        <v>160</v>
      </c>
      <c r="J17">
        <f t="shared" ref="J17" si="16">AVERAGE(J15:J16)</f>
        <v>12.5</v>
      </c>
      <c r="K17">
        <f t="shared" ref="K17" si="17">AVERAGE(K15:K16)</f>
        <v>0.65</v>
      </c>
      <c r="L17">
        <f t="shared" ref="L17" si="18">AVERAGE(L15:L16)</f>
        <v>98.55</v>
      </c>
    </row>
    <row r="18" spans="1:12" x14ac:dyDescent="0.25">
      <c r="A18" s="36"/>
      <c r="B18" s="1" t="s">
        <v>35</v>
      </c>
      <c r="C18" s="1"/>
      <c r="D18" s="37">
        <f>STDEV(D15:D16)</f>
        <v>7.0710678118654537E-3</v>
      </c>
      <c r="E18" s="37">
        <f t="shared" ref="E18:K18" si="19">STDEV(E15:E16)</f>
        <v>2.8284271247461298E-2</v>
      </c>
      <c r="F18" s="37">
        <f t="shared" si="19"/>
        <v>5.0911688245431339</v>
      </c>
      <c r="G18" s="37">
        <f t="shared" si="19"/>
        <v>0.64629559800450487</v>
      </c>
      <c r="H18" s="37">
        <f t="shared" si="19"/>
        <v>4.8083261120685314</v>
      </c>
      <c r="I18" s="37">
        <f t="shared" si="19"/>
        <v>0</v>
      </c>
      <c r="J18" s="37">
        <f t="shared" si="19"/>
        <v>2.1213203435596424</v>
      </c>
      <c r="K18" s="37">
        <f t="shared" si="19"/>
        <v>1.4142135623730963E-2</v>
      </c>
      <c r="L18" s="37">
        <f>STDEV(L15:L16)</f>
        <v>0.7778174593051983</v>
      </c>
    </row>
    <row r="19" spans="1:12" ht="30" x14ac:dyDescent="0.25">
      <c r="A19" s="36">
        <v>41136</v>
      </c>
      <c r="B19" s="1" t="s">
        <v>25</v>
      </c>
      <c r="C19" s="1" t="s">
        <v>32</v>
      </c>
      <c r="D19">
        <v>0.01</v>
      </c>
      <c r="E19">
        <v>8.33</v>
      </c>
      <c r="F19" t="s">
        <v>29</v>
      </c>
      <c r="G19" t="s">
        <v>29</v>
      </c>
      <c r="H19">
        <v>280</v>
      </c>
      <c r="I19">
        <v>110</v>
      </c>
      <c r="J19">
        <v>10</v>
      </c>
      <c r="K19">
        <v>0.35</v>
      </c>
      <c r="L19">
        <v>99.6</v>
      </c>
    </row>
    <row r="20" spans="1:12" x14ac:dyDescent="0.25">
      <c r="A20" s="36"/>
      <c r="B20" s="1"/>
      <c r="C20" s="1" t="s">
        <v>33</v>
      </c>
      <c r="D20">
        <v>0.01</v>
      </c>
      <c r="E20">
        <v>8.2899999999999991</v>
      </c>
      <c r="F20" t="s">
        <v>29</v>
      </c>
      <c r="G20" t="s">
        <v>29</v>
      </c>
      <c r="H20">
        <v>291.60000000000002</v>
      </c>
      <c r="I20">
        <v>150</v>
      </c>
      <c r="J20">
        <v>10.199999999999999</v>
      </c>
      <c r="K20">
        <v>0.31</v>
      </c>
      <c r="L20">
        <v>99.4</v>
      </c>
    </row>
    <row r="21" spans="1:12" x14ac:dyDescent="0.25">
      <c r="A21" s="36"/>
      <c r="B21" s="1" t="s">
        <v>34</v>
      </c>
      <c r="C21" s="1"/>
      <c r="D21">
        <f>AVERAGE(D19:D20)</f>
        <v>0.01</v>
      </c>
      <c r="E21">
        <f t="shared" ref="E21" si="20">AVERAGE(E19:E20)</f>
        <v>8.3099999999999987</v>
      </c>
      <c r="F21" t="e">
        <f t="shared" ref="F21" si="21">AVERAGE(F19:F20)</f>
        <v>#DIV/0!</v>
      </c>
      <c r="G21" t="e">
        <f t="shared" ref="G21" si="22">AVERAGE(G19:G20)</f>
        <v>#DIV/0!</v>
      </c>
      <c r="H21">
        <f t="shared" ref="H21" si="23">AVERAGE(H19:H20)</f>
        <v>285.8</v>
      </c>
      <c r="I21">
        <f t="shared" ref="I21" si="24">AVERAGE(I19:I20)</f>
        <v>130</v>
      </c>
      <c r="J21">
        <f t="shared" ref="J21" si="25">AVERAGE(J19:J20)</f>
        <v>10.1</v>
      </c>
      <c r="K21">
        <f t="shared" ref="K21" si="26">AVERAGE(K19:K20)</f>
        <v>0.32999999999999996</v>
      </c>
      <c r="L21">
        <f>AVERAGE(L19:L20)</f>
        <v>99.5</v>
      </c>
    </row>
    <row r="22" spans="1:12" x14ac:dyDescent="0.25">
      <c r="A22" s="36"/>
      <c r="B22" s="1" t="s">
        <v>35</v>
      </c>
      <c r="C22" s="1"/>
      <c r="D22" s="37">
        <f>STDEV(D19:D20)</f>
        <v>0</v>
      </c>
      <c r="E22" s="37">
        <f t="shared" ref="E22:K22" si="27">STDEV(E19:E20)</f>
        <v>2.8284271247462554E-2</v>
      </c>
      <c r="F22" s="37" t="e">
        <f t="shared" si="27"/>
        <v>#DIV/0!</v>
      </c>
      <c r="G22" s="37" t="e">
        <f t="shared" si="27"/>
        <v>#DIV/0!</v>
      </c>
      <c r="H22" s="37">
        <f t="shared" si="27"/>
        <v>8.2024386617639671</v>
      </c>
      <c r="I22" s="37">
        <f t="shared" si="27"/>
        <v>28.284271247461902</v>
      </c>
      <c r="J22" s="37">
        <f t="shared" si="27"/>
        <v>0.141421356237309</v>
      </c>
      <c r="K22" s="37">
        <f t="shared" si="27"/>
        <v>2.8284271247461888E-2</v>
      </c>
      <c r="L22" s="37">
        <f>STDEV(L19:L20)</f>
        <v>0.14142135623730148</v>
      </c>
    </row>
    <row r="23" spans="1:12" x14ac:dyDescent="0.25">
      <c r="A23" s="36">
        <v>41136</v>
      </c>
      <c r="B23" s="1" t="s">
        <v>3</v>
      </c>
      <c r="C23" s="1" t="s">
        <v>32</v>
      </c>
      <c r="D23">
        <v>0.17</v>
      </c>
      <c r="E23">
        <v>7.83</v>
      </c>
      <c r="F23">
        <v>2.0539999999999998</v>
      </c>
      <c r="G23" t="s">
        <v>29</v>
      </c>
      <c r="H23">
        <v>274</v>
      </c>
      <c r="I23">
        <v>140</v>
      </c>
      <c r="J23">
        <v>17</v>
      </c>
      <c r="K23">
        <v>0.69</v>
      </c>
      <c r="L23">
        <v>70</v>
      </c>
    </row>
    <row r="24" spans="1:12" x14ac:dyDescent="0.25">
      <c r="C24" s="1" t="s">
        <v>33</v>
      </c>
      <c r="D24">
        <v>0.14000000000000001</v>
      </c>
      <c r="E24">
        <v>7.81</v>
      </c>
      <c r="F24">
        <v>2.17</v>
      </c>
      <c r="G24" t="s">
        <v>29</v>
      </c>
      <c r="H24">
        <v>281.2</v>
      </c>
      <c r="I24">
        <v>150</v>
      </c>
      <c r="J24">
        <v>16</v>
      </c>
      <c r="K24">
        <v>0.51</v>
      </c>
      <c r="L24">
        <v>70</v>
      </c>
    </row>
    <row r="25" spans="1:12" x14ac:dyDescent="0.25">
      <c r="B25" s="1" t="s">
        <v>34</v>
      </c>
      <c r="D25">
        <f>AVERAGE(D23:D24)</f>
        <v>0.15500000000000003</v>
      </c>
      <c r="E25">
        <f t="shared" ref="E25" si="28">AVERAGE(E23:E24)</f>
        <v>7.82</v>
      </c>
      <c r="F25">
        <f t="shared" ref="F25" si="29">AVERAGE(F23:F24)</f>
        <v>2.1120000000000001</v>
      </c>
      <c r="G25" t="e">
        <f t="shared" ref="G25" si="30">AVERAGE(G23:G24)</f>
        <v>#DIV/0!</v>
      </c>
      <c r="H25">
        <f t="shared" ref="H25" si="31">AVERAGE(H23:H24)</f>
        <v>277.60000000000002</v>
      </c>
      <c r="I25">
        <f t="shared" ref="I25" si="32">AVERAGE(I23:I24)</f>
        <v>145</v>
      </c>
      <c r="J25">
        <f t="shared" ref="J25" si="33">AVERAGE(J23:J24)</f>
        <v>16.5</v>
      </c>
      <c r="K25">
        <f t="shared" ref="K25" si="34">AVERAGE(K23:K24)</f>
        <v>0.6</v>
      </c>
      <c r="L25">
        <f>AVERAGE(L23:L24)</f>
        <v>70</v>
      </c>
    </row>
    <row r="26" spans="1:12" x14ac:dyDescent="0.25">
      <c r="B26" s="1" t="s">
        <v>35</v>
      </c>
      <c r="D26" s="37">
        <f>STDEV(D23:D24)</f>
        <v>2.1213203435596427E-2</v>
      </c>
      <c r="E26" s="37">
        <f t="shared" ref="E26:K26" si="35">STDEV(E23:E24)</f>
        <v>1.4142135623731277E-2</v>
      </c>
      <c r="F26" s="37">
        <f t="shared" si="35"/>
        <v>8.2024386617639583E-2</v>
      </c>
      <c r="G26" s="37" t="e">
        <f t="shared" si="35"/>
        <v>#DIV/0!</v>
      </c>
      <c r="H26" s="37">
        <f t="shared" si="35"/>
        <v>5.0911688245431339</v>
      </c>
      <c r="I26" s="37">
        <f t="shared" si="35"/>
        <v>7.0710678118654755</v>
      </c>
      <c r="J26" s="37">
        <f t="shared" si="35"/>
        <v>0.70710678118654757</v>
      </c>
      <c r="K26" s="37">
        <f t="shared" si="35"/>
        <v>0.12727922061357852</v>
      </c>
      <c r="L26" s="37">
        <f>STDEV(L23:L24)</f>
        <v>0</v>
      </c>
    </row>
  </sheetData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topLeftCell="A19" workbookViewId="0">
      <selection activeCell="G6" sqref="G6"/>
    </sheetView>
  </sheetViews>
  <sheetFormatPr defaultRowHeight="15" x14ac:dyDescent="0.25"/>
  <cols>
    <col min="1" max="1" width="9.7109375" bestFit="1" customWidth="1"/>
    <col min="2" max="2" width="20.140625" customWidth="1"/>
    <col min="4" max="4" width="12" bestFit="1" customWidth="1"/>
    <col min="5" max="5" width="14.28515625" bestFit="1" customWidth="1"/>
    <col min="6" max="9" width="9.28515625" bestFit="1" customWidth="1"/>
    <col min="10" max="10" width="9.5703125" bestFit="1" customWidth="1"/>
    <col min="15" max="15" width="10" bestFit="1" customWidth="1"/>
  </cols>
  <sheetData>
    <row r="1" spans="1:15" ht="30" x14ac:dyDescent="0.25">
      <c r="A1" s="42" t="s">
        <v>20</v>
      </c>
      <c r="B1" s="43" t="s">
        <v>40</v>
      </c>
    </row>
    <row r="2" spans="1:15" x14ac:dyDescent="0.25">
      <c r="A2" s="42" t="s">
        <v>19</v>
      </c>
      <c r="B2" s="42" t="s">
        <v>46</v>
      </c>
    </row>
    <row r="3" spans="1:15" x14ac:dyDescent="0.25">
      <c r="A3" s="42" t="s">
        <v>21</v>
      </c>
      <c r="B3" s="42" t="s">
        <v>42</v>
      </c>
    </row>
    <row r="4" spans="1:15" x14ac:dyDescent="0.25">
      <c r="A4" s="42" t="s">
        <v>47</v>
      </c>
      <c r="B4" s="42" t="s">
        <v>48</v>
      </c>
    </row>
    <row r="5" spans="1:15" x14ac:dyDescent="0.25">
      <c r="A5" s="42" t="s">
        <v>50</v>
      </c>
      <c r="B5" s="42" t="s">
        <v>51</v>
      </c>
    </row>
    <row r="6" spans="1:15" x14ac:dyDescent="0.25">
      <c r="A6" s="42" t="s">
        <v>52</v>
      </c>
      <c r="B6" s="42" t="s">
        <v>53</v>
      </c>
    </row>
    <row r="7" spans="1:15" x14ac:dyDescent="0.25">
      <c r="A7" s="42" t="s">
        <v>49</v>
      </c>
      <c r="B7" s="42" t="s">
        <v>45</v>
      </c>
    </row>
    <row r="9" spans="1:15" x14ac:dyDescent="0.25">
      <c r="A9" t="s">
        <v>30</v>
      </c>
      <c r="D9" s="39" t="s">
        <v>23</v>
      </c>
      <c r="E9" s="40"/>
      <c r="F9" s="40"/>
      <c r="G9" s="39" t="s">
        <v>19</v>
      </c>
      <c r="H9" s="40"/>
      <c r="I9" s="41"/>
    </row>
    <row r="10" spans="1:15" ht="15.75" thickBot="1" x14ac:dyDescent="0.3">
      <c r="D10" s="3" t="s">
        <v>15</v>
      </c>
      <c r="E10" s="4" t="s">
        <v>24</v>
      </c>
      <c r="F10" s="4" t="s">
        <v>16</v>
      </c>
      <c r="G10" s="32" t="s">
        <v>20</v>
      </c>
      <c r="H10" s="5" t="s">
        <v>21</v>
      </c>
      <c r="I10" s="6" t="s">
        <v>22</v>
      </c>
    </row>
    <row r="11" spans="1:15" x14ac:dyDescent="0.25">
      <c r="A11" s="36">
        <v>42927</v>
      </c>
      <c r="B11" t="s">
        <v>36</v>
      </c>
      <c r="C11" t="s">
        <v>12</v>
      </c>
      <c r="D11" s="15">
        <f>8.85*10^9</f>
        <v>8850000000</v>
      </c>
      <c r="E11" s="16" t="s">
        <v>17</v>
      </c>
      <c r="F11" s="25" t="s">
        <v>17</v>
      </c>
      <c r="G11" s="28" t="s">
        <v>17</v>
      </c>
      <c r="H11" s="17" t="s">
        <v>17</v>
      </c>
      <c r="I11" s="18" t="s">
        <v>17</v>
      </c>
      <c r="J11" s="38"/>
    </row>
    <row r="12" spans="1:15" x14ac:dyDescent="0.25">
      <c r="C12" t="s">
        <v>13</v>
      </c>
      <c r="D12" s="19">
        <f>3.9*10^6</f>
        <v>3900000</v>
      </c>
      <c r="E12" s="11">
        <f>4*10^3</f>
        <v>4000</v>
      </c>
      <c r="F12" s="26">
        <v>0</v>
      </c>
      <c r="G12" s="29">
        <f>LOG(D12)-LOG(E12)</f>
        <v>2.989004615698537</v>
      </c>
      <c r="H12" s="13">
        <f>LOG(E12)</f>
        <v>3.6020599913279625</v>
      </c>
      <c r="I12" s="24">
        <f>G12+H12</f>
        <v>6.5910646070264995</v>
      </c>
    </row>
    <row r="13" spans="1:15" x14ac:dyDescent="0.25">
      <c r="C13" t="s">
        <v>18</v>
      </c>
      <c r="D13" s="19">
        <f>4.3*10^6</f>
        <v>4300000</v>
      </c>
      <c r="E13" s="11">
        <f>1.1*10^4</f>
        <v>11000</v>
      </c>
      <c r="F13" s="26">
        <v>0</v>
      </c>
      <c r="G13" s="19">
        <f>LOG(D13)-LOG(E13)</f>
        <v>2.5920757704213608</v>
      </c>
      <c r="H13" s="13">
        <f>LOG(E13)</f>
        <v>4.0413926851582254</v>
      </c>
      <c r="I13" s="24">
        <f>G13+H13</f>
        <v>6.6334684555795862</v>
      </c>
      <c r="O13" s="34"/>
    </row>
    <row r="14" spans="1:15" ht="15.75" thickBot="1" x14ac:dyDescent="0.3">
      <c r="C14" t="s">
        <v>14</v>
      </c>
      <c r="D14" s="20">
        <f>4.5*10^6</f>
        <v>4500000</v>
      </c>
      <c r="E14" s="21" t="s">
        <v>17</v>
      </c>
      <c r="F14" s="27" t="s">
        <v>17</v>
      </c>
      <c r="G14" s="31" t="s">
        <v>17</v>
      </c>
      <c r="H14" s="22" t="s">
        <v>17</v>
      </c>
      <c r="I14" s="23" t="s">
        <v>17</v>
      </c>
      <c r="O14" s="34"/>
    </row>
    <row r="15" spans="1:15" ht="15.75" thickBot="1" x14ac:dyDescent="0.3">
      <c r="D15" s="7"/>
      <c r="E15" s="8"/>
      <c r="F15" s="8"/>
      <c r="G15" s="9"/>
      <c r="H15" s="9"/>
      <c r="I15" s="10"/>
    </row>
    <row r="16" spans="1:15" x14ac:dyDescent="0.25">
      <c r="A16" s="36">
        <v>41162</v>
      </c>
      <c r="B16" t="s">
        <v>37</v>
      </c>
      <c r="C16" t="s">
        <v>12</v>
      </c>
      <c r="D16" s="15">
        <f>8.5*10^9</f>
        <v>8500000000</v>
      </c>
      <c r="E16" s="16" t="s">
        <v>17</v>
      </c>
      <c r="F16" s="25" t="s">
        <v>17</v>
      </c>
      <c r="G16" s="28" t="s">
        <v>17</v>
      </c>
      <c r="H16" s="17" t="s">
        <v>17</v>
      </c>
      <c r="I16" s="18" t="s">
        <v>17</v>
      </c>
      <c r="J16" s="38"/>
    </row>
    <row r="17" spans="1:21" x14ac:dyDescent="0.25">
      <c r="C17" t="s">
        <v>13</v>
      </c>
      <c r="D17" s="19">
        <f>6.2*10^6</f>
        <v>6200000</v>
      </c>
      <c r="E17" s="11">
        <f>3.5*10^3</f>
        <v>3500</v>
      </c>
      <c r="F17" s="26">
        <v>0</v>
      </c>
      <c r="G17" s="29">
        <f>LOG(D17)-LOG(E17)</f>
        <v>3.2483236451479778</v>
      </c>
      <c r="H17" s="12">
        <f>LOG(E17)</f>
        <v>3.5440680443502757</v>
      </c>
      <c r="I17" s="24">
        <f>G17+H17</f>
        <v>6.7923916894982534</v>
      </c>
      <c r="U17" s="34"/>
    </row>
    <row r="18" spans="1:21" x14ac:dyDescent="0.25">
      <c r="C18" t="s">
        <v>18</v>
      </c>
      <c r="D18" s="19">
        <f>4.8*10^6</f>
        <v>4800000</v>
      </c>
      <c r="E18" s="11">
        <f>3*10^3</f>
        <v>3000</v>
      </c>
      <c r="F18" s="26">
        <v>0</v>
      </c>
      <c r="G18" s="29">
        <f>LOG(D18)-LOG(E18)</f>
        <v>3.204119982655925</v>
      </c>
      <c r="H18" s="12">
        <f>LOG(E18)</f>
        <v>3.4771212547196626</v>
      </c>
      <c r="I18" s="24">
        <f>G18+H18</f>
        <v>6.6812412373755876</v>
      </c>
      <c r="O18" s="34"/>
      <c r="U18" s="34"/>
    </row>
    <row r="19" spans="1:21" ht="15.75" thickBot="1" x14ac:dyDescent="0.3">
      <c r="C19" t="s">
        <v>14</v>
      </c>
      <c r="D19" s="20">
        <f>6*10^6</f>
        <v>6000000</v>
      </c>
      <c r="E19" s="21" t="s">
        <v>17</v>
      </c>
      <c r="F19" s="27" t="s">
        <v>17</v>
      </c>
      <c r="G19" s="31" t="s">
        <v>17</v>
      </c>
      <c r="H19" s="22" t="s">
        <v>17</v>
      </c>
      <c r="I19" s="23" t="s">
        <v>17</v>
      </c>
      <c r="O19" s="34"/>
      <c r="R19" s="35"/>
      <c r="U19" s="34"/>
    </row>
    <row r="20" spans="1:21" ht="15.75" thickBot="1" x14ac:dyDescent="0.3">
      <c r="D20" s="7"/>
      <c r="E20" s="8"/>
      <c r="F20" s="8"/>
      <c r="G20" s="9"/>
      <c r="H20" s="9"/>
      <c r="I20" s="10"/>
      <c r="U20" s="34"/>
    </row>
    <row r="21" spans="1:21" ht="30" x14ac:dyDescent="0.25">
      <c r="A21" s="36">
        <v>41123</v>
      </c>
      <c r="B21" s="1" t="s">
        <v>27</v>
      </c>
      <c r="C21" t="s">
        <v>12</v>
      </c>
      <c r="D21" s="15">
        <f>1.79*10^10</f>
        <v>17900000000</v>
      </c>
      <c r="E21" s="16" t="s">
        <v>17</v>
      </c>
      <c r="F21" s="25" t="s">
        <v>17</v>
      </c>
      <c r="G21" s="28" t="s">
        <v>17</v>
      </c>
      <c r="H21" s="17" t="s">
        <v>17</v>
      </c>
      <c r="I21" s="18" t="s">
        <v>17</v>
      </c>
      <c r="J21" s="38"/>
      <c r="U21" s="34"/>
    </row>
    <row r="22" spans="1:21" x14ac:dyDescent="0.25">
      <c r="C22" t="s">
        <v>13</v>
      </c>
      <c r="D22" s="19">
        <f>5.8*10^6</f>
        <v>5800000</v>
      </c>
      <c r="E22" s="14">
        <f>2*10^5</f>
        <v>200000</v>
      </c>
      <c r="F22" s="26">
        <v>0</v>
      </c>
      <c r="G22" s="29">
        <f>LOG(D22)-LOG(E22)</f>
        <v>1.4623979978989556</v>
      </c>
      <c r="H22" s="12">
        <f>LOG(E22)</f>
        <v>5.3010299956639813</v>
      </c>
      <c r="I22" s="24">
        <f>G22+H22</f>
        <v>6.7634279935629369</v>
      </c>
      <c r="J22" s="38"/>
      <c r="U22" s="34"/>
    </row>
    <row r="23" spans="1:21" x14ac:dyDescent="0.25">
      <c r="C23" t="s">
        <v>18</v>
      </c>
      <c r="D23" s="19">
        <f>1.2*10^7</f>
        <v>12000000</v>
      </c>
      <c r="E23" s="14">
        <f>3*10^4</f>
        <v>30000</v>
      </c>
      <c r="F23" s="26">
        <v>0</v>
      </c>
      <c r="G23" s="29">
        <f>LOG(D23)-LOG(E23)</f>
        <v>2.6020599913279625</v>
      </c>
      <c r="H23" s="12">
        <f>LOG(E23)</f>
        <v>4.4771212547196626</v>
      </c>
      <c r="I23" s="24">
        <f>G23+H23</f>
        <v>7.0791812460476251</v>
      </c>
      <c r="O23" s="34"/>
    </row>
    <row r="24" spans="1:21" ht="15.75" thickBot="1" x14ac:dyDescent="0.3">
      <c r="C24" t="s">
        <v>14</v>
      </c>
      <c r="D24" s="20">
        <f>6.2*10^6</f>
        <v>6200000</v>
      </c>
      <c r="E24" s="21" t="s">
        <v>17</v>
      </c>
      <c r="F24" s="27" t="s">
        <v>17</v>
      </c>
      <c r="G24" s="31" t="s">
        <v>17</v>
      </c>
      <c r="H24" s="22" t="s">
        <v>17</v>
      </c>
      <c r="I24" s="23" t="s">
        <v>17</v>
      </c>
      <c r="O24" s="34"/>
    </row>
    <row r="25" spans="1:21" ht="15.75" thickBot="1" x14ac:dyDescent="0.3">
      <c r="D25" s="7"/>
      <c r="E25" s="8"/>
      <c r="F25" s="8"/>
      <c r="G25" s="9"/>
      <c r="H25" s="9"/>
      <c r="I25" s="10"/>
      <c r="U25" s="34"/>
    </row>
    <row r="26" spans="1:21" x14ac:dyDescent="0.25">
      <c r="A26" s="36">
        <v>41136</v>
      </c>
      <c r="B26" t="s">
        <v>26</v>
      </c>
      <c r="C26" t="s">
        <v>12</v>
      </c>
      <c r="D26" s="15" t="s">
        <v>17</v>
      </c>
      <c r="E26" s="16">
        <f>1.2*10^9</f>
        <v>1200000000</v>
      </c>
      <c r="F26" s="25" t="s">
        <v>17</v>
      </c>
      <c r="G26" s="28" t="s">
        <v>17</v>
      </c>
      <c r="H26" s="17" t="s">
        <v>17</v>
      </c>
      <c r="I26" s="18" t="s">
        <v>17</v>
      </c>
      <c r="J26" s="38"/>
      <c r="K26" s="38"/>
      <c r="U26" s="34"/>
    </row>
    <row r="27" spans="1:21" x14ac:dyDescent="0.25">
      <c r="C27" t="s">
        <v>13</v>
      </c>
      <c r="D27" s="19" t="s">
        <v>17</v>
      </c>
      <c r="E27" s="11">
        <f>2.3*10^6</f>
        <v>2300000</v>
      </c>
      <c r="F27" s="26">
        <v>0</v>
      </c>
      <c r="G27" s="30" t="s">
        <v>17</v>
      </c>
      <c r="H27" s="12">
        <f>LOG(E27)</f>
        <v>6.3617278360175931</v>
      </c>
      <c r="I27" s="24">
        <f>H27</f>
        <v>6.3617278360175931</v>
      </c>
      <c r="O27" s="34"/>
      <c r="U27" s="34"/>
    </row>
    <row r="28" spans="1:21" x14ac:dyDescent="0.25">
      <c r="C28" t="s">
        <v>18</v>
      </c>
      <c r="D28" s="19" t="s">
        <v>17</v>
      </c>
      <c r="E28" s="11">
        <f>4.1*10^6</f>
        <v>4099999.9999999995</v>
      </c>
      <c r="F28" s="26">
        <v>0</v>
      </c>
      <c r="G28" s="30" t="s">
        <v>17</v>
      </c>
      <c r="H28" s="12">
        <f>LOG(E28)</f>
        <v>6.6127838567197355</v>
      </c>
      <c r="I28" s="24">
        <f>H28</f>
        <v>6.6127838567197355</v>
      </c>
      <c r="O28" s="34"/>
      <c r="U28" s="34"/>
    </row>
    <row r="29" spans="1:21" ht="15.75" thickBot="1" x14ac:dyDescent="0.3">
      <c r="C29" t="s">
        <v>14</v>
      </c>
      <c r="D29" s="20" t="s">
        <v>17</v>
      </c>
      <c r="E29" s="21">
        <f>2.3*10^6</f>
        <v>2300000</v>
      </c>
      <c r="F29" s="27" t="s">
        <v>17</v>
      </c>
      <c r="G29" s="31" t="s">
        <v>17</v>
      </c>
      <c r="H29" s="22" t="s">
        <v>17</v>
      </c>
      <c r="I29" s="23" t="s">
        <v>17</v>
      </c>
      <c r="U29" s="34"/>
    </row>
    <row r="30" spans="1:21" ht="15.75" thickBot="1" x14ac:dyDescent="0.3">
      <c r="D30" s="7"/>
      <c r="E30" s="8"/>
      <c r="F30" s="8"/>
      <c r="G30" s="9"/>
      <c r="H30" s="9"/>
      <c r="I30" s="10"/>
      <c r="U30" s="34"/>
    </row>
    <row r="31" spans="1:21" x14ac:dyDescent="0.25">
      <c r="A31" s="36">
        <v>41136</v>
      </c>
      <c r="B31" t="s">
        <v>38</v>
      </c>
      <c r="C31" t="s">
        <v>12</v>
      </c>
      <c r="D31" s="15" t="s">
        <v>17</v>
      </c>
      <c r="E31" s="16">
        <f>1.2*10^9</f>
        <v>1200000000</v>
      </c>
      <c r="F31" s="25" t="s">
        <v>17</v>
      </c>
      <c r="G31" s="28" t="s">
        <v>17</v>
      </c>
      <c r="H31" s="17" t="s">
        <v>17</v>
      </c>
      <c r="I31" s="18" t="s">
        <v>17</v>
      </c>
      <c r="J31" s="38"/>
      <c r="K31" s="38"/>
    </row>
    <row r="32" spans="1:21" x14ac:dyDescent="0.25">
      <c r="C32" t="s">
        <v>13</v>
      </c>
      <c r="D32" s="19" t="s">
        <v>17</v>
      </c>
      <c r="E32" s="14">
        <f>4.1*10^6</f>
        <v>4099999.9999999995</v>
      </c>
      <c r="F32" s="26">
        <v>500</v>
      </c>
      <c r="G32" s="30" t="s">
        <v>17</v>
      </c>
      <c r="H32" s="12">
        <f>LOG(E32)-LOG(F32)</f>
        <v>3.9138138523837167</v>
      </c>
      <c r="I32" s="24">
        <f>H32</f>
        <v>3.9138138523837167</v>
      </c>
      <c r="O32" s="34"/>
    </row>
    <row r="33" spans="1:15" x14ac:dyDescent="0.25">
      <c r="C33" t="s">
        <v>18</v>
      </c>
      <c r="D33" s="19" t="s">
        <v>17</v>
      </c>
      <c r="E33" s="14">
        <f>4.6*10^6</f>
        <v>4600000</v>
      </c>
      <c r="F33" s="26">
        <v>0</v>
      </c>
      <c r="G33" s="30" t="s">
        <v>17</v>
      </c>
      <c r="H33" s="12">
        <f>LOG(E33)</f>
        <v>6.6627578316815743</v>
      </c>
      <c r="I33" s="24">
        <f>H33</f>
        <v>6.6627578316815743</v>
      </c>
      <c r="O33" s="34"/>
    </row>
    <row r="34" spans="1:15" ht="15.75" thickBot="1" x14ac:dyDescent="0.3">
      <c r="C34" t="s">
        <v>14</v>
      </c>
      <c r="D34" s="20" t="s">
        <v>17</v>
      </c>
      <c r="E34" s="21">
        <f>4*10^6</f>
        <v>4000000</v>
      </c>
      <c r="F34" s="27" t="s">
        <v>17</v>
      </c>
      <c r="G34" s="31" t="s">
        <v>17</v>
      </c>
      <c r="H34" s="22" t="s">
        <v>17</v>
      </c>
      <c r="I34" s="23" t="s">
        <v>17</v>
      </c>
    </row>
    <row r="36" spans="1:15" x14ac:dyDescent="0.25">
      <c r="A36" t="s">
        <v>39</v>
      </c>
    </row>
  </sheetData>
  <mergeCells count="2">
    <mergeCell ref="D9:F9"/>
    <mergeCell ref="G9:I9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Quality Parameters</vt:lpstr>
      <vt:lpstr>B. globigii Results</vt:lpstr>
    </vt:vector>
  </TitlesOfParts>
  <Company>US-EPA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Szabo, Jeff</cp:lastModifiedBy>
  <cp:lastPrinted>2012-09-26T15:21:10Z</cp:lastPrinted>
  <dcterms:created xsi:type="dcterms:W3CDTF">2012-09-21T11:33:01Z</dcterms:created>
  <dcterms:modified xsi:type="dcterms:W3CDTF">2016-11-25T15:25:20Z</dcterms:modified>
</cp:coreProperties>
</file>