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UOA contract\On filter analysis\Methods paper\Corrections round 1\Send to Jed\"/>
    </mc:Choice>
  </mc:AlternateContent>
  <xr:revisionPtr revIDLastSave="0" documentId="13_ncr:1_{51899B70-DF35-444E-AB66-CBA96F6C774F}" xr6:coauthVersionLast="47" xr6:coauthVersionMax="47" xr10:uidLastSave="{00000000-0000-0000-0000-000000000000}"/>
  <bookViews>
    <workbookView xWindow="-98" yWindow="-98" windowWidth="21795" windowHeight="13695" xr2:uid="{3A4C9D9E-8CB3-4F97-BA2D-DE01DFD3CFD7}"/>
  </bookViews>
  <sheets>
    <sheet name="Sheet1" sheetId="1" r:id="rId1"/>
    <sheet name="Linear regression" sheetId="3" r:id="rId2"/>
    <sheet name="XLSTAT_20241009_124736_1_HID" sheetId="4" state="hidden" r:id="rId3"/>
    <sheet name="Sheet2" sheetId="2" r:id="rId4"/>
    <sheet name="XLSTAT_20241030_222601_1_HID" sheetId="6" state="hidden" r:id="rId5"/>
  </sheets>
  <definedNames>
    <definedName name="tab20241009_124736_RunProcREG_1_69" localSheetId="1" hidden="1">'Linear regression'!$B$96:$C$102</definedName>
    <definedName name="tab20241009_124736_RunProcREG_1_78" localSheetId="1" hidden="1">'Linear regression'!$B$46:$H$49</definedName>
    <definedName name="tab20241009_124736_RunProcREG_1_89" localSheetId="1" hidden="1">'Linear regression'!$B$56:$I$58</definedName>
    <definedName name="tab20241009_124736_RunProcREG_1_91" localSheetId="1" hidden="1">'Linear regression'!$B$28:$C$41</definedName>
    <definedName name="tab20241009_124736_RunProcREG_2_69" localSheetId="1" hidden="1">'Linear regression'!$D$96:$D$102</definedName>
    <definedName name="tab20241009_124736_RunProcREG_2_89" localSheetId="1" hidden="1">'Linear regression'!$B$69:$I$70</definedName>
    <definedName name="tab20241009_124736_RunProcREG_3_69" localSheetId="1" hidden="1">'Linear regression'!$E$96:$E$102</definedName>
    <definedName name="tab20241009_124736_RunProcREG_4_69" localSheetId="1" hidden="1">'Linear regression'!$F$96:$F$102</definedName>
    <definedName name="tab20241009_124736_RunProcREG_5_69" localSheetId="1" hidden="1">'Linear regression'!$G$96:$H$102</definedName>
    <definedName name="tab20241009_124736_RunProcREG_6_69" localSheetId="1" hidden="1">'Linear regression'!$I$96:$N$102</definedName>
    <definedName name="xdata1" localSheetId="2" hidden="1">XLSTAT_20241009_124736_1_HID!$C$1:$C$70</definedName>
    <definedName name="xdata1" localSheetId="4" hidden="1">XLSTAT_20241030_222601_1_HID!$C$1:$C$70</definedName>
    <definedName name="xdata2" localSheetId="2" hidden="1">XLSTAT_20241009_124736_1_HID!$G$1:$G$70</definedName>
    <definedName name="xdata2" localSheetId="4" hidden="1">XLSTAT_20241030_222601_1_HID!$G$1:$G$70</definedName>
    <definedName name="xdata3" localSheetId="2" hidden="1">XLSTAT_20241009_124736_1_HID!$K$1:$K$100</definedName>
    <definedName name="xdata3" localSheetId="4" hidden="1">XLSTAT_20241030_222601_1_HID!$K$1:$K$100</definedName>
    <definedName name="xdata4" localSheetId="2" hidden="1">XLSTAT_20241009_124736_1_HID!$O$1:$O$100</definedName>
    <definedName name="xdata4" localSheetId="4" hidden="1">XLSTAT_20241030_222601_1_HID!$O$1:$O$100</definedName>
    <definedName name="xdata5" localSheetId="2" hidden="1">XLSTAT_20241009_124736_1_HID!$S$1:$S$70</definedName>
    <definedName name="xdata5" localSheetId="4" hidden="1">XLSTAT_20241030_222601_1_HID!$S$1:$S$70</definedName>
    <definedName name="xdata6" localSheetId="2" hidden="1">XLSTAT_20241009_124736_1_HID!$W$1:$W$70</definedName>
    <definedName name="xdata6" localSheetId="4" hidden="1">XLSTAT_20241030_222601_1_HID!$W$1:$W$70</definedName>
    <definedName name="ydata1" localSheetId="2" hidden="1">XLSTAT_20241009_124736_1_HID!$D$1:$D$70</definedName>
    <definedName name="ydata1" localSheetId="4" hidden="1">XLSTAT_20241030_222601_1_HID!$D$1:$D$70</definedName>
    <definedName name="ydata2" localSheetId="2" hidden="1">XLSTAT_20241009_124736_1_HID!$H$1:$H$70</definedName>
    <definedName name="ydata2" localSheetId="4" hidden="1">XLSTAT_20241030_222601_1_HID!$H$1:$H$70</definedName>
    <definedName name="ydata3" localSheetId="2" hidden="1">XLSTAT_20241009_124736_1_HID!$L$1:$L$100</definedName>
    <definedName name="ydata3" localSheetId="4" hidden="1">XLSTAT_20241030_222601_1_HID!$L$1:$L$100</definedName>
    <definedName name="ydata4" localSheetId="2" hidden="1">XLSTAT_20241009_124736_1_HID!$P$1:$P$100</definedName>
    <definedName name="ydata4" localSheetId="4" hidden="1">XLSTAT_20241030_222601_1_HID!$P$1:$P$100</definedName>
    <definedName name="ydata5" localSheetId="2" hidden="1">XLSTAT_20241009_124736_1_HID!$T$1:$T$70</definedName>
    <definedName name="ydata5" localSheetId="4" hidden="1">XLSTAT_20241030_222601_1_HID!$T$1:$T$70</definedName>
    <definedName name="ydata6" localSheetId="2" hidden="1">XLSTAT_20241009_124736_1_HID!$X$1:$X$70</definedName>
    <definedName name="ydata6" localSheetId="4" hidden="1">XLSTAT_20241030_222601_1_HID!$X$1:$X$70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21" i="1"/>
  <c r="C42" i="1"/>
  <c r="C40" i="1"/>
  <c r="N20" i="1"/>
  <c r="O20" i="1"/>
  <c r="D76" i="1"/>
  <c r="D71" i="1"/>
  <c r="D66" i="1"/>
  <c r="D61" i="1"/>
  <c r="X1" i="6"/>
  <c r="X2" i="6"/>
  <c r="X3" i="6"/>
  <c r="X4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W1" i="6"/>
  <c r="W2" i="6"/>
  <c r="W3" i="6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T1" i="6"/>
  <c r="T2" i="6"/>
  <c r="T3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S1" i="6"/>
  <c r="S2" i="6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P1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O1" i="6"/>
  <c r="O2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L1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K1" i="6"/>
  <c r="K2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H1" i="6"/>
  <c r="H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G1" i="6"/>
  <c r="G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D1" i="6"/>
  <c r="D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C1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H64" i="3"/>
  <c r="X1" i="4"/>
  <c r="X2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W1" i="4"/>
  <c r="W2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T1" i="4"/>
  <c r="T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S1" i="4"/>
  <c r="S2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P1" i="4"/>
  <c r="P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O1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L1" i="4"/>
  <c r="L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K1" i="4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H1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G1" i="4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D1" i="4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28" i="1"/>
  <c r="H35" i="1"/>
  <c r="H36" i="1"/>
  <c r="H37" i="1"/>
  <c r="H38" i="1"/>
  <c r="H34" i="1"/>
  <c r="F14" i="1"/>
  <c r="D14" i="1"/>
  <c r="H18" i="1" s="1"/>
  <c r="F10" i="1"/>
  <c r="G10" i="1" s="1"/>
  <c r="I10" i="1" s="1"/>
  <c r="F9" i="1"/>
  <c r="G9" i="1" s="1"/>
  <c r="I9" i="1" s="1"/>
  <c r="F8" i="1"/>
  <c r="G8" i="1" s="1"/>
  <c r="I8" i="1" s="1"/>
  <c r="F7" i="1"/>
  <c r="G7" i="1" s="1"/>
  <c r="I7" i="1" s="1"/>
  <c r="F6" i="1"/>
  <c r="G6" i="1" s="1"/>
  <c r="I6" i="1" s="1"/>
  <c r="G5" i="1"/>
  <c r="I5" i="1" s="1"/>
  <c r="K5" i="1" s="1"/>
  <c r="G4" i="1"/>
  <c r="I4" i="1" s="1"/>
  <c r="K4" i="1" s="1"/>
  <c r="G3" i="1"/>
  <c r="I3" i="1" s="1"/>
  <c r="G43" i="1" l="1"/>
  <c r="C44" i="1"/>
  <c r="D44" i="1"/>
  <c r="E44" i="1"/>
  <c r="F44" i="1"/>
  <c r="G44" i="1"/>
  <c r="F40" i="1"/>
  <c r="D41" i="1"/>
  <c r="E41" i="1"/>
  <c r="F41" i="1"/>
  <c r="G41" i="1"/>
  <c r="E42" i="1"/>
  <c r="F42" i="1"/>
  <c r="G42" i="1"/>
  <c r="F43" i="1"/>
  <c r="E40" i="1"/>
  <c r="C41" i="1"/>
  <c r="D42" i="1"/>
  <c r="D40" i="1"/>
  <c r="G40" i="1"/>
  <c r="C43" i="1"/>
  <c r="D43" i="1"/>
  <c r="E43" i="1"/>
  <c r="K7" i="1"/>
  <c r="J4" i="1"/>
  <c r="J5" i="1"/>
  <c r="K3" i="1"/>
  <c r="K10" i="1"/>
  <c r="K9" i="1" l="1"/>
  <c r="M3" i="1"/>
  <c r="M6" i="1"/>
  <c r="M7" i="1"/>
  <c r="M8" i="1"/>
  <c r="M10" i="1"/>
  <c r="K6" i="1"/>
  <c r="L9" i="1"/>
  <c r="L10" i="1"/>
  <c r="M9" i="1"/>
  <c r="L7" i="1"/>
  <c r="L8" i="1"/>
  <c r="L6" i="1"/>
  <c r="K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tc={ECF3796C-6E91-4B00-8597-1F60EEBD9301}</author>
    <author>tc={2923BC2E-D989-43D8-B693-A3C8B3BB911A}</author>
    <author>tc={D0B65602-0184-4249-9B9A-CF57F0D83C34}</author>
    <author>tc={E03F17F1-110F-423C-BD18-B0236DED688F}</author>
    <author>tc={33D576F5-0AF2-4ECF-99A1-D62EFC79CB46}</author>
  </authors>
  <commentList>
    <comment ref="B14" authorId="0" shapeId="0" xr:uid="{ECF3796C-6E91-4B00-8597-1F60EEBD9301}">
      <text>
        <t>[Threaded comment]
Your version of Excel allows you to read this threaded comment; however, any edits to it will get removed if the file is opened in a newer version of Excel. Learn more: https://go.microsoft.com/fwlink/?linkid=870924
Comment:
    FOV length</t>
      </text>
    </comment>
    <comment ref="C14" authorId="1" shapeId="0" xr:uid="{2923BC2E-D989-43D8-B693-A3C8B3BB911A}">
      <text>
        <t>[Threaded comment]
Your version of Excel allows you to read this threaded comment; however, any edits to it will get removed if the file is opened in a newer version of Excel. Learn more: https://go.microsoft.com/fwlink/?linkid=870924
Comment:
    FOV width</t>
      </text>
    </comment>
    <comment ref="D14" authorId="2" shapeId="0" xr:uid="{D0B65602-0184-4249-9B9A-CF57F0D83C34}">
      <text>
        <t>[Threaded comment]
Your version of Excel allows you to read this threaded comment; however, any edits to it will get removed if the file is opened in a newer version of Excel. Learn more: https://go.microsoft.com/fwlink/?linkid=870924
Comment:
    Area of the FOV</t>
      </text>
    </comment>
    <comment ref="E14" authorId="3" shapeId="0" xr:uid="{E03F17F1-110F-423C-BD18-B0236DED688F}">
      <text>
        <t>[Threaded comment]
Your version of Excel allows you to read this threaded comment; however, any edits to it will get removed if the file is opened in a newer version of Excel. Learn more: https://go.microsoft.com/fwlink/?linkid=870924
Comment:
    Number of FOVs</t>
      </text>
    </comment>
    <comment ref="F14" authorId="4" shapeId="0" xr:uid="{33D576F5-0AF2-4ECF-99A1-D62EFC79CB46}">
      <text>
        <t>[Threaded comment]
Your version of Excel allows you to read this threaded comment; however, any edits to it will get removed if the file is opened in a newer version of Excel. Learn more: https://go.microsoft.com/fwlink/?linkid=870924
Comment:
    Effective filter area</t>
      </text>
    </comment>
  </commentList>
</comments>
</file>

<file path=xl/sharedStrings.xml><?xml version="1.0" encoding="utf-8"?>
<sst xmlns="http://schemas.openxmlformats.org/spreadsheetml/2006/main" count="164" uniqueCount="123">
  <si>
    <t>Pre-wt</t>
  </si>
  <si>
    <t>Post-wt</t>
  </si>
  <si>
    <t>Difference (g)</t>
  </si>
  <si>
    <t>Erionite (g)</t>
  </si>
  <si>
    <t>Silicon (g)</t>
  </si>
  <si>
    <t>Erionite %</t>
  </si>
  <si>
    <t>MCE1</t>
  </si>
  <si>
    <t>PC1</t>
  </si>
  <si>
    <t>MCE2</t>
  </si>
  <si>
    <t>PC2</t>
  </si>
  <si>
    <t>MCE3</t>
  </si>
  <si>
    <t>PC3</t>
  </si>
  <si>
    <t>MCE4</t>
  </si>
  <si>
    <t>PC4</t>
  </si>
  <si>
    <t>MCE5</t>
  </si>
  <si>
    <t>PC5</t>
  </si>
  <si>
    <t>MCE6</t>
  </si>
  <si>
    <t>PC6</t>
  </si>
  <si>
    <t>MCE7</t>
  </si>
  <si>
    <t>PC7</t>
  </si>
  <si>
    <t>MCE8</t>
  </si>
  <si>
    <t>PC8</t>
  </si>
  <si>
    <t>mm</t>
  </si>
  <si>
    <t>mm2</t>
  </si>
  <si>
    <t>n</t>
  </si>
  <si>
    <t>22mm</t>
  </si>
  <si>
    <t>area of the filter</t>
  </si>
  <si>
    <t>flow rate l/min</t>
  </si>
  <si>
    <t>flow rate cubic centimter/min</t>
  </si>
  <si>
    <t>sampling time</t>
  </si>
  <si>
    <t>Analytical sensitivity</t>
  </si>
  <si>
    <t>95% confidence interval</t>
  </si>
  <si>
    <t xml:space="preserve"> lower</t>
  </si>
  <si>
    <t>upper</t>
  </si>
  <si>
    <t>min</t>
  </si>
  <si>
    <t>Trial number</t>
  </si>
  <si>
    <t>f/cc</t>
  </si>
  <si>
    <t>Total</t>
  </si>
  <si>
    <t>Total fibre count (25 FOV)</t>
  </si>
  <si>
    <t>Y / Dependent variables: Workbook = Final analysis.xlsx / Sheet = Sheet2 / Range = Sheet2!$B$1:$B$7 / 6 rows and 1 column</t>
  </si>
  <si>
    <t>X / Quantitative: Workbook = Final analysis.xlsx / Sheet = Sheet2 / Range = Sheet2!$A$1:$A$7 / 6 rows and 1 column</t>
  </si>
  <si>
    <t>Confidence interval (%): 95</t>
  </si>
  <si>
    <t>Tolerance: 0.0001</t>
  </si>
  <si>
    <t>Summary statistics: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</si>
  <si>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</si>
  <si>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</si>
  <si>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</si>
  <si>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</si>
  <si>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</si>
  <si>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</si>
  <si>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</si>
  <si>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</si>
  <si>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Correlation matrix:</t>
  </si>
  <si>
    <t>Regression of variable f/cc:</t>
  </si>
  <si>
    <t>Goodness of fit statistics (f/cc):</t>
  </si>
  <si>
    <t>Sum of weights</t>
  </si>
  <si>
    <t>DF</t>
  </si>
  <si>
    <t>R²</t>
  </si>
  <si>
    <t>Adjusted R²</t>
  </si>
  <si>
    <t>MSE</t>
  </si>
  <si>
    <t>RMSE</t>
  </si>
  <si>
    <t>MAPE</t>
  </si>
  <si>
    <t>DW</t>
  </si>
  <si>
    <t>Cp</t>
  </si>
  <si>
    <t>AIC</t>
  </si>
  <si>
    <t>AICC</t>
  </si>
  <si>
    <t>SBC</t>
  </si>
  <si>
    <t>PC</t>
  </si>
  <si>
    <t>Analysis of variance (f/cc):</t>
  </si>
  <si>
    <t>Source</t>
  </si>
  <si>
    <t>Sum of squares</t>
  </si>
  <si>
    <t>Mean squares</t>
  </si>
  <si>
    <t>F</t>
  </si>
  <si>
    <t>Pr &gt; F</t>
  </si>
  <si>
    <t>p-values signification codes</t>
  </si>
  <si>
    <t>Model</t>
  </si>
  <si>
    <t>Error</t>
  </si>
  <si>
    <t>Corrected Total</t>
  </si>
  <si>
    <t>***</t>
  </si>
  <si>
    <t/>
  </si>
  <si>
    <t>Computed against model Y=Mean(Y)</t>
  </si>
  <si>
    <t>Signification codes: 0 &lt; *** &lt; 0.001 &lt; ** &lt; 0.01 &lt; * &lt; 0.05 &lt; . &lt; 0.1 &lt; ° &lt; 1</t>
  </si>
  <si>
    <t>Model parameters (f/cc):</t>
  </si>
  <si>
    <t>Value</t>
  </si>
  <si>
    <t>Standard error</t>
  </si>
  <si>
    <t>t</t>
  </si>
  <si>
    <t>Pr &gt; |t|</t>
  </si>
  <si>
    <t>Lower bound (95%)</t>
  </si>
  <si>
    <t>Upper bound (95%)</t>
  </si>
  <si>
    <t>Intercept</t>
  </si>
  <si>
    <t>°</t>
  </si>
  <si>
    <t>Equation of the model (f/cc):</t>
  </si>
  <si>
    <t>f/cc = -19.0921354064428+396.872026156483*Erionite %</t>
  </si>
  <si>
    <t>Standardized coefficients (f/cc):</t>
  </si>
  <si>
    <t xml:space="preserve"> </t>
  </si>
  <si>
    <t>Predictions and residuals (f/cc):</t>
  </si>
  <si>
    <t>Observation</t>
  </si>
  <si>
    <t>Weight</t>
  </si>
  <si>
    <t>Obs1</t>
  </si>
  <si>
    <t>Obs2</t>
  </si>
  <si>
    <t>Obs3</t>
  </si>
  <si>
    <t>Obs4</t>
  </si>
  <si>
    <t>Obs5</t>
  </si>
  <si>
    <t>Obs6</t>
  </si>
  <si>
    <t>Pred(f/cc)</t>
  </si>
  <si>
    <t>Residual</t>
  </si>
  <si>
    <t>Std. residual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</si>
  <si>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</si>
  <si>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</si>
  <si>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</si>
  <si>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</si>
  <si>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</si>
  <si>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</si>
  <si>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r>
      <t>XLSTAT-Student 2024.3.0.1423 - Linear regression - Start time: 09/10/2024 at 12:48:06 / End time: 09/10/2024 at 12:48:08</t>
    </r>
    <r>
      <rPr>
        <sz val="11"/>
        <color rgb="FFFFFFFF"/>
        <rFont val="Aptos Narrow"/>
        <family val="2"/>
        <scheme val="minor"/>
      </rPr>
      <t xml:space="preserve"> / Microsoft Excel 16.018025</t>
    </r>
  </si>
  <si>
    <t>mass%</t>
  </si>
  <si>
    <t>For 1 mm2</t>
  </si>
  <si>
    <t>FOVs</t>
  </si>
  <si>
    <t>Confidence interval calculation based on ISO method - Possonian distribution</t>
  </si>
  <si>
    <t>Converting to f/cc</t>
  </si>
  <si>
    <t>Arraning for the plot</t>
  </si>
  <si>
    <t>Mass%</t>
  </si>
  <si>
    <t>lower CI</t>
  </si>
  <si>
    <t>upper 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</si>
</sst>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&lt;0.0001]&quot;&lt;0.0001&quot;;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8941"/>
      <name val="Aptos Narrow"/>
      <family val="2"/>
      <scheme val="minor"/>
    </font>
    <font>
      <sz val="11"/>
      <color rgb="FF007800"/>
      <name val="Aptos Narrow"/>
      <family val="2"/>
      <scheme val="minor"/>
    </font>
    <font>
      <b/>
      <sz val="11"/>
      <color rgb="FF0078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FFF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/>
    <xf numFmtId="164" fontId="1" fillId="0" borderId="7" xfId="0" applyNumberFormat="1" applyFont="1" applyBorder="1"/>
    <xf numFmtId="0" fontId="1" fillId="0" borderId="7" xfId="0" applyFont="1" applyBorder="1" applyAlignment="1">
      <alignment horizontal="right"/>
    </xf>
    <xf numFmtId="164" fontId="1" fillId="2" borderId="7" xfId="0" applyNumberFormat="1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2" xfId="0" applyNumberFormat="1" applyFont="1" applyBorder="1"/>
    <xf numFmtId="164" fontId="1" fillId="2" borderId="12" xfId="0" applyNumberFormat="1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164" fontId="1" fillId="2" borderId="15" xfId="0" applyNumberFormat="1" applyFont="1" applyFill="1" applyBorder="1"/>
    <xf numFmtId="0" fontId="1" fillId="0" borderId="12" xfId="0" applyFont="1" applyBorder="1" applyAlignment="1">
      <alignment horizontal="center"/>
    </xf>
    <xf numFmtId="165" fontId="0" fillId="0" borderId="12" xfId="0" applyNumberFormat="1" applyBorder="1"/>
    <xf numFmtId="0" fontId="0" fillId="0" borderId="12" xfId="0" applyBorder="1"/>
    <xf numFmtId="1" fontId="1" fillId="0" borderId="12" xfId="0" applyNumberFormat="1" applyFont="1" applyBorder="1" applyAlignment="1">
      <alignment horizontal="right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right"/>
    </xf>
    <xf numFmtId="164" fontId="1" fillId="3" borderId="7" xfId="0" applyNumberFormat="1" applyFont="1" applyFill="1" applyBorder="1"/>
    <xf numFmtId="2" fontId="1" fillId="3" borderId="12" xfId="0" applyNumberFormat="1" applyFont="1" applyFill="1" applyBorder="1" applyAlignment="1">
      <alignment horizontal="right"/>
    </xf>
    <xf numFmtId="165" fontId="0" fillId="4" borderId="12" xfId="0" applyNumberFormat="1" applyFill="1" applyBorder="1"/>
    <xf numFmtId="0" fontId="0" fillId="4" borderId="12" xfId="0" applyFill="1" applyBorder="1"/>
    <xf numFmtId="0" fontId="0" fillId="5" borderId="0" xfId="0" applyFill="1"/>
    <xf numFmtId="2" fontId="0" fillId="0" borderId="0" xfId="0" applyNumberFormat="1"/>
    <xf numFmtId="0" fontId="2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/>
    <xf numFmtId="0" fontId="0" fillId="0" borderId="16" xfId="0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4" fillId="0" borderId="17" xfId="0" applyNumberFormat="1" applyFont="1" applyBorder="1"/>
    <xf numFmtId="49" fontId="0" fillId="0" borderId="18" xfId="0" applyNumberFormat="1" applyBorder="1"/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49" fontId="5" fillId="0" borderId="16" xfId="0" applyNumberFormat="1" applyFont="1" applyBorder="1" applyAlignment="1">
      <alignment horizontal="center" vertical="center" wrapText="1"/>
    </xf>
    <xf numFmtId="49" fontId="0" fillId="0" borderId="17" xfId="0" applyNumberFormat="1" applyBorder="1"/>
    <xf numFmtId="49" fontId="5" fillId="0" borderId="18" xfId="0" applyNumberFormat="1" applyFont="1" applyBorder="1"/>
    <xf numFmtId="164" fontId="0" fillId="0" borderId="17" xfId="0" applyNumberForma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9" fontId="0" fillId="0" borderId="16" xfId="0" applyNumberFormat="1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3" fillId="0" borderId="17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18" xfId="0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8" xfId="0" applyNumberFormat="1" applyBorder="1" applyAlignment="1">
      <alignment horizontal="center"/>
    </xf>
    <xf numFmtId="0" fontId="7" fillId="0" borderId="0" xfId="0" applyFont="1"/>
    <xf numFmtId="49" fontId="0" fillId="0" borderId="19" xfId="0" applyNumberFormat="1" applyBorder="1"/>
    <xf numFmtId="164" fontId="0" fillId="0" borderId="19" xfId="0" applyNumberFormat="1" applyBorder="1" applyAlignment="1">
      <alignment horizontal="center"/>
    </xf>
    <xf numFmtId="166" fontId="3" fillId="0" borderId="19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0" xfId="0" applyFont="1"/>
    <xf numFmtId="0" fontId="0" fillId="6" borderId="0" xfId="0" applyFill="1"/>
    <xf numFmtId="0" fontId="0" fillId="7" borderId="0" xfId="0" applyFill="1"/>
    <xf numFmtId="1" fontId="0" fillId="5" borderId="0" xfId="0" applyNumberFormat="1" applyFill="1"/>
    <xf numFmtId="1" fontId="11" fillId="8" borderId="0" xfId="0" applyNumberFormat="1" applyFont="1" applyFill="1" applyAlignment="1">
      <alignment horizontal="right"/>
    </xf>
    <xf numFmtId="0" fontId="10" fillId="8" borderId="0" xfId="0" applyFont="1" applyFill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164" fontId="1" fillId="5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5757562817193"/>
          <c:y val="5.4153434979633597E-2"/>
          <c:w val="0.8171165137141142"/>
          <c:h val="0.74891048887704015"/>
        </c:manualLayout>
      </c:layout>
      <c:scatterChart>
        <c:scatterStyle val="lineMarker"/>
        <c:varyColors val="0"/>
        <c:ser>
          <c:idx val="0"/>
          <c:order val="0"/>
          <c:tx>
            <c:v>Replicates (Transects)</c:v>
          </c:tx>
          <c:spPr>
            <a:ln w="381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Sheet1!$B$47:$B$76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1.998001998002074E-2</c:v>
                </c:pt>
                <c:pt idx="6" formatCode="0.00">
                  <c:v>1.998001998002074E-2</c:v>
                </c:pt>
                <c:pt idx="7" formatCode="0.00">
                  <c:v>1.998001998002074E-2</c:v>
                </c:pt>
                <c:pt idx="8" formatCode="0.00">
                  <c:v>1.998001998002074E-2</c:v>
                </c:pt>
                <c:pt idx="9" formatCode="0.00">
                  <c:v>1.998001998002074E-2</c:v>
                </c:pt>
                <c:pt idx="10" formatCode="0.00">
                  <c:v>0.14559894109860011</c:v>
                </c:pt>
                <c:pt idx="11" formatCode="0.00">
                  <c:v>0.14559894109860011</c:v>
                </c:pt>
                <c:pt idx="12" formatCode="0.00">
                  <c:v>0.14559894109860011</c:v>
                </c:pt>
                <c:pt idx="13" formatCode="0.00">
                  <c:v>0.14559894109860011</c:v>
                </c:pt>
                <c:pt idx="14" formatCode="0.00">
                  <c:v>0.14559894109860011</c:v>
                </c:pt>
                <c:pt idx="15" formatCode="0.00">
                  <c:v>0.36649214659684182</c:v>
                </c:pt>
                <c:pt idx="16" formatCode="0.00">
                  <c:v>0.36649214659684182</c:v>
                </c:pt>
                <c:pt idx="17" formatCode="0.00">
                  <c:v>0.36649214659684182</c:v>
                </c:pt>
                <c:pt idx="18" formatCode="0.00">
                  <c:v>0.36649214659684182</c:v>
                </c:pt>
                <c:pt idx="19" formatCode="0.00">
                  <c:v>0.36649214659684182</c:v>
                </c:pt>
                <c:pt idx="20" formatCode="0.00">
                  <c:v>0.8917197452229334</c:v>
                </c:pt>
                <c:pt idx="21" formatCode="0.00">
                  <c:v>0.8917197452229334</c:v>
                </c:pt>
                <c:pt idx="22" formatCode="0.00">
                  <c:v>0.8917197452229334</c:v>
                </c:pt>
                <c:pt idx="23" formatCode="0.00">
                  <c:v>0.8917197452229334</c:v>
                </c:pt>
                <c:pt idx="24" formatCode="0.00">
                  <c:v>0.8917197452229334</c:v>
                </c:pt>
                <c:pt idx="25" formatCode="0.00">
                  <c:v>1.7407181984175168</c:v>
                </c:pt>
                <c:pt idx="26" formatCode="0.00">
                  <c:v>1.7407181984175168</c:v>
                </c:pt>
                <c:pt idx="27" formatCode="0.00">
                  <c:v>1.7407181984175168</c:v>
                </c:pt>
                <c:pt idx="28" formatCode="0.00">
                  <c:v>1.7407181984175168</c:v>
                </c:pt>
                <c:pt idx="29" formatCode="0.00">
                  <c:v>1.7407181984175168</c:v>
                </c:pt>
              </c:numCache>
            </c:numRef>
          </c:xVal>
          <c:yVal>
            <c:numRef>
              <c:f>Sheet1!$C$47:$C$76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0">
                  <c:v>12.379092261904761</c:v>
                </c:pt>
                <c:pt idx="6" formatCode="0.000">
                  <c:v>24.758184523809522</c:v>
                </c:pt>
                <c:pt idx="7" formatCode="0.000">
                  <c:v>12.379092261904761</c:v>
                </c:pt>
                <c:pt idx="8" formatCode="0.000">
                  <c:v>0</c:v>
                </c:pt>
                <c:pt idx="9" formatCode="0.000">
                  <c:v>12.379092261904761</c:v>
                </c:pt>
                <c:pt idx="10">
                  <c:v>49.516369047619044</c:v>
                </c:pt>
                <c:pt idx="11">
                  <c:v>24.758184523809522</c:v>
                </c:pt>
                <c:pt idx="12">
                  <c:v>74.274553571428569</c:v>
                </c:pt>
                <c:pt idx="13">
                  <c:v>99.032738095238088</c:v>
                </c:pt>
                <c:pt idx="14">
                  <c:v>74.274553571428569</c:v>
                </c:pt>
                <c:pt idx="15">
                  <c:v>123.79092261904761</c:v>
                </c:pt>
                <c:pt idx="16">
                  <c:v>99.032738095238088</c:v>
                </c:pt>
                <c:pt idx="17">
                  <c:v>37.137276785714285</c:v>
                </c:pt>
                <c:pt idx="18">
                  <c:v>136.17001488095238</c:v>
                </c:pt>
                <c:pt idx="19">
                  <c:v>49.516369047619044</c:v>
                </c:pt>
                <c:pt idx="20">
                  <c:v>235.20275297619045</c:v>
                </c:pt>
                <c:pt idx="21">
                  <c:v>198.06547619047618</c:v>
                </c:pt>
                <c:pt idx="22">
                  <c:v>259.9609375</c:v>
                </c:pt>
                <c:pt idx="23" formatCode="0.000">
                  <c:v>284.71912202380952</c:v>
                </c:pt>
                <c:pt idx="24" formatCode="0.000">
                  <c:v>321.8563988095238</c:v>
                </c:pt>
                <c:pt idx="25" formatCode="0.000">
                  <c:v>606.57552083333326</c:v>
                </c:pt>
                <c:pt idx="26" formatCode="0.000">
                  <c:v>779.88281249999989</c:v>
                </c:pt>
                <c:pt idx="27" formatCode="0.000">
                  <c:v>705.60825892857133</c:v>
                </c:pt>
                <c:pt idx="28">
                  <c:v>519.921875</c:v>
                </c:pt>
                <c:pt idx="29">
                  <c:v>965.56919642857133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C8-4B50-B7FC-737BDA6CEA57}"/>
            </c:ext>
          </c:extLst>
        </c:ser>
        <c:ser>
          <c:idx val="1"/>
          <c:order val="1"/>
          <c:tx>
            <c:v>Mean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0"/>
            <c:trendlineLbl>
              <c:layout>
                <c:manualLayout>
                  <c:x val="2.9209881041588323E-2"/>
                  <c:y val="0.149439172769270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Sheet1!$E$47:$E$52</c:f>
              <c:numCache>
                <c:formatCode>General</c:formatCode>
                <c:ptCount val="6"/>
                <c:pt idx="0">
                  <c:v>0</c:v>
                </c:pt>
                <c:pt idx="1">
                  <c:v>1.998001998002074E-2</c:v>
                </c:pt>
                <c:pt idx="2">
                  <c:v>0.1455989410986</c:v>
                </c:pt>
                <c:pt idx="3">
                  <c:v>0.36649214659684182</c:v>
                </c:pt>
                <c:pt idx="4">
                  <c:v>0.8917197452229334</c:v>
                </c:pt>
                <c:pt idx="5">
                  <c:v>1.7407181984175168</c:v>
                </c:pt>
              </c:numCache>
            </c:numRef>
          </c:xVal>
          <c:yVal>
            <c:numRef>
              <c:f>Sheet1!$F$47:$F$52</c:f>
              <c:numCache>
                <c:formatCode>0</c:formatCode>
                <c:ptCount val="6"/>
                <c:pt idx="0" formatCode="General">
                  <c:v>0</c:v>
                </c:pt>
                <c:pt idx="1">
                  <c:v>12.379092261904761</c:v>
                </c:pt>
                <c:pt idx="2">
                  <c:v>64.371279761904759</c:v>
                </c:pt>
                <c:pt idx="3">
                  <c:v>89.129464285714278</c:v>
                </c:pt>
                <c:pt idx="4">
                  <c:v>259.96093749999994</c:v>
                </c:pt>
                <c:pt idx="5">
                  <c:v>715.51153273809496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C8-4B50-B7FC-737BDA6CEA57}"/>
            </c:ext>
          </c:extLst>
        </c:ser>
        <c:ser>
          <c:idx val="2"/>
          <c:order val="2"/>
          <c:tx>
            <c:v>Upper and Lower confidence intervals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dash"/>
              </a:ln>
              <a:effectLst/>
            </c:spPr>
            <c:trendlineType val="linear"/>
            <c:intercept val="0"/>
            <c:dispRSqr val="0"/>
            <c:dispEq val="0"/>
          </c:trendline>
          <c:xVal>
            <c:numRef>
              <c:f>Sheet1!$E$47:$E$52</c:f>
              <c:numCache>
                <c:formatCode>General</c:formatCode>
                <c:ptCount val="6"/>
                <c:pt idx="0">
                  <c:v>0</c:v>
                </c:pt>
                <c:pt idx="1">
                  <c:v>1.998001998002074E-2</c:v>
                </c:pt>
                <c:pt idx="2">
                  <c:v>0.1455989410986</c:v>
                </c:pt>
                <c:pt idx="3">
                  <c:v>0.36649214659684182</c:v>
                </c:pt>
                <c:pt idx="4">
                  <c:v>0.8917197452229334</c:v>
                </c:pt>
                <c:pt idx="5">
                  <c:v>1.7407181984175168</c:v>
                </c:pt>
              </c:numCache>
            </c:numRef>
          </c:xVal>
          <c:yVal>
            <c:numRef>
              <c:f>Sheet1!$G$47:$G$52</c:f>
              <c:numCache>
                <c:formatCode>General</c:formatCode>
                <c:ptCount val="6"/>
                <c:pt idx="0">
                  <c:v>0</c:v>
                </c:pt>
                <c:pt idx="1">
                  <c:v>4.9516369047619042</c:v>
                </c:pt>
                <c:pt idx="2">
                  <c:v>42.088913690476183</c:v>
                </c:pt>
                <c:pt idx="3">
                  <c:v>61.895461309523803</c:v>
                </c:pt>
                <c:pt idx="4">
                  <c:v>200.54129464285711</c:v>
                </c:pt>
                <c:pt idx="5">
                  <c:v>638.76116071428567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AC8-4B50-B7FC-737BDA6CEA57}"/>
            </c:ext>
          </c:extLst>
        </c:ser>
        <c:ser>
          <c:idx val="3"/>
          <c:order val="3"/>
          <c:tx>
            <c:v>Upper and lower confidence interval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trendline>
            <c:spPr>
              <a:ln w="19050" cap="rnd">
                <a:solidFill>
                  <a:schemeClr val="tx1"/>
                </a:solidFill>
                <a:prstDash val="dash"/>
              </a:ln>
              <a:effectLst/>
            </c:spPr>
            <c:trendlineType val="linear"/>
            <c:intercept val="0"/>
            <c:dispRSqr val="0"/>
            <c:dispEq val="0"/>
          </c:trendline>
          <c:xVal>
            <c:numRef>
              <c:f>Sheet1!$E$47:$E$52</c:f>
              <c:numCache>
                <c:formatCode>General</c:formatCode>
                <c:ptCount val="6"/>
                <c:pt idx="0">
                  <c:v>0</c:v>
                </c:pt>
                <c:pt idx="1">
                  <c:v>1.998001998002074E-2</c:v>
                </c:pt>
                <c:pt idx="2">
                  <c:v>0.1455989410986</c:v>
                </c:pt>
                <c:pt idx="3">
                  <c:v>0.36649214659684182</c:v>
                </c:pt>
                <c:pt idx="4">
                  <c:v>0.8917197452229334</c:v>
                </c:pt>
                <c:pt idx="5">
                  <c:v>1.7407181984175168</c:v>
                </c:pt>
              </c:numCache>
            </c:numRef>
          </c:xVal>
          <c:yVal>
            <c:numRef>
              <c:f>Sheet1!$H$47:$H$52</c:f>
              <c:numCache>
                <c:formatCode>General</c:formatCode>
                <c:ptCount val="6"/>
                <c:pt idx="0">
                  <c:v>7.4</c:v>
                </c:pt>
                <c:pt idx="1">
                  <c:v>29.709821428571423</c:v>
                </c:pt>
                <c:pt idx="2">
                  <c:v>94.081101190476176</c:v>
                </c:pt>
                <c:pt idx="3">
                  <c:v>123.79092261904761</c:v>
                </c:pt>
                <c:pt idx="4">
                  <c:v>302.04985119047615</c:v>
                </c:pt>
                <c:pt idx="5">
                  <c:v>799.68936011904748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AC8-4B50-B7FC-737BDA6CE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262671"/>
        <c:axId val="1197272751"/>
      </c:scatterChart>
      <c:valAx>
        <c:axId val="11972626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Erionite mass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272751"/>
        <c:crosses val="autoZero"/>
        <c:crossBetween val="midCat"/>
        <c:majorUnit val="0.2"/>
      </c:valAx>
      <c:valAx>
        <c:axId val="11972727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Concentration of Erionite (f/cc)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2626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16234347805596874"/>
          <c:y val="0.12432031826506325"/>
          <c:w val="0.62390105411894703"/>
          <c:h val="0.20751987982796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en-NZ"/>
              <a:t>f/cc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9D5E1"/>
              </a:solidFill>
              <a:ln>
                <a:solidFill>
                  <a:srgbClr val="2A7498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70-4CB0-BE8C-BA9D80A1A6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0.23218857245499624</c:v>
                </c:pt>
              </c:numLit>
            </c:plus>
            <c:minus>
              <c:numLit>
                <c:formatCode>General</c:formatCode>
                <c:ptCount val="1"/>
                <c:pt idx="0">
                  <c:v>0.23218857245499624</c:v>
                </c:pt>
              </c:numLit>
            </c:minus>
          </c:errBars>
          <c:cat>
            <c:strRef>
              <c:f>'Linear regression'!$B$70</c:f>
              <c:strCache>
                <c:ptCount val="1"/>
                <c:pt idx="0">
                  <c:v>Erionite %</c:v>
                </c:pt>
              </c:strCache>
            </c:strRef>
          </c:cat>
          <c:val>
            <c:numRef>
              <c:f>'Linear regression'!$C$70</c:f>
              <c:numCache>
                <c:formatCode>0.000</c:formatCode>
                <c:ptCount val="1"/>
                <c:pt idx="0">
                  <c:v>0.98591349717284571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0-4CB0-BE8C-BA9D80A1A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735936624"/>
        <c:axId val="735939984"/>
      </c:barChart>
      <c:catAx>
        <c:axId val="73593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35939984"/>
        <c:crosses val="autoZero"/>
        <c:auto val="1"/>
        <c:lblAlgn val="ctr"/>
        <c:lblOffset val="100"/>
        <c:noMultiLvlLbl val="0"/>
      </c:catAx>
      <c:valAx>
        <c:axId val="7359399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35936624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en-NZ"/>
              <a:t>Standardized residuals / Erionite %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/>
          </c:tx>
          <c:spPr>
            <a:ln w="38100">
              <a:noFill/>
            </a:ln>
            <a:effectLst/>
          </c:spPr>
          <c:marker>
            <c:symbol val="circle"/>
            <c:size val="3"/>
            <c:spPr>
              <a:solidFill>
                <a:srgbClr val="2A7498"/>
              </a:solidFill>
              <a:ln>
                <a:solidFill>
                  <a:srgbClr val="2A7498"/>
                </a:solidFill>
                <a:prstDash val="solid"/>
              </a:ln>
            </c:spPr>
          </c:marker>
          <c:xVal>
            <c:numRef>
              <c:f>'Linear regression'!$D$97:$D$102</c:f>
              <c:numCache>
                <c:formatCode>0.000</c:formatCode>
                <c:ptCount val="6"/>
                <c:pt idx="0">
                  <c:v>0</c:v>
                </c:pt>
                <c:pt idx="1">
                  <c:v>1.998001998002074E-2</c:v>
                </c:pt>
                <c:pt idx="2">
                  <c:v>0.14559894109860011</c:v>
                </c:pt>
                <c:pt idx="3">
                  <c:v>0.36649214659684182</c:v>
                </c:pt>
                <c:pt idx="4">
                  <c:v>0.8917197452229334</c:v>
                </c:pt>
                <c:pt idx="5">
                  <c:v>1.7407181984175168</c:v>
                </c:pt>
              </c:numCache>
            </c:numRef>
          </c:xVal>
          <c:yVal>
            <c:numRef>
              <c:f>'Linear regression'!$H$97:$H$102</c:f>
              <c:numCache>
                <c:formatCode>0.000</c:formatCode>
                <c:ptCount val="6"/>
                <c:pt idx="0">
                  <c:v>0.37297713628815221</c:v>
                </c:pt>
                <c:pt idx="1">
                  <c:v>0.45990256589027728</c:v>
                </c:pt>
                <c:pt idx="2">
                  <c:v>0.50166101323968892</c:v>
                </c:pt>
                <c:pt idx="3">
                  <c:v>-0.72729012043995267</c:v>
                </c:pt>
                <c:pt idx="4">
                  <c:v>-1.4621559081439965</c:v>
                </c:pt>
                <c:pt idx="5">
                  <c:v>0.85490531316583185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B9-464B-ABF4-B1CAF6DE41D0}"/>
            </c:ext>
          </c:extLst>
        </c:ser>
        <c:ser>
          <c:idx val="1"/>
          <c:order val="1"/>
          <c:tx>
            <c:v/>
          </c:tx>
          <c:spPr>
            <a:ln w="38100">
              <a:noFill/>
            </a:ln>
            <a:effectLst/>
          </c:spPr>
          <c:marker>
            <c:symbol val="circle"/>
            <c:size val="3"/>
            <c:spPr>
              <a:solidFill>
                <a:srgbClr val="2A7498"/>
              </a:solidFill>
              <a:ln>
                <a:solidFill>
                  <a:srgbClr val="2A7498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1.998001998002074E-2</c:v>
              </c:pt>
            </c:numLit>
          </c:xVal>
          <c:yVal>
            <c:numLit>
              <c:formatCode>General</c:formatCode>
              <c:ptCount val="1"/>
              <c:pt idx="0">
                <c:v>0.45990256589027728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BCB9-464B-ABF4-B1CAF6DE4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944304"/>
        <c:axId val="735958704"/>
      </c:scatterChart>
      <c:valAx>
        <c:axId val="735944304"/>
        <c:scaling>
          <c:orientation val="minMax"/>
          <c:max val="1.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Erionite %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35958704"/>
        <c:crosses val="autoZero"/>
        <c:crossBetween val="midCat"/>
      </c:valAx>
      <c:valAx>
        <c:axId val="735958704"/>
        <c:scaling>
          <c:orientation val="minMax"/>
          <c:max val="1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35944304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en-NZ"/>
              <a:t>f/cc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/>
          </c:tx>
          <c:spPr>
            <a:ln w="38100">
              <a:noFill/>
            </a:ln>
            <a:effectLst/>
          </c:spPr>
          <c:marker>
            <c:symbol val="circle"/>
            <c:size val="3"/>
            <c:spPr>
              <a:solidFill>
                <a:srgbClr val="2A7498"/>
              </a:solidFill>
              <a:ln>
                <a:solidFill>
                  <a:srgbClr val="2A7498"/>
                </a:solidFill>
                <a:prstDash val="solid"/>
              </a:ln>
            </c:spPr>
          </c:marker>
          <c:xVal>
            <c:numRef>
              <c:f>'Linear regression'!$E$97:$E$102</c:f>
              <c:numCache>
                <c:formatCode>0.000</c:formatCode>
                <c:ptCount val="6"/>
                <c:pt idx="0">
                  <c:v>0</c:v>
                </c:pt>
                <c:pt idx="1">
                  <c:v>12.379092261904761</c:v>
                </c:pt>
                <c:pt idx="2">
                  <c:v>64.371279761904759</c:v>
                </c:pt>
                <c:pt idx="3">
                  <c:v>89.129464285714278</c:v>
                </c:pt>
                <c:pt idx="4">
                  <c:v>259.96093749999994</c:v>
                </c:pt>
                <c:pt idx="5">
                  <c:v>715.51153273809518</c:v>
                </c:pt>
              </c:numCache>
            </c:numRef>
          </c:xVal>
          <c:yVal>
            <c:numRef>
              <c:f>'Linear regression'!$H$97:$H$102</c:f>
              <c:numCache>
                <c:formatCode>0.000</c:formatCode>
                <c:ptCount val="6"/>
                <c:pt idx="0">
                  <c:v>0.37297713628815221</c:v>
                </c:pt>
                <c:pt idx="1">
                  <c:v>0.45990256589027728</c:v>
                </c:pt>
                <c:pt idx="2">
                  <c:v>0.50166101323968892</c:v>
                </c:pt>
                <c:pt idx="3">
                  <c:v>-0.72729012043995267</c:v>
                </c:pt>
                <c:pt idx="4">
                  <c:v>-1.4621559081439965</c:v>
                </c:pt>
                <c:pt idx="5">
                  <c:v>0.85490531316583185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B8-48B9-86EC-D4E6ACEE306D}"/>
            </c:ext>
          </c:extLst>
        </c:ser>
        <c:ser>
          <c:idx val="1"/>
          <c:order val="1"/>
          <c:tx>
            <c:v/>
          </c:tx>
          <c:spPr>
            <a:ln w="38100">
              <a:noFill/>
            </a:ln>
            <a:effectLst/>
          </c:spPr>
          <c:marker>
            <c:symbol val="circle"/>
            <c:size val="3"/>
            <c:spPr>
              <a:solidFill>
                <a:srgbClr val="2A7498"/>
              </a:solidFill>
              <a:ln>
                <a:solidFill>
                  <a:srgbClr val="2A7498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12.379092261904761</c:v>
              </c:pt>
            </c:numLit>
          </c:xVal>
          <c:yVal>
            <c:numLit>
              <c:formatCode>General</c:formatCode>
              <c:ptCount val="1"/>
              <c:pt idx="0">
                <c:v>0.45990256589027728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62B8-48B9-86EC-D4E6ACEE3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918384"/>
        <c:axId val="735927504"/>
      </c:scatterChart>
      <c:valAx>
        <c:axId val="735918384"/>
        <c:scaling>
          <c:orientation val="minMax"/>
          <c:max val="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f/cc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35927504"/>
        <c:crosses val="autoZero"/>
        <c:crossBetween val="midCat"/>
      </c:valAx>
      <c:valAx>
        <c:axId val="735927504"/>
        <c:scaling>
          <c:orientation val="minMax"/>
          <c:max val="1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35918384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en-NZ"/>
              <a:t>Pred(f/cc)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/>
          </c:tx>
          <c:spPr>
            <a:ln w="38100">
              <a:noFill/>
            </a:ln>
            <a:effectLst/>
          </c:spPr>
          <c:marker>
            <c:symbol val="circle"/>
            <c:size val="3"/>
            <c:spPr>
              <a:solidFill>
                <a:srgbClr val="2A7498"/>
              </a:solidFill>
              <a:ln>
                <a:solidFill>
                  <a:srgbClr val="2A7498"/>
                </a:solidFill>
                <a:prstDash val="solid"/>
              </a:ln>
            </c:spPr>
          </c:marker>
          <c:xVal>
            <c:numRef>
              <c:f>'Linear regression'!$F$97:$F$102</c:f>
              <c:numCache>
                <c:formatCode>0.000</c:formatCode>
                <c:ptCount val="6"/>
                <c:pt idx="0">
                  <c:v>-19.092135406442793</c:v>
                </c:pt>
                <c:pt idx="1">
                  <c:v>-11.162624394324952</c:v>
                </c:pt>
                <c:pt idx="2">
                  <c:v>38.692011353597032</c:v>
                </c:pt>
                <c:pt idx="3">
                  <c:v>126.35834538388454</c:v>
                </c:pt>
                <c:pt idx="4">
                  <c:v>334.8064866439255</c:v>
                </c:pt>
                <c:pt idx="5">
                  <c:v>671.75022296697955</c:v>
                </c:pt>
              </c:numCache>
            </c:numRef>
          </c:xVal>
          <c:yVal>
            <c:numRef>
              <c:f>'Linear regression'!$H$97:$H$102</c:f>
              <c:numCache>
                <c:formatCode>0.000</c:formatCode>
                <c:ptCount val="6"/>
                <c:pt idx="0">
                  <c:v>0.37297713628815221</c:v>
                </c:pt>
                <c:pt idx="1">
                  <c:v>0.45990256589027728</c:v>
                </c:pt>
                <c:pt idx="2">
                  <c:v>0.50166101323968892</c:v>
                </c:pt>
                <c:pt idx="3">
                  <c:v>-0.72729012043995267</c:v>
                </c:pt>
                <c:pt idx="4">
                  <c:v>-1.4621559081439965</c:v>
                </c:pt>
                <c:pt idx="5">
                  <c:v>0.85490531316583185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D9-4270-9562-3379A5573D3E}"/>
            </c:ext>
          </c:extLst>
        </c:ser>
        <c:ser>
          <c:idx val="1"/>
          <c:order val="1"/>
          <c:tx>
            <c:v/>
          </c:tx>
          <c:spPr>
            <a:ln w="38100">
              <a:noFill/>
            </a:ln>
            <a:effectLst/>
          </c:spPr>
          <c:marker>
            <c:symbol val="circle"/>
            <c:size val="3"/>
            <c:spPr>
              <a:solidFill>
                <a:srgbClr val="2A7498"/>
              </a:solidFill>
              <a:ln>
                <a:solidFill>
                  <a:srgbClr val="2A7498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-11.162624394324952</c:v>
              </c:pt>
            </c:numLit>
          </c:xVal>
          <c:yVal>
            <c:numLit>
              <c:formatCode>General</c:formatCode>
              <c:ptCount val="1"/>
              <c:pt idx="0">
                <c:v>0.45990256589027728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FD9-4270-9562-3379A5573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930384"/>
        <c:axId val="735910704"/>
      </c:scatterChart>
      <c:valAx>
        <c:axId val="735930384"/>
        <c:scaling>
          <c:orientation val="minMax"/>
          <c:max val="700"/>
          <c:min val="-100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Pred(f/cc)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35910704"/>
        <c:crosses val="autoZero"/>
        <c:crossBetween val="midCat"/>
      </c:valAx>
      <c:valAx>
        <c:axId val="735910704"/>
        <c:scaling>
          <c:orientation val="minMax"/>
          <c:max val="1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35930384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en-NZ"/>
              <a:t>Pred(f/cc) - f/cc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/>
          </c:tx>
          <c:spPr>
            <a:ln w="38100">
              <a:noFill/>
            </a:ln>
            <a:effectLst/>
          </c:spPr>
          <c:marker>
            <c:symbol val="circle"/>
            <c:size val="3"/>
            <c:spPr>
              <a:solidFill>
                <a:srgbClr val="2A7498"/>
              </a:solidFill>
              <a:ln>
                <a:solidFill>
                  <a:srgbClr val="2A7498"/>
                </a:solidFill>
                <a:prstDash val="solid"/>
              </a:ln>
            </c:spPr>
          </c:marker>
          <c:xVal>
            <c:numRef>
              <c:f>'Linear regression'!$F$97:$F$102</c:f>
              <c:numCache>
                <c:formatCode>0.000</c:formatCode>
                <c:ptCount val="6"/>
                <c:pt idx="0">
                  <c:v>-19.092135406442793</c:v>
                </c:pt>
                <c:pt idx="1">
                  <c:v>-11.162624394324952</c:v>
                </c:pt>
                <c:pt idx="2">
                  <c:v>38.692011353597032</c:v>
                </c:pt>
                <c:pt idx="3">
                  <c:v>126.35834538388454</c:v>
                </c:pt>
                <c:pt idx="4">
                  <c:v>334.8064866439255</c:v>
                </c:pt>
                <c:pt idx="5">
                  <c:v>671.75022296697955</c:v>
                </c:pt>
              </c:numCache>
            </c:numRef>
          </c:xVal>
          <c:yVal>
            <c:numRef>
              <c:f>'Linear regression'!$E$97:$E$102</c:f>
              <c:numCache>
                <c:formatCode>0.000</c:formatCode>
                <c:ptCount val="6"/>
                <c:pt idx="0">
                  <c:v>0</c:v>
                </c:pt>
                <c:pt idx="1">
                  <c:v>12.379092261904761</c:v>
                </c:pt>
                <c:pt idx="2">
                  <c:v>64.371279761904759</c:v>
                </c:pt>
                <c:pt idx="3">
                  <c:v>89.129464285714278</c:v>
                </c:pt>
                <c:pt idx="4">
                  <c:v>259.96093749999994</c:v>
                </c:pt>
                <c:pt idx="5">
                  <c:v>715.51153273809518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1D-42CD-9503-BF45E18633D6}"/>
            </c:ext>
          </c:extLst>
        </c:ser>
        <c:ser>
          <c:idx val="1"/>
          <c:order val="1"/>
          <c:tx>
            <c:v/>
          </c:tx>
          <c:spPr>
            <a:ln w="38100">
              <a:noFill/>
            </a:ln>
            <a:effectLst/>
          </c:spPr>
          <c:marker>
            <c:symbol val="circle"/>
            <c:size val="3"/>
            <c:spPr>
              <a:solidFill>
                <a:srgbClr val="2A7498"/>
              </a:solidFill>
              <a:ln>
                <a:solidFill>
                  <a:srgbClr val="2A7498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-11.162624394324952</c:v>
              </c:pt>
            </c:numLit>
          </c:xVal>
          <c:yVal>
            <c:numLit>
              <c:formatCode>General</c:formatCode>
              <c:ptCount val="1"/>
              <c:pt idx="0">
                <c:v>12.379092261904761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4C1D-42CD-9503-BF45E18633D6}"/>
            </c:ext>
          </c:extLst>
        </c:ser>
        <c:ser>
          <c:idx val="2"/>
          <c:order val="2"/>
          <c:tx>
            <c:v/>
          </c:tx>
          <c:spPr>
            <a:ln w="6350">
              <a:solidFill>
                <a:srgbClr val="989898"/>
              </a:solidFill>
              <a:prstDash val="solid"/>
            </a:ln>
            <a:effectLst/>
          </c:spPr>
          <c:marker>
            <c:symbol val="none"/>
          </c:marker>
          <c:xVal>
            <c:numRef>
              <c:f>XLSTAT_20241009_124736_1_HID!xdata5</c:f>
              <c:numCache>
                <c:formatCode>General</c:formatCode>
                <c:ptCount val="70"/>
                <c:pt idx="0">
                  <c:v>-46.725829741379698</c:v>
                </c:pt>
                <c:pt idx="1">
                  <c:v>-34.366031229760097</c:v>
                </c:pt>
                <c:pt idx="2">
                  <c:v>-22.006232718140499</c:v>
                </c:pt>
                <c:pt idx="3">
                  <c:v>-9.646434206520901</c:v>
                </c:pt>
                <c:pt idx="4">
                  <c:v>2.7133643050987004</c:v>
                </c:pt>
                <c:pt idx="5">
                  <c:v>15.073162816718302</c:v>
                </c:pt>
                <c:pt idx="6">
                  <c:v>27.432961328337896</c:v>
                </c:pt>
                <c:pt idx="7">
                  <c:v>39.792759839957498</c:v>
                </c:pt>
                <c:pt idx="8">
                  <c:v>52.152558351577099</c:v>
                </c:pt>
                <c:pt idx="9">
                  <c:v>64.5123568631967</c:v>
                </c:pt>
                <c:pt idx="10">
                  <c:v>76.872155374816302</c:v>
                </c:pt>
                <c:pt idx="11">
                  <c:v>89.231953886435889</c:v>
                </c:pt>
                <c:pt idx="12">
                  <c:v>101.59175239805549</c:v>
                </c:pt>
                <c:pt idx="13">
                  <c:v>113.95155090967509</c:v>
                </c:pt>
                <c:pt idx="14">
                  <c:v>126.31134942129469</c:v>
                </c:pt>
                <c:pt idx="15">
                  <c:v>138.67114793291429</c:v>
                </c:pt>
                <c:pt idx="16">
                  <c:v>151.0309464445339</c:v>
                </c:pt>
                <c:pt idx="17">
                  <c:v>163.3907449561535</c:v>
                </c:pt>
                <c:pt idx="18">
                  <c:v>175.7505434677731</c:v>
                </c:pt>
                <c:pt idx="19">
                  <c:v>188.1103419793927</c:v>
                </c:pt>
                <c:pt idx="20">
                  <c:v>200.4701404910123</c:v>
                </c:pt>
                <c:pt idx="21">
                  <c:v>212.82993900263187</c:v>
                </c:pt>
                <c:pt idx="22">
                  <c:v>225.18973751425148</c:v>
                </c:pt>
                <c:pt idx="23">
                  <c:v>237.54953602587108</c:v>
                </c:pt>
                <c:pt idx="24">
                  <c:v>249.90933453749068</c:v>
                </c:pt>
                <c:pt idx="25">
                  <c:v>262.26913304911028</c:v>
                </c:pt>
                <c:pt idx="26">
                  <c:v>274.62893156072988</c:v>
                </c:pt>
                <c:pt idx="27">
                  <c:v>286.98873007234948</c:v>
                </c:pt>
                <c:pt idx="28">
                  <c:v>299.34852858396908</c:v>
                </c:pt>
                <c:pt idx="29">
                  <c:v>311.70832709558869</c:v>
                </c:pt>
                <c:pt idx="30">
                  <c:v>324.06812560720829</c:v>
                </c:pt>
                <c:pt idx="31">
                  <c:v>336.42792411882789</c:v>
                </c:pt>
                <c:pt idx="32">
                  <c:v>348.78772263044749</c:v>
                </c:pt>
                <c:pt idx="33">
                  <c:v>361.14752114206709</c:v>
                </c:pt>
                <c:pt idx="34">
                  <c:v>373.50731965368669</c:v>
                </c:pt>
                <c:pt idx="35">
                  <c:v>385.86711816530629</c:v>
                </c:pt>
                <c:pt idx="36">
                  <c:v>398.2269166769259</c:v>
                </c:pt>
                <c:pt idx="37">
                  <c:v>410.5867151885455</c:v>
                </c:pt>
                <c:pt idx="38">
                  <c:v>422.9465137001651</c:v>
                </c:pt>
                <c:pt idx="39">
                  <c:v>435.3063122117847</c:v>
                </c:pt>
                <c:pt idx="40">
                  <c:v>447.6661107234043</c:v>
                </c:pt>
                <c:pt idx="41">
                  <c:v>460.0259092350239</c:v>
                </c:pt>
                <c:pt idx="42">
                  <c:v>472.38570774664345</c:v>
                </c:pt>
                <c:pt idx="43">
                  <c:v>484.74550625826305</c:v>
                </c:pt>
                <c:pt idx="44">
                  <c:v>497.10530476988265</c:v>
                </c:pt>
                <c:pt idx="45">
                  <c:v>509.46510328150225</c:v>
                </c:pt>
                <c:pt idx="46">
                  <c:v>521.82490179312185</c:v>
                </c:pt>
                <c:pt idx="47">
                  <c:v>534.18470030474145</c:v>
                </c:pt>
                <c:pt idx="48">
                  <c:v>546.54449881636106</c:v>
                </c:pt>
                <c:pt idx="49">
                  <c:v>558.90429732798066</c:v>
                </c:pt>
                <c:pt idx="50">
                  <c:v>571.26409583960026</c:v>
                </c:pt>
                <c:pt idx="51">
                  <c:v>583.62389435121986</c:v>
                </c:pt>
                <c:pt idx="52">
                  <c:v>595.98369286283946</c:v>
                </c:pt>
                <c:pt idx="53">
                  <c:v>608.34349137445906</c:v>
                </c:pt>
                <c:pt idx="54">
                  <c:v>620.70328988607866</c:v>
                </c:pt>
                <c:pt idx="55">
                  <c:v>633.06308839769827</c:v>
                </c:pt>
                <c:pt idx="56">
                  <c:v>645.42288690931787</c:v>
                </c:pt>
                <c:pt idx="57">
                  <c:v>657.78268542093747</c:v>
                </c:pt>
                <c:pt idx="58">
                  <c:v>670.14248393255707</c:v>
                </c:pt>
                <c:pt idx="59">
                  <c:v>682.50228244417667</c:v>
                </c:pt>
                <c:pt idx="60">
                  <c:v>694.86208095579627</c:v>
                </c:pt>
                <c:pt idx="61">
                  <c:v>707.22187946741587</c:v>
                </c:pt>
                <c:pt idx="62">
                  <c:v>719.58167797903548</c:v>
                </c:pt>
                <c:pt idx="63">
                  <c:v>731.94147649065508</c:v>
                </c:pt>
                <c:pt idx="64">
                  <c:v>744.30127500227468</c:v>
                </c:pt>
                <c:pt idx="65">
                  <c:v>756.66107351389428</c:v>
                </c:pt>
                <c:pt idx="66">
                  <c:v>769.02087202551388</c:v>
                </c:pt>
                <c:pt idx="67">
                  <c:v>781.38067053713348</c:v>
                </c:pt>
                <c:pt idx="68">
                  <c:v>793.74046904875308</c:v>
                </c:pt>
                <c:pt idx="69">
                  <c:v>806.10026756037269</c:v>
                </c:pt>
              </c:numCache>
            </c:numRef>
          </c:xVal>
          <c:yVal>
            <c:numRef>
              <c:f>XLSTAT_20241009_124736_1_HID!ydata5</c:f>
              <c:numCache>
                <c:formatCode>General</c:formatCode>
                <c:ptCount val="70"/>
                <c:pt idx="0">
                  <c:v>-210.06332584231228</c:v>
                </c:pt>
                <c:pt idx="1">
                  <c:v>-196.73211247420448</c:v>
                </c:pt>
                <c:pt idx="2">
                  <c:v>-183.44754292207395</c:v>
                </c:pt>
                <c:pt idx="3">
                  <c:v>-170.21042312551114</c:v>
                </c:pt>
                <c:pt idx="4">
                  <c:v>-157.02153491959285</c:v>
                </c:pt>
                <c:pt idx="5">
                  <c:v>-143.88163301718194</c:v>
                </c:pt>
                <c:pt idx="6">
                  <c:v>-130.79144198038455</c:v>
                </c:pt>
                <c:pt idx="7">
                  <c:v>-117.75165320517529</c:v>
                </c:pt>
                <c:pt idx="8">
                  <c:v>-104.76292194466181</c:v>
                </c:pt>
                <c:pt idx="9">
                  <c:v>-91.825864397610403</c:v>
                </c:pt>
                <c:pt idx="10">
                  <c:v>-78.941054889643041</c:v>
                </c:pt>
                <c:pt idx="11">
                  <c:v>-66.109023174898283</c:v>
                </c:pt>
                <c:pt idx="12">
                  <c:v>-53.330251885884394</c:v>
                </c:pt>
                <c:pt idx="13">
                  <c:v>-40.605174158715329</c:v>
                </c:pt>
                <c:pt idx="14">
                  <c:v>-27.934171459892497</c:v>
                </c:pt>
                <c:pt idx="15">
                  <c:v>-15.317571639271478</c:v>
                </c:pt>
                <c:pt idx="16">
                  <c:v>-2.7556472318448186</c:v>
                </c:pt>
                <c:pt idx="17">
                  <c:v>9.7513859714983937</c:v>
                </c:pt>
                <c:pt idx="18">
                  <c:v>22.20337006696559</c:v>
                </c:pt>
                <c:pt idx="19">
                  <c:v>34.600205880601607</c:v>
                </c:pt>
                <c:pt idx="20">
                  <c:v>46.941853500337857</c:v>
                </c:pt>
                <c:pt idx="21">
                  <c:v>59.228332490713484</c:v>
                </c:pt>
                <c:pt idx="22">
                  <c:v>71.45972178757782</c:v>
                </c:pt>
                <c:pt idx="23">
                  <c:v>83.636159274094751</c:v>
                </c:pt>
                <c:pt idx="24">
                  <c:v>95.757841043347241</c:v>
                </c:pt>
                <c:pt idx="25">
                  <c:v>107.82502035670151</c:v>
                </c:pt>
                <c:pt idx="26">
                  <c:v>119.83800631074703</c:v>
                </c:pt>
                <c:pt idx="27">
                  <c:v>131.79716222900342</c:v>
                </c:pt>
                <c:pt idx="28">
                  <c:v>143.70290379761093</c:v>
                </c:pt>
                <c:pt idx="29">
                  <c:v>155.55569696684094</c:v>
                </c:pt>
                <c:pt idx="30">
                  <c:v>167.35605564243181</c:v>
                </c:pt>
                <c:pt idx="31">
                  <c:v>179.10453919244674</c:v>
                </c:pt>
                <c:pt idx="32">
                  <c:v>190.80174979654876</c:v>
                </c:pt>
                <c:pt idx="33">
                  <c:v>202.44832966529148</c:v>
                </c:pt>
                <c:pt idx="34">
                  <c:v>214.04495815724769</c:v>
                </c:pt>
                <c:pt idx="35">
                  <c:v>225.592348821565</c:v>
                </c:pt>
                <c:pt idx="36">
                  <c:v>237.09124639288305</c:v>
                </c:pt>
                <c:pt idx="37">
                  <c:v>248.5424237645158</c:v>
                </c:pt>
                <c:pt idx="38">
                  <c:v>259.9466789644398</c:v>
                </c:pt>
                <c:pt idx="39">
                  <c:v>271.30483215699542</c:v>
                </c:pt>
                <c:pt idx="40">
                  <c:v>282.61772269135196</c:v>
                </c:pt>
                <c:pt idx="41">
                  <c:v>293.88620621576899</c:v>
                </c:pt>
                <c:pt idx="42">
                  <c:v>305.11115187455846</c:v>
                </c:pt>
                <c:pt idx="43">
                  <c:v>316.2934396024628</c:v>
                </c:pt>
                <c:pt idx="44">
                  <c:v>327.43395752896856</c:v>
                </c:pt>
                <c:pt idx="45">
                  <c:v>338.53359950290292</c:v>
                </c:pt>
                <c:pt idx="46">
                  <c:v>349.59326274556008</c:v>
                </c:pt>
                <c:pt idx="47">
                  <c:v>360.61384563859747</c:v>
                </c:pt>
                <c:pt idx="48">
                  <c:v>371.59624565105639</c:v>
                </c:pt>
                <c:pt idx="49">
                  <c:v>382.54135740811762</c:v>
                </c:pt>
                <c:pt idx="50">
                  <c:v>393.45007090260975</c:v>
                </c:pt>
                <c:pt idx="51">
                  <c:v>404.32326984885526</c:v>
                </c:pt>
                <c:pt idx="52">
                  <c:v>415.16183017717583</c:v>
                </c:pt>
                <c:pt idx="53">
                  <c:v>425.96661866627306</c:v>
                </c:pt>
                <c:pt idx="54">
                  <c:v>436.73849170976308</c:v>
                </c:pt>
                <c:pt idx="55">
                  <c:v>447.47829421235292</c:v>
                </c:pt>
                <c:pt idx="56">
                  <c:v>458.18685861051199</c:v>
                </c:pt>
                <c:pt idx="57">
                  <c:v>468.86500401198282</c:v>
                </c:pt>
                <c:pt idx="58">
                  <c:v>479.51353544810161</c:v>
                </c:pt>
                <c:pt idx="59">
                  <c:v>490.13324323263203</c:v>
                </c:pt>
                <c:pt idx="60">
                  <c:v>500.7249024206526</c:v>
                </c:pt>
                <c:pt idx="61">
                  <c:v>511.28927236096843</c:v>
                </c:pt>
                <c:pt idx="62">
                  <c:v>521.82709633551815</c:v>
                </c:pt>
                <c:pt idx="63">
                  <c:v>532.33910127932302</c:v>
                </c:pt>
                <c:pt idx="64">
                  <c:v>542.82599757465073</c:v>
                </c:pt>
                <c:pt idx="65">
                  <c:v>553.28847891324392</c:v>
                </c:pt>
                <c:pt idx="66">
                  <c:v>563.72722222067273</c:v>
                </c:pt>
                <c:pt idx="67">
                  <c:v>574.14288763711602</c:v>
                </c:pt>
                <c:pt idx="68">
                  <c:v>584.53611854913606</c:v>
                </c:pt>
                <c:pt idx="69">
                  <c:v>594.90754166729596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1D-42CD-9503-BF45E18633D6}"/>
            </c:ext>
          </c:extLst>
        </c:ser>
        <c:ser>
          <c:idx val="3"/>
          <c:order val="3"/>
          <c:tx>
            <c:v/>
          </c:tx>
          <c:spPr>
            <a:ln w="6350">
              <a:solidFill>
                <a:srgbClr val="989898"/>
              </a:solidFill>
              <a:prstDash val="solid"/>
            </a:ln>
            <a:effectLst/>
          </c:spPr>
          <c:marker>
            <c:symbol val="none"/>
          </c:marker>
          <c:xVal>
            <c:numRef>
              <c:f>XLSTAT_20241009_124736_1_HID!xdata6</c:f>
              <c:numCache>
                <c:formatCode>General</c:formatCode>
                <c:ptCount val="70"/>
                <c:pt idx="0">
                  <c:v>-22.910562487731401</c:v>
                </c:pt>
                <c:pt idx="1">
                  <c:v>-10.8959127768893</c:v>
                </c:pt>
                <c:pt idx="2">
                  <c:v>1.1187369339527997</c:v>
                </c:pt>
                <c:pt idx="3">
                  <c:v>13.1333866447949</c:v>
                </c:pt>
                <c:pt idx="4">
                  <c:v>25.148036355637</c:v>
                </c:pt>
                <c:pt idx="5">
                  <c:v>37.162686066479097</c:v>
                </c:pt>
                <c:pt idx="6">
                  <c:v>49.177335777321204</c:v>
                </c:pt>
                <c:pt idx="7">
                  <c:v>61.191985488163311</c:v>
                </c:pt>
                <c:pt idx="8">
                  <c:v>73.206635199005405</c:v>
                </c:pt>
                <c:pt idx="9">
                  <c:v>85.221284909847498</c:v>
                </c:pt>
                <c:pt idx="10">
                  <c:v>97.235934620689605</c:v>
                </c:pt>
                <c:pt idx="11">
                  <c:v>109.25058433153171</c:v>
                </c:pt>
                <c:pt idx="12">
                  <c:v>121.26523404237381</c:v>
                </c:pt>
                <c:pt idx="13">
                  <c:v>133.2798837532159</c:v>
                </c:pt>
                <c:pt idx="14">
                  <c:v>145.29453346405802</c:v>
                </c:pt>
                <c:pt idx="15">
                  <c:v>157.30918317490011</c:v>
                </c:pt>
                <c:pt idx="16">
                  <c:v>169.32383288574221</c:v>
                </c:pt>
                <c:pt idx="17">
                  <c:v>181.3384825965843</c:v>
                </c:pt>
                <c:pt idx="18">
                  <c:v>193.35313230742639</c:v>
                </c:pt>
                <c:pt idx="19">
                  <c:v>205.36778201826851</c:v>
                </c:pt>
                <c:pt idx="20">
                  <c:v>217.38243172911061</c:v>
                </c:pt>
                <c:pt idx="21">
                  <c:v>229.3970814399527</c:v>
                </c:pt>
                <c:pt idx="22">
                  <c:v>241.41173115079482</c:v>
                </c:pt>
                <c:pt idx="23">
                  <c:v>253.42638086163691</c:v>
                </c:pt>
                <c:pt idx="24">
                  <c:v>265.44103057247901</c:v>
                </c:pt>
                <c:pt idx="25">
                  <c:v>277.4556802833211</c:v>
                </c:pt>
                <c:pt idx="26">
                  <c:v>289.47032999416319</c:v>
                </c:pt>
                <c:pt idx="27">
                  <c:v>301.48497970500529</c:v>
                </c:pt>
                <c:pt idx="28">
                  <c:v>313.49962941584744</c:v>
                </c:pt>
                <c:pt idx="29">
                  <c:v>325.51427912668953</c:v>
                </c:pt>
                <c:pt idx="30">
                  <c:v>337.52892883753162</c:v>
                </c:pt>
                <c:pt idx="31">
                  <c:v>349.54357854837372</c:v>
                </c:pt>
                <c:pt idx="32">
                  <c:v>361.55822825921581</c:v>
                </c:pt>
                <c:pt idx="33">
                  <c:v>373.5728779700579</c:v>
                </c:pt>
                <c:pt idx="34">
                  <c:v>385.5875276809</c:v>
                </c:pt>
                <c:pt idx="35">
                  <c:v>397.60217739174209</c:v>
                </c:pt>
                <c:pt idx="36">
                  <c:v>409.61682710258418</c:v>
                </c:pt>
                <c:pt idx="37">
                  <c:v>421.63147681342633</c:v>
                </c:pt>
                <c:pt idx="38">
                  <c:v>433.64612652426842</c:v>
                </c:pt>
                <c:pt idx="39">
                  <c:v>445.66077623511052</c:v>
                </c:pt>
                <c:pt idx="40">
                  <c:v>457.67542594595261</c:v>
                </c:pt>
                <c:pt idx="41">
                  <c:v>469.6900756567947</c:v>
                </c:pt>
                <c:pt idx="42">
                  <c:v>481.7047253676368</c:v>
                </c:pt>
                <c:pt idx="43">
                  <c:v>493.71937507847889</c:v>
                </c:pt>
                <c:pt idx="44">
                  <c:v>505.73402478932104</c:v>
                </c:pt>
                <c:pt idx="45">
                  <c:v>517.74867450016302</c:v>
                </c:pt>
                <c:pt idx="46">
                  <c:v>529.76332421100517</c:v>
                </c:pt>
                <c:pt idx="47">
                  <c:v>541.77797392184721</c:v>
                </c:pt>
                <c:pt idx="48">
                  <c:v>553.79262363268936</c:v>
                </c:pt>
                <c:pt idx="49">
                  <c:v>565.80727334353151</c:v>
                </c:pt>
                <c:pt idx="50">
                  <c:v>577.82192305437354</c:v>
                </c:pt>
                <c:pt idx="51">
                  <c:v>589.83657276521569</c:v>
                </c:pt>
                <c:pt idx="52">
                  <c:v>601.85122247605773</c:v>
                </c:pt>
                <c:pt idx="53">
                  <c:v>613.86587218689988</c:v>
                </c:pt>
                <c:pt idx="54">
                  <c:v>625.88052189774191</c:v>
                </c:pt>
                <c:pt idx="55">
                  <c:v>637.89517160858406</c:v>
                </c:pt>
                <c:pt idx="56">
                  <c:v>649.90982131942621</c:v>
                </c:pt>
                <c:pt idx="57">
                  <c:v>661.92447103026825</c:v>
                </c:pt>
                <c:pt idx="58">
                  <c:v>673.9391207411104</c:v>
                </c:pt>
                <c:pt idx="59">
                  <c:v>685.95377045195244</c:v>
                </c:pt>
                <c:pt idx="60">
                  <c:v>697.96842016279459</c:v>
                </c:pt>
                <c:pt idx="61">
                  <c:v>709.98306987363662</c:v>
                </c:pt>
                <c:pt idx="62">
                  <c:v>721.99771958447877</c:v>
                </c:pt>
                <c:pt idx="63">
                  <c:v>734.01236929532081</c:v>
                </c:pt>
                <c:pt idx="64">
                  <c:v>746.02701900616296</c:v>
                </c:pt>
                <c:pt idx="65">
                  <c:v>758.04166871700511</c:v>
                </c:pt>
                <c:pt idx="66">
                  <c:v>770.05631842784715</c:v>
                </c:pt>
                <c:pt idx="67">
                  <c:v>782.0709681386893</c:v>
                </c:pt>
                <c:pt idx="68">
                  <c:v>794.08561784953133</c:v>
                </c:pt>
                <c:pt idx="69">
                  <c:v>806.10026756037348</c:v>
                </c:pt>
              </c:numCache>
            </c:numRef>
          </c:xVal>
          <c:yVal>
            <c:numRef>
              <c:f>XLSTAT_20241009_124736_1_HID!ydata6</c:f>
              <c:numCache>
                <c:formatCode>General</c:formatCode>
                <c:ptCount val="70"/>
                <c:pt idx="0">
                  <c:v>138.59681124033025</c:v>
                </c:pt>
                <c:pt idx="1">
                  <c:v>149.75458780498647</c:v>
                </c:pt>
                <c:pt idx="2">
                  <c:v>160.95786637466384</c:v>
                </c:pt>
                <c:pt idx="3">
                  <c:v>172.20734321219507</c:v>
                </c:pt>
                <c:pt idx="4">
                  <c:v>183.50368800765565</c:v>
                </c:pt>
                <c:pt idx="5">
                  <c:v>194.84754125793199</c:v>
                </c:pt>
                <c:pt idx="6">
                  <c:v>206.23951167543197</c:v>
                </c:pt>
                <c:pt idx="7">
                  <c:v>217.6801736476354</c:v>
                </c:pt>
                <c:pt idx="8">
                  <c:v>229.17006476986731</c:v>
                </c:pt>
                <c:pt idx="9">
                  <c:v>240.70968347405454</c:v>
                </c:pt>
                <c:pt idx="10">
                  <c:v>252.29948677626169</c:v>
                </c:pt>
                <c:pt idx="11">
                  <c:v>263.93988816548006</c:v>
                </c:pt>
                <c:pt idx="12">
                  <c:v>275.63125565543783</c:v>
                </c:pt>
                <c:pt idx="13">
                  <c:v>287.37391002011555</c:v>
                </c:pt>
                <c:pt idx="14">
                  <c:v>299.16812323218096</c:v>
                </c:pt>
                <c:pt idx="15">
                  <c:v>311.01411712172842</c:v>
                </c:pt>
                <c:pt idx="16">
                  <c:v>322.91206227053175</c:v>
                </c:pt>
                <c:pt idx="17">
                  <c:v>334.86207715454219</c:v>
                </c:pt>
                <c:pt idx="18">
                  <c:v>346.86422754462217</c:v>
                </c:pt>
                <c:pt idx="19">
                  <c:v>358.91852617255824</c:v>
                </c:pt>
                <c:pt idx="20">
                  <c:v>371.02493266630097</c:v>
                </c:pt>
                <c:pt idx="21">
                  <c:v>383.18335375519723</c:v>
                </c:pt>
                <c:pt idx="22">
                  <c:v>395.3936437427879</c:v>
                </c:pt>
                <c:pt idx="23">
                  <c:v>407.65560524159503</c:v>
                </c:pt>
                <c:pt idx="24">
                  <c:v>419.96899016130021</c:v>
                </c:pt>
                <c:pt idx="25">
                  <c:v>432.33350093886526</c:v>
                </c:pt>
                <c:pt idx="26">
                  <c:v>444.74879199653827</c:v>
                </c:pt>
                <c:pt idx="27">
                  <c:v>457.21447141136389</c:v>
                </c:pt>
                <c:pt idx="28">
                  <c:v>469.73010277781424</c:v>
                </c:pt>
                <c:pt idx="29">
                  <c:v>482.29520724351516</c:v>
                </c:pt>
                <c:pt idx="30">
                  <c:v>494.90926569677174</c:v>
                </c:pt>
                <c:pt idx="31">
                  <c:v>507.57172108370884</c:v>
                </c:pt>
                <c:pt idx="32">
                  <c:v>520.28198083233929</c:v>
                </c:pt>
                <c:pt idx="33">
                  <c:v>533.03941936073852</c:v>
                </c:pt>
                <c:pt idx="34">
                  <c:v>545.8433806467209</c:v>
                </c:pt>
                <c:pt idx="35">
                  <c:v>558.69318083695498</c:v>
                </c:pt>
                <c:pt idx="36">
                  <c:v>571.58811087428865</c:v>
                </c:pt>
                <c:pt idx="37">
                  <c:v>584.52743912314122</c:v>
                </c:pt>
                <c:pt idx="38">
                  <c:v>597.51041397412041</c:v>
                </c:pt>
                <c:pt idx="39">
                  <c:v>610.53626641049414</c:v>
                </c:pt>
                <c:pt idx="40">
                  <c:v>623.60421252074786</c:v>
                </c:pt>
                <c:pt idx="41">
                  <c:v>636.71345594315017</c:v>
                </c:pt>
                <c:pt idx="42">
                  <c:v>649.86319022998816</c:v>
                </c:pt>
                <c:pt idx="43">
                  <c:v>663.05260112089059</c:v>
                </c:pt>
                <c:pt idx="44">
                  <c:v>676.2808687163897</c:v>
                </c:pt>
                <c:pt idx="45">
                  <c:v>689.54716954456944</c:v>
                </c:pt>
                <c:pt idx="46">
                  <c:v>702.85067851526287</c:v>
                </c:pt>
                <c:pt idx="47">
                  <c:v>716.19057075779233</c:v>
                </c:pt>
                <c:pt idx="48">
                  <c:v>729.56602333968112</c:v>
                </c:pt>
                <c:pt idx="49">
                  <c:v>742.9762168650625</c:v>
                </c:pt>
                <c:pt idx="50">
                  <c:v>756.42033695271311</c:v>
                </c:pt>
                <c:pt idx="51">
                  <c:v>769.89757559468865</c:v>
                </c:pt>
                <c:pt idx="52">
                  <c:v>783.40713239747527</c:v>
                </c:pt>
                <c:pt idx="53">
                  <c:v>796.94821570838189</c:v>
                </c:pt>
                <c:pt idx="54">
                  <c:v>810.5200436305704</c:v>
                </c:pt>
                <c:pt idx="55">
                  <c:v>824.12184493070242</c:v>
                </c:pt>
                <c:pt idx="56">
                  <c:v>837.75285984362586</c:v>
                </c:pt>
                <c:pt idx="57">
                  <c:v>851.41234077888964</c:v>
                </c:pt>
                <c:pt idx="58">
                  <c:v>865.09955293413168</c:v>
                </c:pt>
                <c:pt idx="59">
                  <c:v>878.81377482056314</c:v>
                </c:pt>
                <c:pt idx="60">
                  <c:v>892.55429870587898</c:v>
                </c:pt>
                <c:pt idx="61">
                  <c:v>906.32043097995552</c:v>
                </c:pt>
                <c:pt idx="62">
                  <c:v>920.11149244867863</c:v>
                </c:pt>
                <c:pt idx="63">
                  <c:v>933.92681856117088</c:v>
                </c:pt>
                <c:pt idx="64">
                  <c:v>947.76575957557884</c:v>
                </c:pt>
                <c:pt idx="65">
                  <c:v>961.62768066842989</c:v>
                </c:pt>
                <c:pt idx="66">
                  <c:v>975.51196199239587</c:v>
                </c:pt>
                <c:pt idx="67">
                  <c:v>989.41799868710518</c:v>
                </c:pt>
                <c:pt idx="68">
                  <c:v>1003.3452008474294</c:v>
                </c:pt>
                <c:pt idx="69">
                  <c:v>1017.2929934534503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C1D-42CD-9503-BF45E18633D6}"/>
            </c:ext>
          </c:extLst>
        </c:ser>
        <c:ser>
          <c:idx val="4"/>
          <c:order val="4"/>
          <c:spPr>
            <a:ln w="635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-400</c:v>
              </c:pt>
              <c:pt idx="1">
                <c:v>1200</c:v>
              </c:pt>
            </c:numLit>
          </c:xVal>
          <c:yVal>
            <c:numLit>
              <c:formatCode>General</c:formatCode>
              <c:ptCount val="2"/>
              <c:pt idx="0">
                <c:v>-400</c:v>
              </c:pt>
              <c:pt idx="1">
                <c:v>1200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4C1D-42CD-9503-BF45E1863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919344"/>
        <c:axId val="735912624"/>
      </c:scatterChart>
      <c:valAx>
        <c:axId val="735919344"/>
        <c:scaling>
          <c:orientation val="minMax"/>
          <c:max val="1200"/>
          <c:min val="-400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Pred(f/cc)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35912624"/>
        <c:crosses val="autoZero"/>
        <c:crossBetween val="midCat"/>
      </c:valAx>
      <c:valAx>
        <c:axId val="735912624"/>
        <c:scaling>
          <c:orientation val="minMax"/>
          <c:max val="1200"/>
          <c:min val="-40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f/cc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35919344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en-NZ"/>
              <a:t>Standardized residuals / f/cc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2A7498"/>
            </a:solidFill>
            <a:ln>
              <a:solidFill>
                <a:srgbClr val="2A7498"/>
              </a:solidFill>
              <a:prstDash val="solid"/>
            </a:ln>
          </c:spPr>
          <c:invertIfNegative val="0"/>
          <c:cat>
            <c:strRef>
              <c:f>'Linear regression'!$B$97:$B$102</c:f>
              <c:strCache>
                <c:ptCount val="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</c:strCache>
            </c:strRef>
          </c:cat>
          <c:val>
            <c:numRef>
              <c:f>'Linear regression'!$H$97:$H$102</c:f>
              <c:numCache>
                <c:formatCode>0.000</c:formatCode>
                <c:ptCount val="6"/>
                <c:pt idx="0">
                  <c:v>0.37297713628815221</c:v>
                </c:pt>
                <c:pt idx="1">
                  <c:v>0.45990256589027728</c:v>
                </c:pt>
                <c:pt idx="2">
                  <c:v>0.50166101323968892</c:v>
                </c:pt>
                <c:pt idx="3">
                  <c:v>-0.72729012043995267</c:v>
                </c:pt>
                <c:pt idx="4">
                  <c:v>-1.4621559081439965</c:v>
                </c:pt>
                <c:pt idx="5">
                  <c:v>0.85490531316583185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1-4751-9835-F8E0692F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735931824"/>
        <c:axId val="735911664"/>
      </c:barChart>
      <c:catAx>
        <c:axId val="735931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35911664"/>
        <c:crosses val="autoZero"/>
        <c:auto val="1"/>
        <c:lblAlgn val="ctr"/>
        <c:lblOffset val="100"/>
        <c:noMultiLvlLbl val="0"/>
      </c:catAx>
      <c:valAx>
        <c:axId val="735911664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35931824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39" noThreeD="1" sel="7" val="0">
  <itemLst>
    <item val="Summary statistics"/>
    <item val="Correlation matrix"/>
    <item val="Regression of variable f/cc"/>
    <item val="Goodness of fit statistics (f/cc)"/>
    <item val="Analysis of variance (f/cc)"/>
    <item val="Model parameters (f/cc)"/>
    <item val="Equation of the model (f/cc)"/>
    <item val="Standardized coefficients (f/cc)"/>
    <item val="Predictions and residuals (f/cc)"/>
  </itemLst>
</formControlPr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4.png"/><Relationship Id="rId7" Type="http://schemas.openxmlformats.org/officeDocument/2006/relationships/chart" Target="../charts/chart3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chart" Target="../charts/chart2.xml"/><Relationship Id="rId11" Type="http://schemas.openxmlformats.org/officeDocument/2006/relationships/chart" Target="../charts/chart7.xml"/><Relationship Id="rId5" Type="http://schemas.openxmlformats.org/officeDocument/2006/relationships/image" Target="../media/image6.png"/><Relationship Id="rId10" Type="http://schemas.openxmlformats.org/officeDocument/2006/relationships/chart" Target="../charts/chart6.xml"/><Relationship Id="rId4" Type="http://schemas.openxmlformats.org/officeDocument/2006/relationships/image" Target="../media/image5.png"/><Relationship Id="rId9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368194</xdr:colOff>
      <xdr:row>22</xdr:row>
      <xdr:rowOff>124064</xdr:rowOff>
    </xdr:from>
    <xdr:to>
      <xdr:col>6</xdr:col>
      <xdr:colOff>550322</xdr:colOff>
      <xdr:row>28</xdr:row>
      <xdr:rowOff>5530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BE3998B-0C12-149B-9994-DC61FA4E5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534" y="4098151"/>
          <a:ext cx="4524408" cy="962032"/>
        </a:xfrm>
        <a:prstGeom prst="rect">
          <a:avLst/>
        </a:prstGeom>
      </xdr:spPr>
    </xdr:pic>
    <xdr:clientData/>
  </xdr:twoCellAnchor>
  <xdr:twoCellAnchor>
    <xdr:from>
      <xdr:col>5</xdr:col>
      <xdr:colOff>32106</xdr:colOff>
      <xdr:row>58</xdr:row>
      <xdr:rowOff>155182</xdr:rowOff>
    </xdr:from>
    <xdr:to>
      <xdr:col>16</xdr:col>
      <xdr:colOff>32105</xdr:colOff>
      <xdr:row>88</xdr:row>
      <xdr:rowOff>21403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08E4E5-718B-C8A4-B79B-CF0DCD4FC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</xdr:colOff>
      <xdr:row>5</xdr:row>
      <xdr:rowOff>0</xdr:rowOff>
    </xdr:from>
    <xdr:to>
      <xdr:col>2</xdr:col>
      <xdr:colOff>38100</xdr:colOff>
      <xdr:row>5</xdr:row>
      <xdr:rowOff>25400</xdr:rowOff>
    </xdr:to>
    <xdr:sp macro="" textlink="">
      <xdr:nvSpPr>
        <xdr:cNvPr id="2" name="TX474891" hidden="1">
          <a:extLst>
            <a:ext uri="{FF2B5EF4-FFF2-40B4-BE49-F238E27FC236}">
              <a16:creationId xmlns:a16="http://schemas.microsoft.com/office/drawing/2014/main" id="{AC850222-DE98-2372-707D-E7788E5B397B}"/>
            </a:ext>
          </a:extLst>
        </xdr:cNvPr>
        <xdr:cNvSpPr txBox="1"/>
      </xdr:nvSpPr>
      <xdr:spPr>
        <a:xfrm>
          <a:off x="1008063" y="904875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NZ" sz="1100"/>
            <a:t>RunProcREG
Form53.txt
TextBoxList,TextBox,,False,03,False,,False,,,
CheckBoxTrans,CheckBox,0,False,04,False,Trans,False,,,
ComboBox_TestMethod,ComboBox,0,True,200000000300_Validation,True,Select the method for the extraction of validation data,False,,,
TextBoxTestNumber,TextBox,1,True,200000000500_Validation,True,,False,,,
RefEditGroup,RefEdit0,,True,200000000700_Validation,True,Group variable:,False,,,
CheckBox_Validation,CheckBox,0,True,200000000100_Validation,True,Validation,False,,,
CheckBoxSort,CheckBox,0,True,510000000201_Outputs|Means,True,Sort up,False,,,
CheckBoxApplyAll,CheckBox,0,True,510000000101_Outputs|Means,True,Apply to all factors,False,,,
CheckBoxMCompare,CheckBox,0,True,510000000001_Outputs|Means,True,Multiple comparisons,False,,,
CheckBoxCIMeans,CheckBox,0,True,510000000301_Outputs|Means,True,Confidence intervals,False,,,
CheckBoxSlopes,CheckBox,0,False,510000000401_Outputs|Means,False,Comparison of slopes,False,,,
CheckBoxPairwise,CheckBox,0,True,510000000002_Outputs|Means,True,Pairwise comparisons,False,,,
CheckBoxControl,CheckBox,0,True,510000000102_Outputs|Means,True,Comparisons with a control,False,,,
CheckBoxMeanSq,CheckBox,0,True,510000000202_Outputs|Means,True,Choose the MSE,False,,,
CheckBoxProtected,CheckBox,0,True,510000000302_Outputs|Means,True,Protected,False,,,
CheckBoxTB,CheckBox,0,True,510000000402_Outputs|Means,True,Top/Bottom boxes,False,,,
OptionButtonTB2,OptionButton,-1,True,510000000502_Outputs|Means,True,2,False,,,
OptionButtonTB3,OptionButton,0,True,510000000602_Outputs|Means,True,3,False,,,
CheckBoxMeanConfTab,CheckBox,-1,True,510000000300_Outputs|Means,True,Confidence interval,False,,,
CheckBoxMeans,CheckBox,-1,True,510000000000_Outputs|Means,True,Means,False,,,
CheckBoxMeanStdError,CheckBox,-1,True,510000000200_Outputs|Means,True,Standard errors,False,,,
CheckBoxLSM,CheckBox,-1,True,510000000100_Outputs|Means,True,LS means,False,,,
CheckBox_Desc,CheckBox,-1,True,500000000000_Outputs|General,True,Descriptive statistics,False,,,
CheckBox_Corr,CheckBox,-1,True,500000000100_Outputs|General,True,Correlations,False,,,
CheckBox_AV,CheckBox,-1,True,500000000400_Outputs|General,True,Analysis of variance,False,,,
CheckBoxPress,CheckBox,0,True,500000000600_Outputs|General,True,Press,False,,,
CheckBox_TISS,CheckBox,0,True,500000000500_Outputs|General,True,Type I/III SS,False,,,
CheckBoxMultiCo,CheckBox,0,True,500000000200_Outputs|General,True,Multicolinearity statistics,False,,,
CheckBoxInterpret,CheckBox,0,True,500000000700_Outputs|General,True,Interpretation,False,,,
CheckBox_Resid,CheckBox,-1,True,500000000101_Outputs|General,True,Predictions and residuals,False,,,
CheckBoxStdCoeff,CheckBox,-1,True,500000000001_Outputs|General,True,Standardized coefficients,False,,,
CheckBoxDiag,CheckBox,0,True,500000000501_Outputs|General,True,Influence diagnostics,False,,,
CheckBoxAdjPred,CheckBox,0,True,500000000401_Outputs|General,True,Adjusted predictions,False,,,
CheckBoxWelch,CheckBox,0,False,500000000601_Outputs|General,False,Welch statistic,False,,,
CheckBoxDispX,CheckBox,0,True,500000000201_Outputs|General,True,X,False,,,
CheckBoxPredConf,CheckBox,-1,True,500000000301_Outputs|General,True,Confidence intervals,False,,,
CheckBoxContrasts,CheckBox,0,True,520000000000_Outputs|Contrasts,True,Compute contrasts,False,,,
RefEditContrasts,RefEdit,,True,520000000200_Outputs|Contrasts,True,Definition:,False,,,
CheckBoxLevene,CheckBox,0,False,530000000100_Outputs|Test assumptions,False,Levene's test,False,,,
CheckBox_Intercept,CheckBox,0,True,100000000000_Options|Model,True,Fixed Intercept,False,,,
TextBox_Intercept,TextBox,0,True,100000010000_Options|Model,True,Fixed Intercept:,False,,,
TextBoxTol,TextBox,0.0001,True,100000030000_Options|Model,True,Tolerance:,False,,,
TextBox_Conf,TextBox,95,True,100000010200_Options|Model,True,Confidence interval (%):,False,,,
CheckBox_Interactions,CheckBox,0,True,100000000100_Options|Model,True,Interactions / Level,False,,,
TextBoxLevel,TextBox,2,True,100000010100_Options|Model,True,,False,,,
ComboBox_Selection,ComboBox,0,True,100000000101_Options|Model,True,Choose a model selection method,False,,,
CheckBox_Selection,CheckBox,0,True,100000000001_Options|Model,True,Model selection,False,,,
ComboBox_Criterion,ComboBox,0,True,100000000301_Options|Model,True,Criterion:,False,,,
TextBox_Threshold,TextBox,0.1,False,100000000501_Options|Model,False,Probability for removal:,False,,,
TextBox_MinVar,TextBox,2,True,100000000701_Options|Model,True,Min variables:,False,,,
TextBox_MaxVar,TextBox,2,True,100000000901_Options|Model,True,Max variables:,False,,,
TextBoxEntrance,TextBox,0.05,False,100000001101_Options|Model,False,Probability for entry:,False,,,
ComboBox_Constraints,ComboBox,1,True,110000010000_Options|ANOVA / ANCOVA,True,Select the type of constraint to apply to the qualitative variables of the OLS model,False,,,
CheckBoxNested,CheckBox,0,True,110000000100_Options|ANOVA / ANCOVA,True,Nested effects,False,,,
CheckBoxHetero,CheckBox,0,True,120000000100_Options|Covariances,True,Heteroscedasticity,False,,,
ComboBoxHACMethod,ComboBox,0,True,120000010200_Options|Covariances,True,Method:,False,,,
CheckBoxAutoCorr,CheckBox,0,True,120000000300_Options|Covariances,True,Autocorrelation,False,,,
TextBoxLag,TextBox,1,True,120000010400_Options|Covariances,True,Lag: ,False,,,
CheckBox_Predict,CheckBox,0,True,300000000102_Prediction,True,Prediction,False,,,
RefEdit_QPred,RefEdit0,,True,300000000402_Prediction,True,Qualitative:,False,,,
RefEdit_XPred,RefEdit0,,True,300000000302_Prediction,True,Quantitative:,False,,,
CheckBox_ObsLabelsPred,CheckBox,0,True,300000000502_Prediction,True,Observation labels,False,,,
RefEdit_PredLabels,RefEdit0,,True,300000000602_Prediction,True,,False,,,
OptionButton_MVEstimate,OptionButton,0,True,400000000400_Missing data,True,Estimate missing data,False,,,
OptionButton_MeanMode,OptionButton,-1,True,400000000500_Missing data,True,Mean or mode,False,,,
OptionButton_NN,OptionButton,0,True,400000010500_Missing data,True,Nearest neighbor,False,,,
OptionButton_MVRemove,OptionButton,-1,True,400000000100_Missing data,True,Remove the observations,False,,,
OptionButtonEachY,OptionButton,0,True,400000000200_Missing data,True,Check for each Y separately,False,,,
OptionButtonAcrossAll,OptionButton,-1,True,400000010200_Missing data,True,Across all Ys,False,,,
OptionButtonMVRefuse,OptionButton,0,True,400000000000_Missing data,True,Do not accept missing data,False,,,
OptionButton_MVIgnore,OptionButton,0,True,400000000300_Missing data,True,Ignore missing data,False,,,
CheckBoxResidCharts,CheckBox,-1,True,600000000200_Charts,True,Predictions and residuals,False,,,
CheckBoxRegCharts,CheckBox,-1,True,600000000000_Charts,True,Regression charts,False,,,
CheckBoxChartsCoeff,CheckBox,-1,True,600000000100_Charts,True,Standardized coefficients,False,,,
CheckBox_Conf,CheckBox,-1,True,600000000300_Charts,True,Confidence intervals,False,,,
OptionButtonCol,OptionButton,-1,True,000000010000_General,True,Column,False,,,
OptionButtonTab,OptionButton,0,True,000000020000_General,True,Table,False,,,
RefEditDataTable,RefEdit0,,True,000000010100_General,True,Data table:,False,,,
TextBoxNbFactors,TextBox,1,True,000001030100_General,True,Number of factors:,False,,,
OptionButton_W,OptionButton,0,True,000000000001_General,True,Workbook,False,,,
OptionButton_R,OptionButton,0,True,000000010001_General,True,Range,False,,,
OptionButton_S,OptionButton,-1,True,000000020001_General,True,Sheet,False,,,
RefEdit_R,RefEdit,,True,000000000101_General,True,Range:,False,,,
CheckBoxVarLabels,CheckBox,-1,True,000000000201_General,True,Variable labels,False,,,
CheckBox_ObsLabels,CheckBox,0,True,000000010301_General,True,Observation labels,False,,,
RefEdit_Wr,RefEdit0,,True,000000060301_General,True,Regression weights:,False,,,
CheckBox_Wr,CheckBox,0,True,000000050301_General,True,Regression weights,False,,,
RefEdit_ObsLabels,RefEdit0,,True,000000020301_General,True,Observation labels:,False,,,
CheckBox_W,CheckBox,0,True,000000030301_General,True,Observation weights,False,,,
RefEdit_W,RefEdit0,,True,000000040301_General,True,Observation weights:,False,,,
FileSelect2,CommandButton,,False,300000000702_Prediction,False,,False,,,
CheckBoxNorm,CheckBox,0,True,530000000000_Outputs|Test assumptions,True,Normality test,False,,,
OptionButtonMean,OptionButton,-1,True,530000000200_Outputs|Test assumptions,True,Mean,False,,,
OptionButtonMedian,OptionButton,0,True,530000010200_Outputs|Test assumptions,True,Median,False,,,
RefEdit_Y,RefEdit0,'Sheet2'!$B$1:$B$7,True,000000030200_General,True,Y / Dependent variables:,False,,5,1
FileSelect1,CommandButton,,False,000000040200_General,False,,False,,,
ScrollBarSelect,ScrollBar,0,False,05,False,,,,,
CheckBox_X,CheckBox,-1,True,000001050200_General,True,Quantitative,False,,,
RefEdit_X,RefEdit0,'Sheet2'!$A$1:$A$7,True,000002050200_General,True,X / Explanatory variables:,False,,0,0
CheckBox_Q,CheckBox,0,True,000003050200_General,True,Qualitative,False,,,
RefEdit_Q,RefEdit0,,True,000004050200_General,True,Qualitative:,False,,,
CheckBoxMeansCharts,CheckBox,-1,True,600000000400_Charts,True,Means charts,False,,,
CheckBoxMeanConf,CheckBox,0,True,600000010400_Charts,True,Confidence intervals,False,,,
CheckBoxBar,CheckBox,0,True,600000020400_Charts,True,Bar chart,False,,,
CheckBox_PredVarLabels,CheckBox,0,True,300000001002_Prediction,True,Variable labels,False,,,
ScrollBarLevel,SpinButton,2,True,100000020100_Options|Model,False,,,,,
CheckBoxRand,CheckBox,0,True,110000000200_Options|ANOVA / ANCOVA,True,Random effects,False,,,
CheckBoxRestricted,CheckBox,0,True,110000010200_Options|ANOVA / ANCOVA,True,Restricted ANOVA,False,,,
CheckBoxProp,CheckBox,0,True,600000030400_Charts,True,Proportional,False,,,
CheckBoxSummary,CheckBox,-1,True,510000000702_Outputs|Means,True,Summary,False,,,
CheckBoxSumCharts,CheckBox,-1,True,600000000001_Charts,True,Summary charts,False,,,
CheckBoxFilterY,CheckBox,0,True,600000000101_Charts,True,Filter Ys,False,,,
CheckBoxDemsar,CheckBox,0,False,600000040400_Charts,False,Demsar plots,False,,,
CheckBoxContBonf,CheckBox,-1,True,520000000300_Outputs|Contrasts,True,Bonferroni correction,False,,,
SpinButtonNbFactors,SpinButton,5,True,000002030100_General,False,,,,,
CheckBoxWithEta,CheckBox,0,True,500000000300_Outputs|General,True,Effect size measures,False,,,
RefEdit_G,RefEdit0,,True,000000080301_General,True,Groups:,False,,,
CheckBox_G,CheckBox,0,True,000000070301_General,True,Groups,False,,,
CheckBoxSortMeans,CheckBox,0,True,510000000400_Outputs|Means,True,Sort the means,False,,,
RefEditClusters,RefEdit0,,True,120000010500_Options|Covariances,True,Clusters:,False,,,
CheckBoxPoints,CheckBox,0,True,600000050400_Charts,True,With points,False,,,
CheckBoxValues,CheckBox,0,True,600000000201_Charts,True,Values,False,,,
CheckBoxHoriz,CheckBox,0,True,600000000301_Charts,True,Display horizontally,False,,,
ListBoxPairwise,TextBox,Click to select variables:,True,510000000802_Outputs|Means,True,Pairwise comparisons:,False,,,
ListBoxControl,TextBox,,True,510000000902_Outputs|Means,True,Comparisons with a control:,False,,,
CheckBoxGroupsColor,CheckBox,-1,True,000000090301_General,True,Regression by group,False,,,
</a:t>
          </a:r>
        </a:p>
      </xdr:txBody>
    </xdr:sp>
    <xdr:clientData/>
  </xdr:twoCellAnchor>
  <xdr:twoCellAnchor editAs="absolute">
    <xdr:from>
      <xdr:col>1</xdr:col>
      <xdr:colOff>6350</xdr:colOff>
      <xdr:row>5</xdr:row>
      <xdr:rowOff>6350</xdr:rowOff>
    </xdr:from>
    <xdr:to>
      <xdr:col>3</xdr:col>
      <xdr:colOff>654050</xdr:colOff>
      <xdr:row>5</xdr:row>
      <xdr:rowOff>471488</xdr:rowOff>
    </xdr:to>
    <xdr:sp macro="" textlink="">
      <xdr:nvSpPr>
        <xdr:cNvPr id="3" name="BK474891">
          <a:extLst>
            <a:ext uri="{FF2B5EF4-FFF2-40B4-BE49-F238E27FC236}">
              <a16:creationId xmlns:a16="http://schemas.microsoft.com/office/drawing/2014/main" id="{6D624D89-7FE3-C0F4-5BFE-1BE59E798965}"/>
            </a:ext>
          </a:extLst>
        </xdr:cNvPr>
        <xdr:cNvSpPr/>
      </xdr:nvSpPr>
      <xdr:spPr>
        <a:xfrm>
          <a:off x="354013" y="911225"/>
          <a:ext cx="1943100" cy="465138"/>
        </a:xfrm>
        <a:prstGeom prst="roundRect">
          <a:avLst/>
        </a:prstGeom>
        <a:solidFill>
          <a:srgbClr val="F5F5F5"/>
        </a:solidFill>
        <a:ln w="12700">
          <a:solidFill>
            <a:srgbClr val="C95217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 editAs="absolute">
    <xdr:from>
      <xdr:col>1</xdr:col>
      <xdr:colOff>88900</xdr:colOff>
      <xdr:row>5</xdr:row>
      <xdr:rowOff>53975</xdr:rowOff>
    </xdr:from>
    <xdr:to>
      <xdr:col>1</xdr:col>
      <xdr:colOff>450850</xdr:colOff>
      <xdr:row>5</xdr:row>
      <xdr:rowOff>415925</xdr:rowOff>
    </xdr:to>
    <xdr:pic macro="[0]!ReRunXLSTAT">
      <xdr:nvPicPr>
        <xdr:cNvPr id="4" name="BT474891">
          <a:extLst>
            <a:ext uri="{FF2B5EF4-FFF2-40B4-BE49-F238E27FC236}">
              <a16:creationId xmlns:a16="http://schemas.microsoft.com/office/drawing/2014/main" id="{B1CD2147-164F-2A14-4CEC-D83381D4E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563" y="958850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1</xdr:col>
      <xdr:colOff>561339</xdr:colOff>
      <xdr:row>5</xdr:row>
      <xdr:rowOff>53975</xdr:rowOff>
    </xdr:from>
    <xdr:to>
      <xdr:col>2</xdr:col>
      <xdr:colOff>275589</xdr:colOff>
      <xdr:row>5</xdr:row>
      <xdr:rowOff>415925</xdr:rowOff>
    </xdr:to>
    <xdr:pic macro="[0]!AddRemovGrid">
      <xdr:nvPicPr>
        <xdr:cNvPr id="5" name="RM474891" hidden="1">
          <a:extLst>
            <a:ext uri="{FF2B5EF4-FFF2-40B4-BE49-F238E27FC236}">
              <a16:creationId xmlns:a16="http://schemas.microsoft.com/office/drawing/2014/main" id="{DE3FC457-A57E-229E-29C7-4D5BA3AE7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002" y="958850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1</xdr:col>
      <xdr:colOff>561339</xdr:colOff>
      <xdr:row>5</xdr:row>
      <xdr:rowOff>53975</xdr:rowOff>
    </xdr:from>
    <xdr:to>
      <xdr:col>2</xdr:col>
      <xdr:colOff>275589</xdr:colOff>
      <xdr:row>5</xdr:row>
      <xdr:rowOff>415925</xdr:rowOff>
    </xdr:to>
    <xdr:pic macro="[0]!AddRemovGrid">
      <xdr:nvPicPr>
        <xdr:cNvPr id="6" name="AD474891">
          <a:extLst>
            <a:ext uri="{FF2B5EF4-FFF2-40B4-BE49-F238E27FC236}">
              <a16:creationId xmlns:a16="http://schemas.microsoft.com/office/drawing/2014/main" id="{296919BF-5155-A2A1-2560-2EA50D75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9002" y="958850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2</xdr:col>
      <xdr:colOff>386080</xdr:colOff>
      <xdr:row>5</xdr:row>
      <xdr:rowOff>53975</xdr:rowOff>
    </xdr:from>
    <xdr:to>
      <xdr:col>3</xdr:col>
      <xdr:colOff>100330</xdr:colOff>
      <xdr:row>5</xdr:row>
      <xdr:rowOff>415925</xdr:rowOff>
    </xdr:to>
    <xdr:pic macro="[0]!SendToOfficeLocal">
      <xdr:nvPicPr>
        <xdr:cNvPr id="7" name="WD474891">
          <a:extLst>
            <a:ext uri="{FF2B5EF4-FFF2-40B4-BE49-F238E27FC236}">
              <a16:creationId xmlns:a16="http://schemas.microsoft.com/office/drawing/2014/main" id="{65DF0783-31F7-377E-3196-73FA03ABC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81443" y="958850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3</xdr:col>
      <xdr:colOff>210820</xdr:colOff>
      <xdr:row>5</xdr:row>
      <xdr:rowOff>53975</xdr:rowOff>
    </xdr:from>
    <xdr:to>
      <xdr:col>3</xdr:col>
      <xdr:colOff>572770</xdr:colOff>
      <xdr:row>5</xdr:row>
      <xdr:rowOff>415925</xdr:rowOff>
    </xdr:to>
    <xdr:pic macro="[0]!SendToOfficeLocal">
      <xdr:nvPicPr>
        <xdr:cNvPr id="8" name="PT474891">
          <a:extLst>
            <a:ext uri="{FF2B5EF4-FFF2-40B4-BE49-F238E27FC236}">
              <a16:creationId xmlns:a16="http://schemas.microsoft.com/office/drawing/2014/main" id="{E8980D7C-5490-D56E-22C8-302DF614A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3883" y="958850"/>
          <a:ext cx="361950" cy="361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7</xdr:col>
      <xdr:colOff>0</xdr:colOff>
      <xdr:row>91</xdr:row>
      <xdr:rowOff>11430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A373321-2275-5D15-31D7-3A36F1B8D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246063</xdr:colOff>
      <xdr:row>103</xdr:row>
      <xdr:rowOff>66675</xdr:rowOff>
    </xdr:from>
    <xdr:to>
      <xdr:col>17</xdr:col>
      <xdr:colOff>417513</xdr:colOff>
      <xdr:row>121</xdr:row>
      <xdr:rowOff>78105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FAAB027-A8EF-09F6-27FC-94900FD28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124</xdr:row>
      <xdr:rowOff>0</xdr:rowOff>
    </xdr:from>
    <xdr:to>
      <xdr:col>7</xdr:col>
      <xdr:colOff>0</xdr:colOff>
      <xdr:row>142</xdr:row>
      <xdr:rowOff>11430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3D7389F-9D73-D4CF-E839-AF0098C1F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127000</xdr:colOff>
      <xdr:row>124</xdr:row>
      <xdr:rowOff>0</xdr:rowOff>
    </xdr:from>
    <xdr:to>
      <xdr:col>13</xdr:col>
      <xdr:colOff>298450</xdr:colOff>
      <xdr:row>142</xdr:row>
      <xdr:rowOff>11430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166D9AA-795D-F4DC-C4FD-58A4AF2B7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425450</xdr:colOff>
      <xdr:row>124</xdr:row>
      <xdr:rowOff>0</xdr:rowOff>
    </xdr:from>
    <xdr:to>
      <xdr:col>19</xdr:col>
      <xdr:colOff>596900</xdr:colOff>
      <xdr:row>142</xdr:row>
      <xdr:rowOff>11430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D5EAACE-A22B-E2CA-BD31-B78DB4766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161924</xdr:colOff>
      <xdr:row>103</xdr:row>
      <xdr:rowOff>142875</xdr:rowOff>
    </xdr:from>
    <xdr:to>
      <xdr:col>8</xdr:col>
      <xdr:colOff>161924</xdr:colOff>
      <xdr:row>121</xdr:row>
      <xdr:rowOff>154305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CB9622B-C2D4-7A91-CC30-46D0AD724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334963</xdr:colOff>
      <xdr:row>0</xdr:row>
      <xdr:rowOff>0</xdr:rowOff>
    </xdr:from>
    <xdr:to>
      <xdr:col>1</xdr:col>
      <xdr:colOff>12700</xdr:colOff>
      <xdr:row>0</xdr:row>
      <xdr:rowOff>25400</xdr:rowOff>
    </xdr:to>
    <xdr:sp macro="" textlink="">
      <xdr:nvSpPr>
        <xdr:cNvPr id="16" name="XP474891" hidden="1">
          <a:extLst>
            <a:ext uri="{FF2B5EF4-FFF2-40B4-BE49-F238E27FC236}">
              <a16:creationId xmlns:a16="http://schemas.microsoft.com/office/drawing/2014/main" id="{9E1AC109-FFCF-F574-EA57-6006FDDED28D}"/>
            </a:ext>
          </a:extLst>
        </xdr:cNvPr>
        <xdr:cNvSpPr txBox="1"/>
      </xdr:nvSpPr>
      <xdr:spPr>
        <a:xfrm>
          <a:off x="334963" y="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NZ" sz="1100"/>
            <a:t>Linear regression*SEP*Summary statistics*SEP*$B$10
Linear regression*SEP*Correlation matrix*SEP*$B$17
Linear regression*SEP*Regression of variable f/cc*SEP*$B$24
Linear regression*SEP*Goodness of fit statistics (f/cc)*SEP*$B$26
Linear regression*SEP*Analysis of variance (f/cc)*SEP*$B$44
Linear regression*SEP*Model parameters (f/cc)*SEP*$B$54
Linear regression*SEP*Equation of the model (f/cc)*SEP*$B$62
Linear regression*SEP*Standardized coefficients (f/cc)*SEP*$B$67
Linear regression*SEP*Predictions and residuals (f/cc)*SEP*$B$94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</xdr:row>
          <xdr:rowOff>476250</xdr:rowOff>
        </xdr:from>
        <xdr:to>
          <xdr:col>3</xdr:col>
          <xdr:colOff>733425</xdr:colOff>
          <xdr:row>6</xdr:row>
          <xdr:rowOff>200025</xdr:rowOff>
        </xdr:to>
        <xdr:sp macro="" textlink="">
          <xdr:nvSpPr>
            <xdr:cNvPr id="3073" name="DD77617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ushka Elangasinghe" id="{45069CFA-249A-46B7-882F-5D5064748FA1}" userId="2fe4b9ca53576061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4-09-13T10:37:44.05" personId="{45069CFA-249A-46B7-882F-5D5064748FA1}" id="{ECF3796C-6E91-4B00-8597-1F60EEBD9301}">
    <text>FOV length</text>
  </threadedComment>
  <threadedComment ref="C14" dT="2024-09-13T10:37:57.40" personId="{45069CFA-249A-46B7-882F-5D5064748FA1}" id="{2923BC2E-D989-43D8-B693-A3C8B3BB911A}">
    <text>FOV width</text>
  </threadedComment>
  <threadedComment ref="D14" dT="2024-09-13T10:38:12.81" personId="{45069CFA-249A-46B7-882F-5D5064748FA1}" id="{D0B65602-0184-4249-9B9A-CF57F0D83C34}">
    <text>Area of the FOV</text>
  </threadedComment>
  <threadedComment ref="E14" dT="2024-09-13T10:38:30.59" personId="{45069CFA-249A-46B7-882F-5D5064748FA1}" id="{E03F17F1-110F-423C-BD18-B0236DED688F}">
    <text>Number of FOVs</text>
  </threadedComment>
  <threadedComment ref="F14" dT="2024-09-13T10:38:48.53" personId="{45069CFA-249A-46B7-882F-5D5064748FA1}" id="{33D576F5-0AF2-4ECF-99A1-D62EFC79CB46}">
    <text>Effective filter area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8F65-8CF7-4BB8-A771-2A3CFC3BEDCE}">
  <sheetPr codeName="Sheet1"/>
  <dimension ref="A1:O76"/>
  <sheetViews>
    <sheetView tabSelected="1" topLeftCell="A53" zoomScale="89" workbookViewId="0">
      <selection activeCell="K21" sqref="K21"/>
    </sheetView>
  </sheetViews>
  <sheetFormatPr defaultRowHeight="14.25" x14ac:dyDescent="0.45"/>
  <cols>
    <col min="2" max="2" width="14.46484375" customWidth="1"/>
    <col min="3" max="3" width="12.46484375" customWidth="1"/>
    <col min="5" max="5" width="10.06640625" customWidth="1"/>
    <col min="6" max="6" width="14.6640625" customWidth="1"/>
    <col min="10" max="10" width="34.6640625" customWidth="1"/>
    <col min="11" max="11" width="13.6640625" customWidth="1"/>
    <col min="12" max="12" width="13.1328125" customWidth="1"/>
    <col min="13" max="13" width="13.86328125" customWidth="1"/>
  </cols>
  <sheetData>
    <row r="1" spans="2:15" ht="14.65" thickBot="1" x14ac:dyDescent="0.5">
      <c r="L1" t="s">
        <v>31</v>
      </c>
    </row>
    <row r="2" spans="2:15" ht="14.65" thickBot="1" x14ac:dyDescent="0.5">
      <c r="B2" s="2"/>
      <c r="C2" s="3"/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21" t="s">
        <v>38</v>
      </c>
      <c r="K2" s="21" t="s">
        <v>36</v>
      </c>
      <c r="L2" s="21" t="s">
        <v>32</v>
      </c>
      <c r="M2" s="21" t="s">
        <v>33</v>
      </c>
    </row>
    <row r="3" spans="2:15" x14ac:dyDescent="0.45">
      <c r="B3" s="77" t="s">
        <v>6</v>
      </c>
      <c r="C3" s="78" t="s">
        <v>7</v>
      </c>
      <c r="D3" s="79">
        <v>18.972999999999999</v>
      </c>
      <c r="E3" s="79">
        <v>18.972999999999999</v>
      </c>
      <c r="F3" s="79">
        <v>0</v>
      </c>
      <c r="G3" s="79">
        <f t="shared" ref="G3:G4" si="0">F3*0.2</f>
        <v>0</v>
      </c>
      <c r="H3" s="79">
        <v>3</v>
      </c>
      <c r="I3" s="81">
        <f t="shared" ref="I3:I4" si="1">G3*100/(H3+F3)</f>
        <v>0</v>
      </c>
      <c r="J3" s="80">
        <v>0</v>
      </c>
      <c r="K3" s="22">
        <f>J3*$D$19</f>
        <v>0</v>
      </c>
      <c r="L3" s="23">
        <v>0</v>
      </c>
      <c r="M3" s="22">
        <f>2.99*D19</f>
        <v>0</v>
      </c>
    </row>
    <row r="4" spans="2:15" hidden="1" x14ac:dyDescent="0.45">
      <c r="B4" s="25" t="s">
        <v>8</v>
      </c>
      <c r="C4" s="26" t="s">
        <v>9</v>
      </c>
      <c r="D4" s="27"/>
      <c r="E4" s="27"/>
      <c r="F4" s="28">
        <v>5.0000000000000001E-4</v>
      </c>
      <c r="G4" s="27">
        <f t="shared" si="0"/>
        <v>1E-4</v>
      </c>
      <c r="H4" s="28">
        <v>3</v>
      </c>
      <c r="I4" s="29">
        <f t="shared" si="1"/>
        <v>3.3327778703549408E-3</v>
      </c>
      <c r="J4" s="30" t="e">
        <f>K4/D19</f>
        <v>#DIV/0!</v>
      </c>
      <c r="K4" s="31">
        <f>I4*381.7</f>
        <v>1.2721213131144808</v>
      </c>
      <c r="L4" s="32"/>
      <c r="M4" s="32"/>
    </row>
    <row r="5" spans="2:15" hidden="1" x14ac:dyDescent="0.45">
      <c r="B5" s="25" t="s">
        <v>10</v>
      </c>
      <c r="C5" s="26" t="s">
        <v>11</v>
      </c>
      <c r="D5" s="27"/>
      <c r="E5" s="27"/>
      <c r="F5" s="28">
        <v>2E-3</v>
      </c>
      <c r="G5" s="27">
        <f>F5*0.2</f>
        <v>4.0000000000000002E-4</v>
      </c>
      <c r="H5" s="28">
        <v>3</v>
      </c>
      <c r="I5" s="29">
        <f>G5*100/(H5+F5)</f>
        <v>1.3324450366422387E-2</v>
      </c>
      <c r="J5" s="30" t="e">
        <f>K5/D19</f>
        <v>#DIV/0!</v>
      </c>
      <c r="K5" s="31">
        <f>I5*381.7</f>
        <v>5.0859427048634247</v>
      </c>
      <c r="L5" s="32"/>
      <c r="M5" s="32"/>
    </row>
    <row r="6" spans="2:15" x14ac:dyDescent="0.45">
      <c r="B6" s="5" t="s">
        <v>12</v>
      </c>
      <c r="C6" s="6" t="s">
        <v>9</v>
      </c>
      <c r="D6" s="7">
        <v>18.085000000000001</v>
      </c>
      <c r="E6" s="7">
        <v>18.088000000000001</v>
      </c>
      <c r="F6" s="7">
        <f>E6-D6</f>
        <v>3.0000000000001137E-3</v>
      </c>
      <c r="G6" s="8">
        <f>F6*0.2</f>
        <v>6.0000000000002282E-4</v>
      </c>
      <c r="H6" s="9">
        <v>3</v>
      </c>
      <c r="I6" s="10">
        <f>G6*100/(H6+F6)</f>
        <v>1.998001998002074E-2</v>
      </c>
      <c r="J6" s="24">
        <v>5</v>
      </c>
      <c r="K6" s="22">
        <f>J6*$D$19</f>
        <v>0</v>
      </c>
      <c r="L6" s="22">
        <f>K13*$D$19</f>
        <v>0</v>
      </c>
      <c r="M6" s="22">
        <f>L13*$D$19</f>
        <v>0</v>
      </c>
    </row>
    <row r="7" spans="2:15" x14ac:dyDescent="0.45">
      <c r="B7" s="11" t="s">
        <v>14</v>
      </c>
      <c r="C7" s="12" t="s">
        <v>11</v>
      </c>
      <c r="D7" s="13">
        <v>18.326000000000001</v>
      </c>
      <c r="E7" s="13">
        <v>18.347999999999999</v>
      </c>
      <c r="F7" s="13">
        <f>E7-D7</f>
        <v>2.1999999999998465E-2</v>
      </c>
      <c r="G7" s="14">
        <f>F7*0.2</f>
        <v>4.3999999999996932E-3</v>
      </c>
      <c r="H7" s="13">
        <v>3</v>
      </c>
      <c r="I7" s="15">
        <f>G7*100/(H7+F7)</f>
        <v>0.14559894109860011</v>
      </c>
      <c r="J7" s="24">
        <v>26</v>
      </c>
      <c r="K7" s="22">
        <f t="shared" ref="K7:K10" si="2">J7*$D$19</f>
        <v>0</v>
      </c>
      <c r="L7" s="22">
        <f t="shared" ref="L7:M10" si="3">K14*$D$19</f>
        <v>0</v>
      </c>
      <c r="M7" s="22">
        <f t="shared" si="3"/>
        <v>0</v>
      </c>
    </row>
    <row r="8" spans="2:15" x14ac:dyDescent="0.45">
      <c r="B8" s="11" t="s">
        <v>16</v>
      </c>
      <c r="C8" s="12" t="s">
        <v>13</v>
      </c>
      <c r="D8" s="13">
        <v>18.193000000000001</v>
      </c>
      <c r="E8" s="13">
        <v>18.248999999999999</v>
      </c>
      <c r="F8" s="13">
        <f>E8-D8</f>
        <v>5.5999999999997385E-2</v>
      </c>
      <c r="G8" s="14">
        <f>F8*0.2</f>
        <v>1.1199999999999478E-2</v>
      </c>
      <c r="H8" s="13">
        <v>3</v>
      </c>
      <c r="I8" s="15">
        <f t="shared" ref="I8:I10" si="4">G8*100/(H8+F8)</f>
        <v>0.36649214659684182</v>
      </c>
      <c r="J8" s="24">
        <v>36</v>
      </c>
      <c r="K8" s="22">
        <f t="shared" si="2"/>
        <v>0</v>
      </c>
      <c r="L8" s="22">
        <f t="shared" si="3"/>
        <v>0</v>
      </c>
      <c r="M8" s="22">
        <f t="shared" si="3"/>
        <v>0</v>
      </c>
    </row>
    <row r="9" spans="2:15" x14ac:dyDescent="0.45">
      <c r="B9" s="11" t="s">
        <v>18</v>
      </c>
      <c r="C9" s="12" t="s">
        <v>15</v>
      </c>
      <c r="D9" s="13">
        <v>18.420999999999999</v>
      </c>
      <c r="E9" s="13">
        <v>18.561</v>
      </c>
      <c r="F9" s="13">
        <f t="shared" ref="F9:F10" si="5">E9-D9</f>
        <v>0.14000000000000057</v>
      </c>
      <c r="G9" s="14">
        <f t="shared" ref="G9:G10" si="6">F9*0.2</f>
        <v>2.8000000000000115E-2</v>
      </c>
      <c r="H9" s="13">
        <v>3</v>
      </c>
      <c r="I9" s="15">
        <f t="shared" si="4"/>
        <v>0.8917197452229334</v>
      </c>
      <c r="J9" s="24">
        <v>105</v>
      </c>
      <c r="K9" s="22">
        <f t="shared" si="2"/>
        <v>0</v>
      </c>
      <c r="L9" s="22">
        <f t="shared" si="3"/>
        <v>0</v>
      </c>
      <c r="M9" s="22">
        <f t="shared" si="3"/>
        <v>0</v>
      </c>
    </row>
    <row r="10" spans="2:15" ht="14.65" thickBot="1" x14ac:dyDescent="0.5">
      <c r="B10" s="16" t="s">
        <v>20</v>
      </c>
      <c r="C10" s="17" t="s">
        <v>17</v>
      </c>
      <c r="D10" s="18">
        <v>18.327000000000002</v>
      </c>
      <c r="E10" s="18">
        <v>18.613</v>
      </c>
      <c r="F10" s="18">
        <f t="shared" si="5"/>
        <v>0.28599999999999781</v>
      </c>
      <c r="G10" s="19">
        <f t="shared" si="6"/>
        <v>5.7199999999999564E-2</v>
      </c>
      <c r="H10" s="18">
        <v>3</v>
      </c>
      <c r="I10" s="20">
        <f t="shared" si="4"/>
        <v>1.7407181984175168</v>
      </c>
      <c r="J10" s="24">
        <v>289</v>
      </c>
      <c r="K10" s="22">
        <f t="shared" si="2"/>
        <v>0</v>
      </c>
      <c r="L10" s="22">
        <f t="shared" si="3"/>
        <v>0</v>
      </c>
      <c r="M10" s="22">
        <f t="shared" si="3"/>
        <v>0</v>
      </c>
    </row>
    <row r="11" spans="2:15" x14ac:dyDescent="0.45">
      <c r="I11">
        <v>0</v>
      </c>
      <c r="J11">
        <v>0</v>
      </c>
      <c r="K11">
        <v>0</v>
      </c>
    </row>
    <row r="13" spans="2:15" x14ac:dyDescent="0.45">
      <c r="B13" t="s">
        <v>22</v>
      </c>
      <c r="C13" t="s">
        <v>22</v>
      </c>
      <c r="D13" t="s">
        <v>23</v>
      </c>
      <c r="E13" t="s">
        <v>24</v>
      </c>
      <c r="F13" t="s">
        <v>25</v>
      </c>
      <c r="J13" s="75">
        <v>5</v>
      </c>
      <c r="K13" s="76">
        <v>2</v>
      </c>
      <c r="L13" s="76">
        <v>12</v>
      </c>
      <c r="M13" s="76"/>
      <c r="N13" s="76"/>
      <c r="O13" s="76"/>
    </row>
    <row r="14" spans="2:15" x14ac:dyDescent="0.45">
      <c r="B14">
        <v>6.4000000000000001E-2</v>
      </c>
      <c r="C14">
        <v>4.8000000000000001E-2</v>
      </c>
      <c r="D14">
        <f>B14*C14</f>
        <v>3.0720000000000001E-3</v>
      </c>
      <c r="E14">
        <v>25</v>
      </c>
      <c r="F14">
        <f>(22/7)*((22/2)^2)</f>
        <v>380.28571428571428</v>
      </c>
      <c r="G14" t="s">
        <v>26</v>
      </c>
      <c r="J14" s="75">
        <v>26</v>
      </c>
      <c r="K14" s="76">
        <v>17</v>
      </c>
      <c r="L14" s="76">
        <v>38</v>
      </c>
      <c r="M14" s="76"/>
      <c r="N14" s="76"/>
      <c r="O14" s="76"/>
    </row>
    <row r="15" spans="2:15" x14ac:dyDescent="0.45">
      <c r="J15" s="75">
        <v>36</v>
      </c>
      <c r="K15" s="76">
        <v>25</v>
      </c>
      <c r="L15" s="76">
        <v>50</v>
      </c>
      <c r="M15" s="76"/>
      <c r="N15" s="76"/>
      <c r="O15" s="76"/>
    </row>
    <row r="16" spans="2:15" x14ac:dyDescent="0.45">
      <c r="B16" t="s">
        <v>27</v>
      </c>
      <c r="C16" t="s">
        <v>28</v>
      </c>
      <c r="F16" t="s">
        <v>29</v>
      </c>
      <c r="H16">
        <v>1</v>
      </c>
      <c r="I16" t="s">
        <v>34</v>
      </c>
      <c r="J16" s="75">
        <v>105</v>
      </c>
      <c r="K16" s="76">
        <v>81</v>
      </c>
      <c r="L16" s="76">
        <v>122</v>
      </c>
      <c r="M16" s="76"/>
      <c r="N16" s="76"/>
      <c r="O16" s="76"/>
    </row>
    <row r="17" spans="2:15" x14ac:dyDescent="0.45">
      <c r="B17">
        <v>2</v>
      </c>
      <c r="C17">
        <v>2000</v>
      </c>
      <c r="G17" s="72"/>
      <c r="H17" s="72" t="s">
        <v>116</v>
      </c>
      <c r="J17" s="75">
        <v>289</v>
      </c>
      <c r="K17" s="76">
        <v>258</v>
      </c>
      <c r="L17" s="76">
        <v>323</v>
      </c>
      <c r="M17" s="76"/>
      <c r="N17" s="76"/>
      <c r="O17" s="76"/>
    </row>
    <row r="18" spans="2:15" x14ac:dyDescent="0.45">
      <c r="G18" s="72" t="s">
        <v>115</v>
      </c>
      <c r="H18" s="72">
        <f>1/D14</f>
        <v>325.52083333333331</v>
      </c>
      <c r="J18" s="76"/>
      <c r="K18" s="76"/>
      <c r="L18" s="76"/>
      <c r="M18" s="76"/>
      <c r="N18" s="76"/>
      <c r="O18" s="76"/>
    </row>
    <row r="19" spans="2:15" x14ac:dyDescent="0.45">
      <c r="E19" s="35"/>
      <c r="J19" s="76"/>
      <c r="K19" s="76"/>
      <c r="L19" s="76"/>
      <c r="M19" s="76"/>
      <c r="N19" s="76"/>
      <c r="O19" s="76"/>
    </row>
    <row r="20" spans="2:15" x14ac:dyDescent="0.45">
      <c r="J20" s="75">
        <v>95</v>
      </c>
      <c r="K20" s="76">
        <v>76.86</v>
      </c>
      <c r="L20" s="76">
        <v>116.13</v>
      </c>
      <c r="M20" s="76">
        <v>289</v>
      </c>
      <c r="N20" s="76">
        <f>0.9344*J17-11.991</f>
        <v>258.05060000000003</v>
      </c>
      <c r="O20" s="76">
        <f>1.0655*J17+14.994</f>
        <v>322.92349999999999</v>
      </c>
    </row>
    <row r="21" spans="2:15" x14ac:dyDescent="0.45">
      <c r="B21" t="s">
        <v>30</v>
      </c>
      <c r="D21">
        <f>($F$14*H16)/($D$14*5*$C$17)</f>
        <v>12.379092261904761</v>
      </c>
      <c r="E21" s="35"/>
      <c r="J21" s="75">
        <v>100</v>
      </c>
      <c r="K21" s="76">
        <v>81.36</v>
      </c>
      <c r="L21" s="76">
        <v>121.63</v>
      </c>
      <c r="M21" s="76"/>
      <c r="N21" s="76"/>
      <c r="O21" s="76"/>
    </row>
    <row r="22" spans="2:15" x14ac:dyDescent="0.45">
      <c r="J22" s="75">
        <v>400</v>
      </c>
      <c r="K22" s="76">
        <v>361.76</v>
      </c>
      <c r="L22" s="76">
        <v>441.19</v>
      </c>
      <c r="M22" s="76"/>
      <c r="N22" s="76"/>
      <c r="O22" s="76"/>
    </row>
    <row r="23" spans="2:15" x14ac:dyDescent="0.45">
      <c r="J23" s="76" t="s">
        <v>117</v>
      </c>
      <c r="K23" s="76"/>
      <c r="L23" s="76"/>
      <c r="M23" s="76"/>
      <c r="N23" s="76"/>
      <c r="O23" s="76"/>
    </row>
    <row r="24" spans="2:15" x14ac:dyDescent="0.45">
      <c r="J24" s="76"/>
      <c r="K24" s="76"/>
      <c r="L24" s="76"/>
      <c r="M24" s="76"/>
      <c r="N24" s="76"/>
      <c r="O24" s="76"/>
    </row>
    <row r="28" spans="2:15" x14ac:dyDescent="0.45">
      <c r="C28">
        <f>0.25/D14</f>
        <v>81.380208333333329</v>
      </c>
    </row>
    <row r="31" spans="2:15" x14ac:dyDescent="0.45">
      <c r="D31" t="s">
        <v>35</v>
      </c>
    </row>
    <row r="32" spans="2:15" x14ac:dyDescent="0.45">
      <c r="C32" s="33">
        <v>1</v>
      </c>
      <c r="D32" s="33">
        <v>2</v>
      </c>
      <c r="E32" s="33">
        <v>3</v>
      </c>
      <c r="F32" s="33">
        <v>4</v>
      </c>
      <c r="G32" s="33">
        <v>5</v>
      </c>
      <c r="H32" t="s">
        <v>37</v>
      </c>
    </row>
    <row r="33" spans="1:10" x14ac:dyDescent="0.45">
      <c r="B33" t="s">
        <v>7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</row>
    <row r="34" spans="1:10" x14ac:dyDescent="0.45">
      <c r="B34" s="6" t="s">
        <v>13</v>
      </c>
      <c r="C34" s="33">
        <v>1</v>
      </c>
      <c r="D34" s="33">
        <v>2</v>
      </c>
      <c r="E34" s="33">
        <v>1</v>
      </c>
      <c r="F34" s="33">
        <v>0</v>
      </c>
      <c r="G34" s="33">
        <v>1</v>
      </c>
      <c r="H34" s="74">
        <f>SUM(C34:G34)</f>
        <v>5</v>
      </c>
    </row>
    <row r="35" spans="1:10" x14ac:dyDescent="0.45">
      <c r="B35" s="12" t="s">
        <v>15</v>
      </c>
      <c r="C35" s="33">
        <v>4</v>
      </c>
      <c r="D35" s="33">
        <v>2</v>
      </c>
      <c r="E35" s="33">
        <v>6</v>
      </c>
      <c r="F35" s="33">
        <v>8</v>
      </c>
      <c r="G35" s="33">
        <v>6</v>
      </c>
      <c r="H35" s="74">
        <f t="shared" ref="H35:H38" si="7">SUM(C35:G35)</f>
        <v>26</v>
      </c>
    </row>
    <row r="36" spans="1:10" x14ac:dyDescent="0.45">
      <c r="B36" s="12" t="s">
        <v>17</v>
      </c>
      <c r="C36" s="33">
        <v>10</v>
      </c>
      <c r="D36" s="33">
        <v>8</v>
      </c>
      <c r="E36" s="33">
        <v>3</v>
      </c>
      <c r="F36" s="33">
        <v>11</v>
      </c>
      <c r="G36" s="33">
        <v>4</v>
      </c>
      <c r="H36" s="74">
        <f t="shared" si="7"/>
        <v>36</v>
      </c>
    </row>
    <row r="37" spans="1:10" x14ac:dyDescent="0.45">
      <c r="B37" s="12" t="s">
        <v>19</v>
      </c>
      <c r="C37" s="33">
        <v>19</v>
      </c>
      <c r="D37" s="33">
        <v>16</v>
      </c>
      <c r="E37" s="33">
        <v>21</v>
      </c>
      <c r="F37" s="33">
        <v>23</v>
      </c>
      <c r="G37" s="33">
        <v>26</v>
      </c>
      <c r="H37" s="74">
        <f t="shared" si="7"/>
        <v>105</v>
      </c>
    </row>
    <row r="38" spans="1:10" ht="14.65" thickBot="1" x14ac:dyDescent="0.5">
      <c r="B38" s="17" t="s">
        <v>21</v>
      </c>
      <c r="C38" s="33">
        <v>49</v>
      </c>
      <c r="D38" s="33">
        <v>63</v>
      </c>
      <c r="E38" s="33">
        <v>57</v>
      </c>
      <c r="F38" s="33">
        <v>42</v>
      </c>
      <c r="G38" s="33">
        <v>78</v>
      </c>
      <c r="H38" s="74">
        <f t="shared" si="7"/>
        <v>289</v>
      </c>
    </row>
    <row r="40" spans="1:10" x14ac:dyDescent="0.45">
      <c r="A40" t="s">
        <v>118</v>
      </c>
      <c r="C40">
        <f>C34*$D$21</f>
        <v>12.379092261904761</v>
      </c>
      <c r="D40">
        <f t="shared" ref="D40:G40" si="8">D34*$D$21</f>
        <v>24.758184523809522</v>
      </c>
      <c r="E40">
        <f t="shared" si="8"/>
        <v>12.379092261904761</v>
      </c>
      <c r="F40">
        <f t="shared" si="8"/>
        <v>0</v>
      </c>
      <c r="G40">
        <f t="shared" si="8"/>
        <v>12.379092261904761</v>
      </c>
    </row>
    <row r="41" spans="1:10" x14ac:dyDescent="0.45">
      <c r="C41">
        <f t="shared" ref="C41:G41" si="9">C35*$D$21</f>
        <v>49.516369047619044</v>
      </c>
      <c r="D41">
        <f t="shared" si="9"/>
        <v>24.758184523809522</v>
      </c>
      <c r="E41">
        <f t="shared" si="9"/>
        <v>74.274553571428569</v>
      </c>
      <c r="F41">
        <f t="shared" si="9"/>
        <v>99.032738095238088</v>
      </c>
      <c r="G41">
        <f t="shared" si="9"/>
        <v>74.274553571428569</v>
      </c>
    </row>
    <row r="42" spans="1:10" x14ac:dyDescent="0.45">
      <c r="C42">
        <f>C36*$D$21</f>
        <v>123.79092261904761</v>
      </c>
      <c r="D42">
        <f t="shared" ref="D42:G42" si="10">D36*$D$21</f>
        <v>99.032738095238088</v>
      </c>
      <c r="E42">
        <f t="shared" si="10"/>
        <v>37.137276785714285</v>
      </c>
      <c r="F42">
        <f t="shared" si="10"/>
        <v>136.17001488095238</v>
      </c>
      <c r="G42">
        <f t="shared" si="10"/>
        <v>49.516369047619044</v>
      </c>
    </row>
    <row r="43" spans="1:10" x14ac:dyDescent="0.45">
      <c r="C43">
        <f t="shared" ref="C43:G43" si="11">C37*$D$21</f>
        <v>235.20275297619045</v>
      </c>
      <c r="D43">
        <f t="shared" si="11"/>
        <v>198.06547619047618</v>
      </c>
      <c r="E43">
        <f t="shared" si="11"/>
        <v>259.9609375</v>
      </c>
      <c r="F43">
        <f t="shared" si="11"/>
        <v>284.71912202380952</v>
      </c>
      <c r="G43">
        <f t="shared" si="11"/>
        <v>321.8563988095238</v>
      </c>
    </row>
    <row r="44" spans="1:10" x14ac:dyDescent="0.45">
      <c r="C44">
        <f t="shared" ref="C44:G44" si="12">C38*$D$21</f>
        <v>606.57552083333326</v>
      </c>
      <c r="D44">
        <f t="shared" si="12"/>
        <v>779.88281249999989</v>
      </c>
      <c r="E44">
        <f t="shared" si="12"/>
        <v>705.60825892857133</v>
      </c>
      <c r="F44">
        <f t="shared" si="12"/>
        <v>519.921875</v>
      </c>
      <c r="G44">
        <f t="shared" si="12"/>
        <v>965.56919642857133</v>
      </c>
    </row>
    <row r="45" spans="1:10" x14ac:dyDescent="0.45">
      <c r="G45" s="73" t="s">
        <v>117</v>
      </c>
      <c r="H45" s="73"/>
      <c r="I45" s="73"/>
      <c r="J45" s="73"/>
    </row>
    <row r="46" spans="1:10" x14ac:dyDescent="0.45">
      <c r="A46" t="s">
        <v>119</v>
      </c>
      <c r="E46" t="s">
        <v>120</v>
      </c>
      <c r="F46" t="s">
        <v>36</v>
      </c>
      <c r="G46" t="s">
        <v>121</v>
      </c>
      <c r="H46" t="s">
        <v>122</v>
      </c>
    </row>
    <row r="47" spans="1:10" x14ac:dyDescent="0.45">
      <c r="B47">
        <v>0</v>
      </c>
      <c r="C47">
        <v>0</v>
      </c>
      <c r="E47">
        <v>0</v>
      </c>
      <c r="F47">
        <v>0</v>
      </c>
      <c r="G47" s="23">
        <v>0</v>
      </c>
      <c r="H47" s="23">
        <v>7.4</v>
      </c>
    </row>
    <row r="48" spans="1:10" x14ac:dyDescent="0.45">
      <c r="B48">
        <v>0</v>
      </c>
      <c r="C48">
        <v>0</v>
      </c>
      <c r="E48">
        <v>1.998001998002074E-2</v>
      </c>
      <c r="F48" s="24">
        <v>12.379092261904761</v>
      </c>
      <c r="G48">
        <v>4.9516369047619042</v>
      </c>
      <c r="H48">
        <v>29.709821428571423</v>
      </c>
    </row>
    <row r="49" spans="2:8" x14ac:dyDescent="0.45">
      <c r="B49">
        <v>0</v>
      </c>
      <c r="C49">
        <v>0</v>
      </c>
      <c r="E49">
        <v>0.1455989410986</v>
      </c>
      <c r="F49" s="24">
        <v>64.371279761904759</v>
      </c>
      <c r="G49">
        <v>42.088913690476183</v>
      </c>
      <c r="H49">
        <v>94.081101190476176</v>
      </c>
    </row>
    <row r="50" spans="2:8" x14ac:dyDescent="0.45">
      <c r="B50">
        <v>0</v>
      </c>
      <c r="C50">
        <v>0</v>
      </c>
      <c r="E50">
        <v>0.36649214659684182</v>
      </c>
      <c r="F50" s="24">
        <v>89.129464285714278</v>
      </c>
      <c r="G50">
        <v>61.895461309523803</v>
      </c>
      <c r="H50">
        <v>123.79092261904761</v>
      </c>
    </row>
    <row r="51" spans="2:8" x14ac:dyDescent="0.45">
      <c r="B51">
        <v>0</v>
      </c>
      <c r="C51">
        <v>0</v>
      </c>
      <c r="E51">
        <v>0.8917197452229334</v>
      </c>
      <c r="F51" s="24">
        <v>259.96093749999994</v>
      </c>
      <c r="G51">
        <v>200.54129464285711</v>
      </c>
      <c r="H51">
        <v>302.04985119047615</v>
      </c>
    </row>
    <row r="52" spans="2:8" x14ac:dyDescent="0.45">
      <c r="B52" s="34">
        <v>1.998001998002074E-2</v>
      </c>
      <c r="C52" s="1">
        <v>12.379092261904761</v>
      </c>
      <c r="E52">
        <v>1.7407181984175168</v>
      </c>
      <c r="F52" s="24">
        <v>715.51153273809496</v>
      </c>
      <c r="G52">
        <v>638.76116071428567</v>
      </c>
      <c r="H52">
        <v>799.68936011904748</v>
      </c>
    </row>
    <row r="53" spans="2:8" x14ac:dyDescent="0.45">
      <c r="B53" s="34">
        <v>1.998001998002074E-2</v>
      </c>
      <c r="C53" s="1">
        <v>24.758184523809522</v>
      </c>
    </row>
    <row r="54" spans="2:8" x14ac:dyDescent="0.45">
      <c r="B54" s="34">
        <v>1.998001998002074E-2</v>
      </c>
      <c r="C54" s="1">
        <v>12.379092261904761</v>
      </c>
    </row>
    <row r="55" spans="2:8" x14ac:dyDescent="0.45">
      <c r="B55" s="34">
        <v>1.998001998002074E-2</v>
      </c>
      <c r="C55" s="1">
        <v>0</v>
      </c>
    </row>
    <row r="56" spans="2:8" x14ac:dyDescent="0.45">
      <c r="B56" s="34">
        <v>1.998001998002074E-2</v>
      </c>
      <c r="C56" s="1">
        <v>12.379092261904761</v>
      </c>
      <c r="D56" s="1">
        <f>AVERAGE(C52:C56)</f>
        <v>12.379092261904761</v>
      </c>
    </row>
    <row r="57" spans="2:8" x14ac:dyDescent="0.45">
      <c r="B57" s="34">
        <v>0.14559894109860011</v>
      </c>
      <c r="C57">
        <v>49.516369047619044</v>
      </c>
    </row>
    <row r="58" spans="2:8" x14ac:dyDescent="0.45">
      <c r="B58" s="34">
        <v>0.14559894109860011</v>
      </c>
      <c r="C58">
        <v>24.758184523809522</v>
      </c>
    </row>
    <row r="59" spans="2:8" x14ac:dyDescent="0.45">
      <c r="B59" s="34">
        <v>0.14559894109860011</v>
      </c>
      <c r="C59">
        <v>74.274553571428569</v>
      </c>
    </row>
    <row r="60" spans="2:8" x14ac:dyDescent="0.45">
      <c r="B60" s="34">
        <v>0.14559894109860011</v>
      </c>
      <c r="C60">
        <v>99.032738095238088</v>
      </c>
    </row>
    <row r="61" spans="2:8" x14ac:dyDescent="0.45">
      <c r="B61" s="34">
        <v>0.14559894109860011</v>
      </c>
      <c r="C61">
        <v>74.274553571428569</v>
      </c>
      <c r="D61">
        <f>AVERAGE(C57:C61)</f>
        <v>64.371279761904759</v>
      </c>
    </row>
    <row r="62" spans="2:8" x14ac:dyDescent="0.45">
      <c r="B62" s="34">
        <v>0.36649214659684182</v>
      </c>
      <c r="C62">
        <v>123.79092261904761</v>
      </c>
    </row>
    <row r="63" spans="2:8" x14ac:dyDescent="0.45">
      <c r="B63" s="34">
        <v>0.36649214659684182</v>
      </c>
      <c r="C63">
        <v>99.032738095238088</v>
      </c>
    </row>
    <row r="64" spans="2:8" x14ac:dyDescent="0.45">
      <c r="B64" s="34">
        <v>0.36649214659684182</v>
      </c>
      <c r="C64">
        <v>37.137276785714285</v>
      </c>
    </row>
    <row r="65" spans="2:4" x14ac:dyDescent="0.45">
      <c r="B65" s="34">
        <v>0.36649214659684182</v>
      </c>
      <c r="C65">
        <v>136.17001488095238</v>
      </c>
    </row>
    <row r="66" spans="2:4" x14ac:dyDescent="0.45">
      <c r="B66" s="34">
        <v>0.36649214659684182</v>
      </c>
      <c r="C66">
        <v>49.516369047619044</v>
      </c>
      <c r="D66">
        <f>AVERAGE(C62:C66)</f>
        <v>89.129464285714292</v>
      </c>
    </row>
    <row r="67" spans="2:4" x14ac:dyDescent="0.45">
      <c r="B67" s="34">
        <v>0.8917197452229334</v>
      </c>
      <c r="C67">
        <v>235.20275297619045</v>
      </c>
    </row>
    <row r="68" spans="2:4" x14ac:dyDescent="0.45">
      <c r="B68" s="34">
        <v>0.8917197452229334</v>
      </c>
      <c r="C68">
        <v>198.06547619047618</v>
      </c>
    </row>
    <row r="69" spans="2:4" x14ac:dyDescent="0.45">
      <c r="B69" s="34">
        <v>0.8917197452229334</v>
      </c>
      <c r="C69">
        <v>259.9609375</v>
      </c>
    </row>
    <row r="70" spans="2:4" x14ac:dyDescent="0.45">
      <c r="B70" s="34">
        <v>0.8917197452229334</v>
      </c>
      <c r="C70" s="1">
        <v>284.71912202380952</v>
      </c>
    </row>
    <row r="71" spans="2:4" x14ac:dyDescent="0.45">
      <c r="B71" s="34">
        <v>0.8917197452229334</v>
      </c>
      <c r="C71" s="1">
        <v>321.8563988095238</v>
      </c>
      <c r="D71">
        <f>AVERAGE(C67:C71)</f>
        <v>259.9609375</v>
      </c>
    </row>
    <row r="72" spans="2:4" x14ac:dyDescent="0.45">
      <c r="B72" s="34">
        <v>1.7407181984175168</v>
      </c>
      <c r="C72" s="1">
        <v>606.57552083333326</v>
      </c>
    </row>
    <row r="73" spans="2:4" x14ac:dyDescent="0.45">
      <c r="B73" s="34">
        <v>1.7407181984175168</v>
      </c>
      <c r="C73" s="1">
        <v>779.88281249999989</v>
      </c>
    </row>
    <row r="74" spans="2:4" x14ac:dyDescent="0.45">
      <c r="B74" s="34">
        <v>1.7407181984175168</v>
      </c>
      <c r="C74" s="1">
        <v>705.60825892857133</v>
      </c>
    </row>
    <row r="75" spans="2:4" x14ac:dyDescent="0.45">
      <c r="B75" s="34">
        <v>1.7407181984175168</v>
      </c>
      <c r="C75">
        <v>519.921875</v>
      </c>
    </row>
    <row r="76" spans="2:4" x14ac:dyDescent="0.45">
      <c r="B76" s="34">
        <v>1.7407181984175168</v>
      </c>
      <c r="C76">
        <v>965.56919642857133</v>
      </c>
      <c r="D76" s="1">
        <f>AVERAGE(C72:C76)</f>
        <v>715.51153273809518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C95C-4942-4A9E-9104-6CF21754267D}">
  <sheetPr codeName="XLSTAT_20241009_124736_1">
    <tabColor rgb="FF007800"/>
  </sheetPr>
  <dimension ref="B1:N162"/>
  <sheetViews>
    <sheetView showGridLines="0" topLeftCell="A40" zoomScaleNormal="100" workbookViewId="0">
      <selection activeCell="D19" sqref="D19"/>
    </sheetView>
  </sheetViews>
  <sheetFormatPr defaultRowHeight="14.25" x14ac:dyDescent="0.45"/>
  <cols>
    <col min="1" max="1" width="4.86328125" customWidth="1"/>
    <col min="4" max="5" width="10.265625" bestFit="1" customWidth="1"/>
  </cols>
  <sheetData>
    <row r="1" spans="2:9" x14ac:dyDescent="0.45">
      <c r="B1" t="s">
        <v>113</v>
      </c>
    </row>
    <row r="2" spans="2:9" x14ac:dyDescent="0.45">
      <c r="B2" t="s">
        <v>39</v>
      </c>
    </row>
    <row r="3" spans="2:9" x14ac:dyDescent="0.45">
      <c r="B3" t="s">
        <v>40</v>
      </c>
    </row>
    <row r="4" spans="2:9" x14ac:dyDescent="0.45">
      <c r="B4" t="s">
        <v>41</v>
      </c>
    </row>
    <row r="5" spans="2:9" x14ac:dyDescent="0.45">
      <c r="B5" t="s">
        <v>42</v>
      </c>
    </row>
    <row r="6" spans="2:9" ht="38" customHeight="1" x14ac:dyDescent="0.45"/>
    <row r="7" spans="2:9" ht="16.149999999999999" customHeight="1" x14ac:dyDescent="0.45">
      <c r="B7" s="71"/>
    </row>
    <row r="10" spans="2:9" x14ac:dyDescent="0.45">
      <c r="B10" t="s">
        <v>43</v>
      </c>
    </row>
    <row r="11" spans="2:9" ht="14.65" thickBot="1" x14ac:dyDescent="0.5"/>
    <row r="12" spans="2:9" ht="28.6" customHeight="1" x14ac:dyDescent="0.45">
      <c r="B12" s="38" t="s">
        <v>44</v>
      </c>
      <c r="C12" s="39" t="s">
        <v>45</v>
      </c>
      <c r="D12" s="39" t="s">
        <v>46</v>
      </c>
      <c r="E12" s="39" t="s">
        <v>47</v>
      </c>
      <c r="F12" s="39" t="s">
        <v>48</v>
      </c>
      <c r="G12" s="39" t="s">
        <v>49</v>
      </c>
      <c r="H12" s="39" t="s">
        <v>50</v>
      </c>
      <c r="I12" s="39" t="s">
        <v>51</v>
      </c>
    </row>
    <row r="13" spans="2:9" x14ac:dyDescent="0.45">
      <c r="B13" s="40" t="s">
        <v>36</v>
      </c>
      <c r="C13" s="42">
        <v>6</v>
      </c>
      <c r="D13" s="42">
        <v>0</v>
      </c>
      <c r="E13" s="42">
        <v>6</v>
      </c>
      <c r="F13" s="44">
        <v>0</v>
      </c>
      <c r="G13" s="44">
        <v>715.51153273809518</v>
      </c>
      <c r="H13" s="44">
        <v>190.22538442460316</v>
      </c>
      <c r="I13" s="44">
        <v>273.73827873260308</v>
      </c>
    </row>
    <row r="14" spans="2:9" ht="14.65" thickBot="1" x14ac:dyDescent="0.5">
      <c r="B14" s="41" t="s">
        <v>5</v>
      </c>
      <c r="C14" s="43">
        <v>6</v>
      </c>
      <c r="D14" s="43">
        <v>0</v>
      </c>
      <c r="E14" s="43">
        <v>6</v>
      </c>
      <c r="F14" s="45">
        <v>0</v>
      </c>
      <c r="G14" s="45">
        <v>1.7407181984175168</v>
      </c>
      <c r="H14" s="45">
        <v>0.52741817521931877</v>
      </c>
      <c r="I14" s="45">
        <v>0.68002339774112452</v>
      </c>
    </row>
    <row r="17" spans="2:4" x14ac:dyDescent="0.45">
      <c r="B17" s="36" t="s">
        <v>52</v>
      </c>
    </row>
    <row r="18" spans="2:4" ht="14.65" thickBot="1" x14ac:dyDescent="0.5"/>
    <row r="19" spans="2:4" x14ac:dyDescent="0.45">
      <c r="B19" s="38"/>
      <c r="C19" s="39" t="s">
        <v>5</v>
      </c>
      <c r="D19" s="46" t="s">
        <v>36</v>
      </c>
    </row>
    <row r="20" spans="2:4" x14ac:dyDescent="0.45">
      <c r="B20" s="47" t="s">
        <v>5</v>
      </c>
      <c r="C20" s="52">
        <v>1</v>
      </c>
      <c r="D20" s="50">
        <v>0.98591349717284593</v>
      </c>
    </row>
    <row r="21" spans="2:4" ht="14.65" thickBot="1" x14ac:dyDescent="0.5">
      <c r="B21" s="48" t="s">
        <v>36</v>
      </c>
      <c r="C21" s="51">
        <v>0.98591349717284593</v>
      </c>
      <c r="D21" s="53">
        <v>1</v>
      </c>
    </row>
    <row r="24" spans="2:4" x14ac:dyDescent="0.45">
      <c r="B24" s="36" t="s">
        <v>53</v>
      </c>
    </row>
    <row r="26" spans="2:4" x14ac:dyDescent="0.45">
      <c r="B26" t="s">
        <v>54</v>
      </c>
    </row>
    <row r="27" spans="2:4" ht="14.65" thickBot="1" x14ac:dyDescent="0.5"/>
    <row r="28" spans="2:4" x14ac:dyDescent="0.45">
      <c r="B28" s="54" t="s">
        <v>45</v>
      </c>
      <c r="C28" s="55">
        <v>6</v>
      </c>
    </row>
    <row r="29" spans="2:4" x14ac:dyDescent="0.45">
      <c r="B29" s="37" t="s">
        <v>55</v>
      </c>
      <c r="C29" s="56">
        <v>6</v>
      </c>
    </row>
    <row r="30" spans="2:4" x14ac:dyDescent="0.45">
      <c r="B30" s="37" t="s">
        <v>56</v>
      </c>
      <c r="C30" s="56">
        <v>4</v>
      </c>
    </row>
    <row r="31" spans="2:4" x14ac:dyDescent="0.45">
      <c r="B31" s="37" t="s">
        <v>57</v>
      </c>
      <c r="C31" s="57">
        <v>0.97202542390759128</v>
      </c>
    </row>
    <row r="32" spans="2:4" x14ac:dyDescent="0.45">
      <c r="B32" s="37" t="s">
        <v>58</v>
      </c>
      <c r="C32" s="57">
        <v>0.96503177988448907</v>
      </c>
    </row>
    <row r="33" spans="2:8" x14ac:dyDescent="0.45">
      <c r="B33" s="37" t="s">
        <v>59</v>
      </c>
      <c r="C33" s="57">
        <v>2620.2612327117895</v>
      </c>
    </row>
    <row r="34" spans="2:8" x14ac:dyDescent="0.45">
      <c r="B34" s="37" t="s">
        <v>60</v>
      </c>
      <c r="C34" s="57">
        <v>51.188487306344477</v>
      </c>
    </row>
    <row r="35" spans="2:8" x14ac:dyDescent="0.45">
      <c r="B35" s="37" t="s">
        <v>61</v>
      </c>
      <c r="C35" s="57">
        <v>61.348448635285862</v>
      </c>
    </row>
    <row r="36" spans="2:8" x14ac:dyDescent="0.45">
      <c r="B36" s="37" t="s">
        <v>62</v>
      </c>
      <c r="C36" s="57">
        <v>1.8571052791111902</v>
      </c>
    </row>
    <row r="37" spans="2:8" x14ac:dyDescent="0.45">
      <c r="B37" s="37" t="s">
        <v>63</v>
      </c>
      <c r="C37" s="57">
        <v>2</v>
      </c>
    </row>
    <row r="38" spans="2:8" x14ac:dyDescent="0.45">
      <c r="B38" s="37" t="s">
        <v>64</v>
      </c>
      <c r="C38" s="57">
        <v>48.793385144910737</v>
      </c>
    </row>
    <row r="39" spans="2:8" x14ac:dyDescent="0.45">
      <c r="B39" s="37" t="s">
        <v>65</v>
      </c>
      <c r="C39" s="57">
        <v>52.793385144910737</v>
      </c>
    </row>
    <row r="40" spans="2:8" x14ac:dyDescent="0.45">
      <c r="B40" s="37" t="s">
        <v>66</v>
      </c>
      <c r="C40" s="57">
        <v>48.376904083366846</v>
      </c>
    </row>
    <row r="41" spans="2:8" ht="14.65" thickBot="1" x14ac:dyDescent="0.5">
      <c r="B41" s="41" t="s">
        <v>67</v>
      </c>
      <c r="C41" s="45">
        <v>5.5949152184817441E-2</v>
      </c>
    </row>
    <row r="44" spans="2:8" x14ac:dyDescent="0.45">
      <c r="B44" t="s">
        <v>68</v>
      </c>
    </row>
    <row r="45" spans="2:8" ht="14.65" thickBot="1" x14ac:dyDescent="0.5"/>
    <row r="46" spans="2:8" ht="42.75" x14ac:dyDescent="0.45">
      <c r="B46" s="38" t="s">
        <v>69</v>
      </c>
      <c r="C46" s="39" t="s">
        <v>56</v>
      </c>
      <c r="D46" s="39" t="s">
        <v>70</v>
      </c>
      <c r="E46" s="39" t="s">
        <v>71</v>
      </c>
      <c r="F46" s="39" t="s">
        <v>72</v>
      </c>
      <c r="G46" s="39" t="s">
        <v>73</v>
      </c>
      <c r="H46" s="39" t="s">
        <v>74</v>
      </c>
    </row>
    <row r="47" spans="2:8" x14ac:dyDescent="0.45">
      <c r="B47" s="47" t="s">
        <v>75</v>
      </c>
      <c r="C47" s="49">
        <v>1</v>
      </c>
      <c r="D47" s="49">
        <v>364182.18128659436</v>
      </c>
      <c r="E47" s="49">
        <v>364182.18128659436</v>
      </c>
      <c r="F47" s="49">
        <v>138.98697455814013</v>
      </c>
      <c r="G47" s="59">
        <v>2.9624675355678577E-4</v>
      </c>
      <c r="H47" s="62" t="s">
        <v>78</v>
      </c>
    </row>
    <row r="48" spans="2:8" x14ac:dyDescent="0.45">
      <c r="B48" s="37" t="s">
        <v>76</v>
      </c>
      <c r="C48" s="57">
        <v>4</v>
      </c>
      <c r="D48" s="57">
        <v>10481.044930847158</v>
      </c>
      <c r="E48" s="57">
        <v>2620.2612327117895</v>
      </c>
      <c r="F48" s="57"/>
      <c r="G48" s="60"/>
      <c r="H48" s="63" t="s">
        <v>79</v>
      </c>
    </row>
    <row r="49" spans="2:9" ht="14.65" thickBot="1" x14ac:dyDescent="0.5">
      <c r="B49" s="41" t="s">
        <v>77</v>
      </c>
      <c r="C49" s="45">
        <v>5</v>
      </c>
      <c r="D49" s="45">
        <v>374663.22621744149</v>
      </c>
      <c r="E49" s="45"/>
      <c r="F49" s="45"/>
      <c r="G49" s="61"/>
      <c r="H49" s="64" t="s">
        <v>79</v>
      </c>
    </row>
    <row r="50" spans="2:9" x14ac:dyDescent="0.45">
      <c r="B50" s="65" t="s">
        <v>80</v>
      </c>
    </row>
    <row r="51" spans="2:9" x14ac:dyDescent="0.45">
      <c r="B51" s="65" t="s">
        <v>81</v>
      </c>
    </row>
    <row r="54" spans="2:9" x14ac:dyDescent="0.45">
      <c r="B54" t="s">
        <v>82</v>
      </c>
    </row>
    <row r="55" spans="2:9" ht="14.65" thickBot="1" x14ac:dyDescent="0.5"/>
    <row r="56" spans="2:9" ht="42.75" x14ac:dyDescent="0.45">
      <c r="B56" s="38" t="s">
        <v>69</v>
      </c>
      <c r="C56" s="39" t="s">
        <v>83</v>
      </c>
      <c r="D56" s="39" t="s">
        <v>84</v>
      </c>
      <c r="E56" s="39" t="s">
        <v>85</v>
      </c>
      <c r="F56" s="39" t="s">
        <v>86</v>
      </c>
      <c r="G56" s="39" t="s">
        <v>87</v>
      </c>
      <c r="H56" s="39" t="s">
        <v>88</v>
      </c>
      <c r="I56" s="39" t="s">
        <v>74</v>
      </c>
    </row>
    <row r="57" spans="2:9" x14ac:dyDescent="0.45">
      <c r="B57" s="47" t="s">
        <v>89</v>
      </c>
      <c r="C57" s="49">
        <v>-19.092135406442793</v>
      </c>
      <c r="D57" s="49">
        <v>27.42165409717099</v>
      </c>
      <c r="E57" s="49">
        <v>-0.69624302526711812</v>
      </c>
      <c r="F57" s="58">
        <v>0.52461398979092355</v>
      </c>
      <c r="G57" s="49">
        <v>-95.226850729775649</v>
      </c>
      <c r="H57" s="49">
        <v>57.042579916890062</v>
      </c>
      <c r="I57" s="62" t="s">
        <v>90</v>
      </c>
    </row>
    <row r="58" spans="2:9" ht="14.65" thickBot="1" x14ac:dyDescent="0.5">
      <c r="B58" s="41" t="s">
        <v>5</v>
      </c>
      <c r="C58" s="45">
        <v>396.87202615648283</v>
      </c>
      <c r="D58" s="45">
        <v>33.663823233901439</v>
      </c>
      <c r="E58" s="45">
        <v>11.789273707830354</v>
      </c>
      <c r="F58" s="61">
        <v>2.9624675355677255E-4</v>
      </c>
      <c r="G58" s="45">
        <v>303.4062713363715</v>
      </c>
      <c r="H58" s="45">
        <v>490.33778097659416</v>
      </c>
      <c r="I58" s="64" t="s">
        <v>78</v>
      </c>
    </row>
    <row r="59" spans="2:9" x14ac:dyDescent="0.45">
      <c r="B59" s="65" t="s">
        <v>81</v>
      </c>
    </row>
    <row r="62" spans="2:9" x14ac:dyDescent="0.45">
      <c r="B62" t="s">
        <v>91</v>
      </c>
    </row>
    <row r="63" spans="2:9" x14ac:dyDescent="0.45">
      <c r="H63" t="s">
        <v>114</v>
      </c>
    </row>
    <row r="64" spans="2:9" x14ac:dyDescent="0.45">
      <c r="B64" t="s">
        <v>92</v>
      </c>
      <c r="H64">
        <f>19.0921/396.872</f>
        <v>4.8106442379406956E-2</v>
      </c>
    </row>
    <row r="67" spans="2:9" x14ac:dyDescent="0.45">
      <c r="B67" t="s">
        <v>93</v>
      </c>
    </row>
    <row r="68" spans="2:9" ht="14.65" thickBot="1" x14ac:dyDescent="0.5"/>
    <row r="69" spans="2:9" ht="42.75" x14ac:dyDescent="0.45">
      <c r="B69" s="38" t="s">
        <v>69</v>
      </c>
      <c r="C69" s="39" t="s">
        <v>83</v>
      </c>
      <c r="D69" s="39" t="s">
        <v>84</v>
      </c>
      <c r="E69" s="39" t="s">
        <v>85</v>
      </c>
      <c r="F69" s="39" t="s">
        <v>86</v>
      </c>
      <c r="G69" s="39" t="s">
        <v>87</v>
      </c>
      <c r="H69" s="39" t="s">
        <v>88</v>
      </c>
      <c r="I69" s="39" t="s">
        <v>74</v>
      </c>
    </row>
    <row r="70" spans="2:9" ht="14.65" thickBot="1" x14ac:dyDescent="0.5">
      <c r="B70" s="66" t="s">
        <v>5</v>
      </c>
      <c r="C70" s="67">
        <v>0.98591349717284571</v>
      </c>
      <c r="D70" s="67">
        <v>8.3628009799959838E-2</v>
      </c>
      <c r="E70" s="67">
        <v>11.789273707830354</v>
      </c>
      <c r="F70" s="68">
        <v>2.9624675355677255E-4</v>
      </c>
      <c r="G70" s="67">
        <v>0.75372492471784946</v>
      </c>
      <c r="H70" s="67">
        <v>1.218102069627842</v>
      </c>
      <c r="I70" s="69" t="s">
        <v>78</v>
      </c>
    </row>
    <row r="71" spans="2:9" x14ac:dyDescent="0.45">
      <c r="B71" s="65" t="s">
        <v>81</v>
      </c>
    </row>
    <row r="91" spans="2:14" x14ac:dyDescent="0.45">
      <c r="G91" t="s">
        <v>94</v>
      </c>
    </row>
    <row r="94" spans="2:14" x14ac:dyDescent="0.45">
      <c r="B94" t="s">
        <v>95</v>
      </c>
    </row>
    <row r="95" spans="2:14" ht="14.65" thickBot="1" x14ac:dyDescent="0.5"/>
    <row r="96" spans="2:14" ht="71.25" x14ac:dyDescent="0.45">
      <c r="B96" s="38" t="s">
        <v>96</v>
      </c>
      <c r="C96" s="39" t="s">
        <v>97</v>
      </c>
      <c r="D96" s="39" t="s">
        <v>5</v>
      </c>
      <c r="E96" s="39" t="s">
        <v>36</v>
      </c>
      <c r="F96" s="39" t="s">
        <v>104</v>
      </c>
      <c r="G96" s="39" t="s">
        <v>105</v>
      </c>
      <c r="H96" s="39" t="s">
        <v>106</v>
      </c>
      <c r="I96" s="39" t="s">
        <v>107</v>
      </c>
      <c r="J96" s="39" t="s">
        <v>108</v>
      </c>
      <c r="K96" s="39" t="s">
        <v>109</v>
      </c>
      <c r="L96" s="39" t="s">
        <v>110</v>
      </c>
      <c r="M96" s="39" t="s">
        <v>111</v>
      </c>
      <c r="N96" s="39" t="s">
        <v>112</v>
      </c>
    </row>
    <row r="97" spans="2:14" x14ac:dyDescent="0.45">
      <c r="B97" s="47" t="s">
        <v>98</v>
      </c>
      <c r="C97" s="70">
        <v>1</v>
      </c>
      <c r="D97" s="49">
        <v>0</v>
      </c>
      <c r="E97" s="49">
        <v>0</v>
      </c>
      <c r="F97" s="49">
        <v>-19.092135406442793</v>
      </c>
      <c r="G97" s="49">
        <v>19.092135406442793</v>
      </c>
      <c r="H97" s="49">
        <v>0.37297713628815221</v>
      </c>
      <c r="I97" s="49">
        <v>27.42165409717099</v>
      </c>
      <c r="J97" s="49">
        <v>-95.226850729775649</v>
      </c>
      <c r="K97" s="49">
        <v>57.042579916890062</v>
      </c>
      <c r="L97" s="49">
        <v>58.070718491651917</v>
      </c>
      <c r="M97" s="49">
        <v>-180.32229334353971</v>
      </c>
      <c r="N97" s="49">
        <v>142.13802253065413</v>
      </c>
    </row>
    <row r="98" spans="2:14" x14ac:dyDescent="0.45">
      <c r="B98" s="37" t="s">
        <v>99</v>
      </c>
      <c r="C98" s="56">
        <v>1</v>
      </c>
      <c r="D98" s="57">
        <v>1.998001998002074E-2</v>
      </c>
      <c r="E98" s="57">
        <v>12.379092261904761</v>
      </c>
      <c r="F98" s="57">
        <v>-11.162624394324952</v>
      </c>
      <c r="G98" s="57">
        <v>23.541716656229713</v>
      </c>
      <c r="H98" s="57">
        <v>0.45990256589027728</v>
      </c>
      <c r="I98" s="57">
        <v>26.99102562634372</v>
      </c>
      <c r="J98" s="57">
        <v>-86.101723438626024</v>
      </c>
      <c r="K98" s="57">
        <v>63.776474649976123</v>
      </c>
      <c r="L98" s="57">
        <v>57.868615821304495</v>
      </c>
      <c r="M98" s="57">
        <v>-171.83165537611637</v>
      </c>
      <c r="N98" s="57">
        <v>149.50640658746647</v>
      </c>
    </row>
    <row r="99" spans="2:14" x14ac:dyDescent="0.45">
      <c r="B99" s="37" t="s">
        <v>100</v>
      </c>
      <c r="C99" s="56">
        <v>1</v>
      </c>
      <c r="D99" s="57">
        <v>0.14559894109860011</v>
      </c>
      <c r="E99" s="57">
        <v>64.371279761904759</v>
      </c>
      <c r="F99" s="57">
        <v>38.692011353597032</v>
      </c>
      <c r="G99" s="57">
        <v>25.679268408307728</v>
      </c>
      <c r="H99" s="57">
        <v>0.50166101323968892</v>
      </c>
      <c r="I99" s="57">
        <v>24.534109815323013</v>
      </c>
      <c r="J99" s="57">
        <v>-29.425595989926045</v>
      </c>
      <c r="K99" s="57">
        <v>106.8096186971201</v>
      </c>
      <c r="L99" s="57">
        <v>56.764282582818915</v>
      </c>
      <c r="M99" s="57">
        <v>-118.91089909307803</v>
      </c>
      <c r="N99" s="57">
        <v>196.29492180027208</v>
      </c>
    </row>
    <row r="100" spans="2:14" x14ac:dyDescent="0.45">
      <c r="B100" s="37" t="s">
        <v>101</v>
      </c>
      <c r="C100" s="56">
        <v>1</v>
      </c>
      <c r="D100" s="57">
        <v>0.36649214659684182</v>
      </c>
      <c r="E100" s="57">
        <v>89.129464285714278</v>
      </c>
      <c r="F100" s="57">
        <v>126.35834538388454</v>
      </c>
      <c r="G100" s="57">
        <v>-37.228881098170262</v>
      </c>
      <c r="H100" s="57">
        <v>-0.72729012043995267</v>
      </c>
      <c r="I100" s="57">
        <v>21.58838275140776</v>
      </c>
      <c r="J100" s="57">
        <v>66.419387316466313</v>
      </c>
      <c r="K100" s="57">
        <v>186.29730345130275</v>
      </c>
      <c r="L100" s="57">
        <v>55.554653293248712</v>
      </c>
      <c r="M100" s="57">
        <v>-27.886095829612714</v>
      </c>
      <c r="N100" s="57">
        <v>280.60278659738179</v>
      </c>
    </row>
    <row r="101" spans="2:14" x14ac:dyDescent="0.45">
      <c r="B101" s="37" t="s">
        <v>102</v>
      </c>
      <c r="C101" s="56">
        <v>1</v>
      </c>
      <c r="D101" s="57">
        <v>0.8917197452229334</v>
      </c>
      <c r="E101" s="57">
        <v>259.96093749999994</v>
      </c>
      <c r="F101" s="57">
        <v>334.8064866439255</v>
      </c>
      <c r="G101" s="57">
        <v>-74.845549143925552</v>
      </c>
      <c r="H101" s="57">
        <v>-1.4621559081439965</v>
      </c>
      <c r="I101" s="57">
        <v>24.230365144252236</v>
      </c>
      <c r="J101" s="57">
        <v>267.53220968379236</v>
      </c>
      <c r="K101" s="57">
        <v>402.08076360405863</v>
      </c>
      <c r="L101" s="57">
        <v>56.633663379085618</v>
      </c>
      <c r="M101" s="57">
        <v>177.56623323671113</v>
      </c>
      <c r="N101" s="57">
        <v>492.04674005113986</v>
      </c>
    </row>
    <row r="102" spans="2:14" ht="14.65" thickBot="1" x14ac:dyDescent="0.5">
      <c r="B102" s="41" t="s">
        <v>103</v>
      </c>
      <c r="C102" s="43">
        <v>1</v>
      </c>
      <c r="D102" s="45">
        <v>1.7407181984175168</v>
      </c>
      <c r="E102" s="45">
        <v>715.51153273809518</v>
      </c>
      <c r="F102" s="45">
        <v>671.75022296697955</v>
      </c>
      <c r="G102" s="45">
        <v>43.761309771115634</v>
      </c>
      <c r="H102" s="45">
        <v>0.85490531316583185</v>
      </c>
      <c r="I102" s="45">
        <v>45.879935465967456</v>
      </c>
      <c r="J102" s="45">
        <v>544.36710401374751</v>
      </c>
      <c r="K102" s="45">
        <v>799.13334192021159</v>
      </c>
      <c r="L102" s="45">
        <v>68.740306306221299</v>
      </c>
      <c r="M102" s="45">
        <v>480.89654093461854</v>
      </c>
      <c r="N102" s="45">
        <v>862.60390499934056</v>
      </c>
    </row>
    <row r="122" spans="7:7" x14ac:dyDescent="0.45">
      <c r="G122" t="s">
        <v>94</v>
      </c>
    </row>
    <row r="142" spans="7:7" x14ac:dyDescent="0.45">
      <c r="G142" t="s">
        <v>94</v>
      </c>
    </row>
    <row r="162" spans="7:7" x14ac:dyDescent="0.45">
      <c r="G162" t="s">
        <v>94</v>
      </c>
    </row>
  </sheetData>
  <pageMargins left="0.7" right="0.7" top="0.75" bottom="0.75" header="0.3" footer="0.3"/>
  <ignoredErrors>
    <ignoredError sqref="A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DD776171">
              <controlPr defaultSize="0" autoFill="0" autoPict="0" macro="[0]!GoToResultsNew091020241248087">
                <anchor moveWithCells="1">
                  <from>
                    <xdr:col>0</xdr:col>
                    <xdr:colOff>342900</xdr:colOff>
                    <xdr:row>5</xdr:row>
                    <xdr:rowOff>476250</xdr:rowOff>
                  </from>
                  <to>
                    <xdr:col>3</xdr:col>
                    <xdr:colOff>733425</xdr:colOff>
                    <xdr:row>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1289-6505-4162-A251-48F41AB9D895}">
  <sheetPr codeName="XLSTAT_20241009_124736_1_HID"/>
  <dimension ref="A1:X100"/>
  <sheetViews>
    <sheetView workbookViewId="0">
      <selection activeCell="U1" sqref="U1"/>
    </sheetView>
  </sheetViews>
  <sheetFormatPr defaultRowHeight="14.25" x14ac:dyDescent="0.45"/>
  <sheetData>
    <row r="1" spans="1:24" x14ac:dyDescent="0.45">
      <c r="A1">
        <v>1</v>
      </c>
      <c r="C1">
        <f t="shared" ref="C1:C32" si="0">-0.174071819841752+(A1-1)*0.0302733599724786</f>
        <v>-0.17407181984175199</v>
      </c>
      <c r="D1">
        <f t="shared" ref="D1:D32" si="1">-19.0921354064428+396.872026156483*C1-142.122021344534*(0.166666666666667+(C1-0.527418175219319)^2/2.31215910737692)^0.5</f>
        <v>-175.72779799070787</v>
      </c>
      <c r="E1">
        <v>1</v>
      </c>
      <c r="G1">
        <f t="shared" ref="G1:G32" si="2">-0.174071819841752+(E1-1)*0.0302733599724786</f>
        <v>-0.17407181984175199</v>
      </c>
      <c r="H1">
        <f t="shared" ref="H1:H32" si="3">-19.0921354064428+396.872026156483*G1+142.122021344534*(0.166666666666667+(G1-0.527418175219319)^2/2.31215910737692)^0.5</f>
        <v>-0.6249444968625113</v>
      </c>
      <c r="I1">
        <v>1</v>
      </c>
      <c r="K1">
        <f t="shared" ref="K1:K32" si="4">-0.174071819841752+(I1-1)*0.0210996145262729</f>
        <v>-0.17407181984175199</v>
      </c>
      <c r="L1">
        <f t="shared" ref="L1:L32" si="5">-19.0921354064428+396.872026156483*K1-142.122021344534*(1.16666666666667+(K1-0.527418175219319)^2/2.31215910737692)^0.5</f>
        <v>-255.10126835766096</v>
      </c>
      <c r="M1">
        <v>1</v>
      </c>
      <c r="O1">
        <f t="shared" ref="O1:O32" si="6">-0.174071819841752+(M1-1)*0.0210996145262729</f>
        <v>-0.17407181984175199</v>
      </c>
      <c r="P1">
        <f t="shared" ref="P1:P32" si="7">-19.0921354064428+396.872026156483*O1+142.122021344534*(1.16666666666667+(O1-0.527418175219319)^2/2.31215910737692)^0.5</f>
        <v>78.748525870090589</v>
      </c>
      <c r="Q1">
        <v>1</v>
      </c>
      <c r="S1">
        <f t="shared" ref="S1:S32" si="8">-46.7258297413797+(Q1-1)*12.3597985116196</f>
        <v>-46.725829741379698</v>
      </c>
      <c r="T1">
        <f t="shared" ref="T1:T32" si="9">0+1*S1-142.122021344534*(1.16666666666667+(S1-190.225384424603)^2/364182.181286594)^0.5</f>
        <v>-210.06332584231228</v>
      </c>
      <c r="U1">
        <v>1</v>
      </c>
      <c r="W1">
        <f t="shared" ref="W1:W32" si="10">-22.9105624877314+(U1-1)*12.0146497108421</f>
        <v>-22.910562487731401</v>
      </c>
      <c r="X1">
        <f t="shared" ref="X1:X32" si="11">0+1*W1+142.122021344534*(1.16666666666667+(W1-190.225384424603)^2/364182.181286594)^0.5</f>
        <v>138.59681124033025</v>
      </c>
    </row>
    <row r="2" spans="1:24" x14ac:dyDescent="0.45">
      <c r="A2">
        <v>2</v>
      </c>
      <c r="C2">
        <f t="shared" si="0"/>
        <v>-0.14379845986927339</v>
      </c>
      <c r="D2">
        <f t="shared" si="1"/>
        <v>-161.61475888799652</v>
      </c>
      <c r="E2">
        <v>2</v>
      </c>
      <c r="G2">
        <f t="shared" si="2"/>
        <v>-0.14379845986927339</v>
      </c>
      <c r="H2">
        <f t="shared" si="3"/>
        <v>9.2913158221104624</v>
      </c>
      <c r="I2">
        <v>2</v>
      </c>
      <c r="K2">
        <f t="shared" si="4"/>
        <v>-0.15297220531547909</v>
      </c>
      <c r="L2">
        <f t="shared" si="5"/>
        <v>-245.96271502880501</v>
      </c>
      <c r="M2">
        <v>2</v>
      </c>
      <c r="O2">
        <f t="shared" si="6"/>
        <v>-0.15297220531547909</v>
      </c>
      <c r="P2">
        <f t="shared" si="7"/>
        <v>86.357666077559998</v>
      </c>
      <c r="Q2">
        <v>2</v>
      </c>
      <c r="S2">
        <f t="shared" si="8"/>
        <v>-34.366031229760097</v>
      </c>
      <c r="T2">
        <f t="shared" si="9"/>
        <v>-196.73211247420448</v>
      </c>
      <c r="U2">
        <v>2</v>
      </c>
      <c r="W2">
        <f t="shared" si="10"/>
        <v>-10.8959127768893</v>
      </c>
      <c r="X2">
        <f t="shared" si="11"/>
        <v>149.75458780498647</v>
      </c>
    </row>
    <row r="3" spans="1:24" x14ac:dyDescent="0.45">
      <c r="A3">
        <v>3</v>
      </c>
      <c r="C3">
        <f t="shared" si="0"/>
        <v>-0.1135250998967948</v>
      </c>
      <c r="D3">
        <f t="shared" si="1"/>
        <v>-147.54493303851456</v>
      </c>
      <c r="E3">
        <v>3</v>
      </c>
      <c r="G3">
        <f t="shared" si="2"/>
        <v>-0.1135250998967948</v>
      </c>
      <c r="H3">
        <f t="shared" si="3"/>
        <v>19.25078939431279</v>
      </c>
      <c r="I3">
        <v>3</v>
      </c>
      <c r="K3">
        <f t="shared" si="4"/>
        <v>-0.13187259078920618</v>
      </c>
      <c r="L3">
        <f t="shared" si="5"/>
        <v>-236.84413908222626</v>
      </c>
      <c r="M3">
        <v>3</v>
      </c>
      <c r="O3">
        <f t="shared" si="6"/>
        <v>-0.13187259078920618</v>
      </c>
      <c r="P3">
        <f t="shared" si="7"/>
        <v>93.986783667306611</v>
      </c>
      <c r="Q3">
        <v>3</v>
      </c>
      <c r="S3">
        <f t="shared" si="8"/>
        <v>-22.006232718140499</v>
      </c>
      <c r="T3">
        <f t="shared" si="9"/>
        <v>-183.44754292207395</v>
      </c>
      <c r="U3">
        <v>3</v>
      </c>
      <c r="W3">
        <f t="shared" si="10"/>
        <v>1.1187369339527997</v>
      </c>
      <c r="X3">
        <f t="shared" si="11"/>
        <v>160.95786637466384</v>
      </c>
    </row>
    <row r="4" spans="1:24" x14ac:dyDescent="0.45">
      <c r="A4">
        <v>4</v>
      </c>
      <c r="C4">
        <f t="shared" si="0"/>
        <v>-8.3251739924316184E-2</v>
      </c>
      <c r="D4">
        <f t="shared" si="1"/>
        <v>-133.52159407059156</v>
      </c>
      <c r="E4">
        <v>4</v>
      </c>
      <c r="G4">
        <f t="shared" si="2"/>
        <v>-8.3251739924316184E-2</v>
      </c>
      <c r="H4">
        <f t="shared" si="3"/>
        <v>29.256749848074108</v>
      </c>
      <c r="I4">
        <v>4</v>
      </c>
      <c r="K4">
        <f t="shared" si="4"/>
        <v>-0.1107729762629333</v>
      </c>
      <c r="L4">
        <f t="shared" si="5"/>
        <v>-227.74581153006534</v>
      </c>
      <c r="M4">
        <v>4</v>
      </c>
      <c r="O4">
        <f t="shared" si="6"/>
        <v>-0.1107729762629333</v>
      </c>
      <c r="P4">
        <f t="shared" si="7"/>
        <v>101.63614965147106</v>
      </c>
      <c r="Q4">
        <v>4</v>
      </c>
      <c r="S4">
        <f t="shared" si="8"/>
        <v>-9.646434206520901</v>
      </c>
      <c r="T4">
        <f t="shared" si="9"/>
        <v>-170.21042312551114</v>
      </c>
      <c r="U4">
        <v>4</v>
      </c>
      <c r="W4">
        <f t="shared" si="10"/>
        <v>13.1333866447949</v>
      </c>
      <c r="X4">
        <f t="shared" si="11"/>
        <v>172.20734321219507</v>
      </c>
    </row>
    <row r="5" spans="1:24" x14ac:dyDescent="0.45">
      <c r="A5">
        <v>5</v>
      </c>
      <c r="C5">
        <f t="shared" si="0"/>
        <v>-5.2978379951837587E-2</v>
      </c>
      <c r="D5">
        <f t="shared" si="1"/>
        <v>-119.54826883261278</v>
      </c>
      <c r="E5">
        <v>5</v>
      </c>
      <c r="G5">
        <f t="shared" si="2"/>
        <v>-5.2978379951837587E-2</v>
      </c>
      <c r="H5">
        <f t="shared" si="3"/>
        <v>39.312724031779609</v>
      </c>
      <c r="I5">
        <v>5</v>
      </c>
      <c r="K5">
        <f t="shared" si="4"/>
        <v>-8.9673361736660392E-2</v>
      </c>
      <c r="L5">
        <f t="shared" si="5"/>
        <v>-218.66800073962909</v>
      </c>
      <c r="M5">
        <v>5</v>
      </c>
      <c r="O5">
        <f t="shared" si="6"/>
        <v>-8.9673361736660392E-2</v>
      </c>
      <c r="P5">
        <f t="shared" si="7"/>
        <v>109.30603239736021</v>
      </c>
      <c r="Q5">
        <v>5</v>
      </c>
      <c r="S5">
        <f t="shared" si="8"/>
        <v>2.7133643050987004</v>
      </c>
      <c r="T5">
        <f t="shared" si="9"/>
        <v>-157.02153491959285</v>
      </c>
      <c r="U5">
        <v>5</v>
      </c>
      <c r="W5">
        <f t="shared" si="10"/>
        <v>25.148036355637</v>
      </c>
      <c r="X5">
        <f t="shared" si="11"/>
        <v>183.50368800765565</v>
      </c>
    </row>
    <row r="6" spans="1:24" x14ac:dyDescent="0.45">
      <c r="A6">
        <v>6</v>
      </c>
      <c r="C6">
        <f t="shared" si="0"/>
        <v>-2.2705019979358976E-2</v>
      </c>
      <c r="D6">
        <f t="shared" si="1"/>
        <v>-105.62874818972784</v>
      </c>
      <c r="E6">
        <v>6</v>
      </c>
      <c r="G6">
        <f t="shared" si="2"/>
        <v>-2.2705019979358976E-2</v>
      </c>
      <c r="H6">
        <f t="shared" si="3"/>
        <v>49.422502810578983</v>
      </c>
      <c r="I6">
        <v>6</v>
      </c>
      <c r="K6">
        <f t="shared" si="4"/>
        <v>-6.857374721038749E-2</v>
      </c>
      <c r="L6">
        <f t="shared" si="5"/>
        <v>-209.61097203978514</v>
      </c>
      <c r="M6">
        <v>6</v>
      </c>
      <c r="O6">
        <f t="shared" si="6"/>
        <v>-6.857374721038749E-2</v>
      </c>
      <c r="P6">
        <f t="shared" si="7"/>
        <v>116.99669723384162</v>
      </c>
      <c r="Q6">
        <v>6</v>
      </c>
      <c r="S6">
        <f t="shared" si="8"/>
        <v>15.073162816718302</v>
      </c>
      <c r="T6">
        <f t="shared" si="9"/>
        <v>-143.88163301718194</v>
      </c>
      <c r="U6">
        <v>6</v>
      </c>
      <c r="W6">
        <f t="shared" si="10"/>
        <v>37.162686066479097</v>
      </c>
      <c r="X6">
        <f t="shared" si="11"/>
        <v>194.84754125793199</v>
      </c>
    </row>
    <row r="7" spans="1:24" x14ac:dyDescent="0.45">
      <c r="A7">
        <v>7</v>
      </c>
      <c r="C7">
        <f t="shared" si="0"/>
        <v>7.5683399931196216E-3</v>
      </c>
      <c r="D7">
        <f t="shared" si="1"/>
        <v>-91.767095121320011</v>
      </c>
      <c r="E7">
        <v>7</v>
      </c>
      <c r="G7">
        <f t="shared" si="2"/>
        <v>7.5683399931196216E-3</v>
      </c>
      <c r="H7">
        <f t="shared" si="3"/>
        <v>59.590149163855472</v>
      </c>
      <c r="I7">
        <v>7</v>
      </c>
      <c r="K7">
        <f t="shared" si="4"/>
        <v>-4.7474132684114601E-2</v>
      </c>
      <c r="L7">
        <f t="shared" si="5"/>
        <v>-200.57498731836151</v>
      </c>
      <c r="M7">
        <v>7</v>
      </c>
      <c r="O7">
        <f t="shared" si="6"/>
        <v>-4.7474132684114601E-2</v>
      </c>
      <c r="P7">
        <f t="shared" si="7"/>
        <v>124.70840604874334</v>
      </c>
      <c r="Q7">
        <v>7</v>
      </c>
      <c r="S7">
        <f t="shared" si="8"/>
        <v>27.432961328337896</v>
      </c>
      <c r="T7">
        <f t="shared" si="9"/>
        <v>-130.79144198038455</v>
      </c>
      <c r="U7">
        <v>7</v>
      </c>
      <c r="W7">
        <f t="shared" si="10"/>
        <v>49.177335777321204</v>
      </c>
      <c r="X7">
        <f t="shared" si="11"/>
        <v>206.23951167543197</v>
      </c>
    </row>
    <row r="8" spans="1:24" x14ac:dyDescent="0.45">
      <c r="A8">
        <v>8</v>
      </c>
      <c r="C8">
        <f t="shared" si="0"/>
        <v>3.7841699965598219E-2</v>
      </c>
      <c r="D8">
        <f t="shared" si="1"/>
        <v>-77.967649018738442</v>
      </c>
      <c r="E8">
        <v>8</v>
      </c>
      <c r="G8">
        <f t="shared" si="2"/>
        <v>3.7841699965598219E-2</v>
      </c>
      <c r="H8">
        <f t="shared" si="3"/>
        <v>69.820002482958202</v>
      </c>
      <c r="I8">
        <v>8</v>
      </c>
      <c r="K8">
        <f t="shared" si="4"/>
        <v>-2.6374518157841698E-2</v>
      </c>
      <c r="L8">
        <f t="shared" si="5"/>
        <v>-191.56030461154069</v>
      </c>
      <c r="M8">
        <v>8</v>
      </c>
      <c r="O8">
        <f t="shared" si="6"/>
        <v>-2.6374518157841698E-2</v>
      </c>
      <c r="P8">
        <f t="shared" si="7"/>
        <v>132.44141687824794</v>
      </c>
      <c r="Q8">
        <v>8</v>
      </c>
      <c r="S8">
        <f t="shared" si="8"/>
        <v>39.792759839957498</v>
      </c>
      <c r="T8">
        <f t="shared" si="9"/>
        <v>-117.75165320517529</v>
      </c>
      <c r="U8">
        <v>8</v>
      </c>
      <c r="W8">
        <f t="shared" si="10"/>
        <v>61.191985488163311</v>
      </c>
      <c r="X8">
        <f t="shared" si="11"/>
        <v>217.6801736476354</v>
      </c>
    </row>
    <row r="9" spans="1:24" x14ac:dyDescent="0.45">
      <c r="A9">
        <v>9</v>
      </c>
      <c r="C9">
        <f t="shared" si="0"/>
        <v>6.8115059938076816E-2</v>
      </c>
      <c r="D9">
        <f t="shared" si="1"/>
        <v>-64.235024873665779</v>
      </c>
      <c r="E9">
        <v>9</v>
      </c>
      <c r="G9">
        <f t="shared" si="2"/>
        <v>6.8115059938076816E-2</v>
      </c>
      <c r="H9">
        <f t="shared" si="3"/>
        <v>80.116677759569839</v>
      </c>
      <c r="I9">
        <v>9</v>
      </c>
      <c r="K9">
        <f t="shared" si="4"/>
        <v>-5.2749036315687947E-3</v>
      </c>
      <c r="L9">
        <f t="shared" si="5"/>
        <v>-182.56717768633649</v>
      </c>
      <c r="M9">
        <v>9</v>
      </c>
      <c r="O9">
        <f t="shared" si="6"/>
        <v>-5.2749036315687947E-3</v>
      </c>
      <c r="P9">
        <f t="shared" si="7"/>
        <v>140.1959834893691</v>
      </c>
      <c r="Q9">
        <v>9</v>
      </c>
      <c r="S9">
        <f t="shared" si="8"/>
        <v>52.152558351577099</v>
      </c>
      <c r="T9">
        <f t="shared" si="9"/>
        <v>-104.76292194466181</v>
      </c>
      <c r="U9">
        <v>9</v>
      </c>
      <c r="W9">
        <f t="shared" si="10"/>
        <v>73.206635199005405</v>
      </c>
      <c r="X9">
        <f t="shared" si="11"/>
        <v>229.17006476986731</v>
      </c>
    </row>
    <row r="10" spans="1:24" x14ac:dyDescent="0.45">
      <c r="A10">
        <v>10</v>
      </c>
      <c r="C10">
        <f t="shared" si="0"/>
        <v>9.8388419910555441E-2</v>
      </c>
      <c r="D10">
        <f t="shared" si="1"/>
        <v>-50.57410584515101</v>
      </c>
      <c r="E10">
        <v>10</v>
      </c>
      <c r="G10">
        <f t="shared" si="2"/>
        <v>9.8388419910555441E-2</v>
      </c>
      <c r="H10">
        <f t="shared" si="3"/>
        <v>90.485058152739398</v>
      </c>
      <c r="I10">
        <v>10</v>
      </c>
      <c r="K10">
        <f t="shared" si="4"/>
        <v>1.5824710894704108E-2</v>
      </c>
      <c r="L10">
        <f t="shared" si="5"/>
        <v>-173.5958556173351</v>
      </c>
      <c r="M10">
        <v>10</v>
      </c>
      <c r="O10">
        <f t="shared" si="6"/>
        <v>1.5824710894704108E-2</v>
      </c>
      <c r="P10">
        <f t="shared" si="7"/>
        <v>147.97235495669307</v>
      </c>
      <c r="Q10">
        <v>10</v>
      </c>
      <c r="S10">
        <f t="shared" si="8"/>
        <v>64.5123568631967</v>
      </c>
      <c r="T10">
        <f t="shared" si="9"/>
        <v>-91.825864397610403</v>
      </c>
      <c r="U10">
        <v>10</v>
      </c>
      <c r="W10">
        <f t="shared" si="10"/>
        <v>85.221284909847498</v>
      </c>
      <c r="X10">
        <f t="shared" si="11"/>
        <v>240.70968347405454</v>
      </c>
    </row>
    <row r="11" spans="1:24" x14ac:dyDescent="0.45">
      <c r="A11">
        <v>11</v>
      </c>
      <c r="C11">
        <f t="shared" si="0"/>
        <v>0.12866177988303404</v>
      </c>
      <c r="D11">
        <f t="shared" si="1"/>
        <v>-36.990027521931594</v>
      </c>
      <c r="E11">
        <v>11</v>
      </c>
      <c r="G11">
        <f t="shared" si="2"/>
        <v>0.12866177988303404</v>
      </c>
      <c r="H11">
        <f t="shared" si="3"/>
        <v>100.93027925120428</v>
      </c>
      <c r="I11">
        <v>11</v>
      </c>
      <c r="K11">
        <f t="shared" si="4"/>
        <v>3.6924325420977011E-2</v>
      </c>
      <c r="L11">
        <f t="shared" si="5"/>
        <v>-164.64658235897829</v>
      </c>
      <c r="M11">
        <v>11</v>
      </c>
      <c r="O11">
        <f t="shared" si="6"/>
        <v>3.6924325420977011E-2</v>
      </c>
      <c r="P11">
        <f t="shared" si="7"/>
        <v>155.77077523466167</v>
      </c>
      <c r="Q11">
        <v>11</v>
      </c>
      <c r="S11">
        <f t="shared" si="8"/>
        <v>76.872155374816302</v>
      </c>
      <c r="T11">
        <f t="shared" si="9"/>
        <v>-78.941054889643041</v>
      </c>
      <c r="U11">
        <v>11</v>
      </c>
      <c r="W11">
        <f t="shared" si="10"/>
        <v>97.235934620689605</v>
      </c>
      <c r="X11">
        <f t="shared" si="11"/>
        <v>252.29948677626169</v>
      </c>
    </row>
    <row r="12" spans="1:24" x14ac:dyDescent="0.45">
      <c r="A12">
        <v>12</v>
      </c>
      <c r="C12">
        <f t="shared" si="0"/>
        <v>0.15893513985551264</v>
      </c>
      <c r="D12">
        <f t="shared" si="1"/>
        <v>-23.488152089901831</v>
      </c>
      <c r="E12">
        <v>12</v>
      </c>
      <c r="G12">
        <f t="shared" si="2"/>
        <v>0.15893513985551264</v>
      </c>
      <c r="H12">
        <f t="shared" si="3"/>
        <v>111.45770324085882</v>
      </c>
      <c r="I12">
        <v>12</v>
      </c>
      <c r="K12">
        <f t="shared" si="4"/>
        <v>5.8023939947249914E-2</v>
      </c>
      <c r="L12">
        <f t="shared" si="5"/>
        <v>-155.71959631475471</v>
      </c>
      <c r="M12">
        <v>12</v>
      </c>
      <c r="O12">
        <f t="shared" si="6"/>
        <v>5.8023939947249914E-2</v>
      </c>
      <c r="P12">
        <f t="shared" si="7"/>
        <v>163.59148272676345</v>
      </c>
      <c r="Q12">
        <v>12</v>
      </c>
      <c r="S12">
        <f t="shared" si="8"/>
        <v>89.231953886435889</v>
      </c>
      <c r="T12">
        <f t="shared" si="9"/>
        <v>-66.109023174898283</v>
      </c>
      <c r="U12">
        <v>12</v>
      </c>
      <c r="W12">
        <f t="shared" si="10"/>
        <v>109.25058433153171</v>
      </c>
      <c r="X12">
        <f t="shared" si="11"/>
        <v>263.93988816548006</v>
      </c>
    </row>
    <row r="13" spans="1:24" x14ac:dyDescent="0.45">
      <c r="A13">
        <v>13</v>
      </c>
      <c r="C13">
        <f t="shared" si="0"/>
        <v>0.18920849982799123</v>
      </c>
      <c r="D13">
        <f t="shared" si="1"/>
        <v>-10.07403061589428</v>
      </c>
      <c r="E13">
        <v>13</v>
      </c>
      <c r="G13">
        <f t="shared" si="2"/>
        <v>0.18920849982799123</v>
      </c>
      <c r="H13">
        <f t="shared" si="3"/>
        <v>122.07288118853558</v>
      </c>
      <c r="I13">
        <v>13</v>
      </c>
      <c r="K13">
        <f t="shared" si="4"/>
        <v>7.9123554473522789E-2</v>
      </c>
      <c r="L13">
        <f t="shared" si="5"/>
        <v>-146.81512990474974</v>
      </c>
      <c r="M13">
        <v>13</v>
      </c>
      <c r="O13">
        <f t="shared" si="6"/>
        <v>7.9123554473522789E-2</v>
      </c>
      <c r="P13">
        <f t="shared" si="7"/>
        <v>171.43470985308383</v>
      </c>
      <c r="Q13">
        <v>13</v>
      </c>
      <c r="S13">
        <f t="shared" si="8"/>
        <v>101.59175239805549</v>
      </c>
      <c r="T13">
        <f t="shared" si="9"/>
        <v>-53.330251885884394</v>
      </c>
      <c r="U13">
        <v>13</v>
      </c>
      <c r="W13">
        <f t="shared" si="10"/>
        <v>121.26523404237381</v>
      </c>
      <c r="X13">
        <f t="shared" si="11"/>
        <v>275.63125565543783</v>
      </c>
    </row>
    <row r="14" spans="1:24" x14ac:dyDescent="0.45">
      <c r="A14">
        <v>14</v>
      </c>
      <c r="C14">
        <f t="shared" si="0"/>
        <v>0.21948185980046983</v>
      </c>
      <c r="D14">
        <f t="shared" si="1"/>
        <v>3.2466481803448914</v>
      </c>
      <c r="E14">
        <v>14</v>
      </c>
      <c r="G14">
        <f t="shared" si="2"/>
        <v>0.21948185980046983</v>
      </c>
      <c r="H14">
        <f t="shared" si="3"/>
        <v>132.7815018139807</v>
      </c>
      <c r="I14">
        <v>14</v>
      </c>
      <c r="K14">
        <f t="shared" si="4"/>
        <v>0.10022316899979569</v>
      </c>
      <c r="L14">
        <f t="shared" si="5"/>
        <v>-137.933409133086</v>
      </c>
      <c r="M14">
        <v>14</v>
      </c>
      <c r="O14">
        <f t="shared" si="6"/>
        <v>0.10022316899979569</v>
      </c>
      <c r="P14">
        <f t="shared" si="7"/>
        <v>179.30068261774545</v>
      </c>
      <c r="Q14">
        <v>14</v>
      </c>
      <c r="S14">
        <f t="shared" si="8"/>
        <v>113.95155090967509</v>
      </c>
      <c r="T14">
        <f t="shared" si="9"/>
        <v>-40.605174158715329</v>
      </c>
      <c r="U14">
        <v>14</v>
      </c>
      <c r="W14">
        <f t="shared" si="10"/>
        <v>133.2798837532159</v>
      </c>
      <c r="X14">
        <f t="shared" si="11"/>
        <v>287.37391002011555</v>
      </c>
    </row>
    <row r="15" spans="1:24" x14ac:dyDescent="0.45">
      <c r="A15">
        <v>15</v>
      </c>
      <c r="C15">
        <f t="shared" si="0"/>
        <v>0.24975521977294843</v>
      </c>
      <c r="D15">
        <f t="shared" si="1"/>
        <v>16.468123919722508</v>
      </c>
      <c r="E15">
        <v>15</v>
      </c>
      <c r="G15">
        <f t="shared" si="2"/>
        <v>0.24975521977294843</v>
      </c>
      <c r="H15">
        <f t="shared" si="3"/>
        <v>143.58932549628739</v>
      </c>
      <c r="I15">
        <v>15</v>
      </c>
      <c r="K15">
        <f t="shared" si="4"/>
        <v>0.12132278352606859</v>
      </c>
      <c r="L15">
        <f t="shared" si="5"/>
        <v>-129.07465315685545</v>
      </c>
      <c r="M15">
        <v>15</v>
      </c>
      <c r="O15">
        <f t="shared" si="6"/>
        <v>0.12132278352606859</v>
      </c>
      <c r="P15">
        <f t="shared" si="7"/>
        <v>187.18962017784031</v>
      </c>
      <c r="Q15">
        <v>15</v>
      </c>
      <c r="S15">
        <f t="shared" si="8"/>
        <v>126.31134942129469</v>
      </c>
      <c r="T15">
        <f t="shared" si="9"/>
        <v>-27.934171459892497</v>
      </c>
      <c r="U15">
        <v>15</v>
      </c>
      <c r="W15">
        <f t="shared" si="10"/>
        <v>145.29453346405802</v>
      </c>
      <c r="X15">
        <f t="shared" si="11"/>
        <v>299.16812323218096</v>
      </c>
    </row>
    <row r="16" spans="1:24" x14ac:dyDescent="0.45">
      <c r="A16">
        <v>16</v>
      </c>
      <c r="C16">
        <f t="shared" si="0"/>
        <v>0.28002857974542705</v>
      </c>
      <c r="D16">
        <f t="shared" si="1"/>
        <v>29.584645940366343</v>
      </c>
      <c r="E16">
        <v>16</v>
      </c>
      <c r="G16">
        <f t="shared" si="2"/>
        <v>0.28002857974542705</v>
      </c>
      <c r="H16">
        <f t="shared" si="3"/>
        <v>154.50210289732792</v>
      </c>
      <c r="I16">
        <v>16</v>
      </c>
      <c r="K16">
        <f t="shared" si="4"/>
        <v>0.1424223980523415</v>
      </c>
      <c r="L16">
        <f t="shared" si="5"/>
        <v>-120.2390738582115</v>
      </c>
      <c r="M16">
        <v>16</v>
      </c>
      <c r="O16">
        <f t="shared" si="6"/>
        <v>0.1424223980523415</v>
      </c>
      <c r="P16">
        <f t="shared" si="7"/>
        <v>195.10173441552172</v>
      </c>
      <c r="Q16">
        <v>16</v>
      </c>
      <c r="S16">
        <f t="shared" si="8"/>
        <v>138.67114793291429</v>
      </c>
      <c r="T16">
        <f t="shared" si="9"/>
        <v>-15.317571639271478</v>
      </c>
      <c r="U16">
        <v>16</v>
      </c>
      <c r="W16">
        <f t="shared" si="10"/>
        <v>157.30918317490011</v>
      </c>
      <c r="X16">
        <f t="shared" si="11"/>
        <v>311.01411712172842</v>
      </c>
    </row>
    <row r="17" spans="1:24" x14ac:dyDescent="0.45">
      <c r="A17">
        <v>17</v>
      </c>
      <c r="C17">
        <f t="shared" si="0"/>
        <v>0.31030193971790565</v>
      </c>
      <c r="D17">
        <f t="shared" si="1"/>
        <v>42.590569747590543</v>
      </c>
      <c r="E17">
        <v>17</v>
      </c>
      <c r="G17">
        <f t="shared" si="2"/>
        <v>0.31030193971790565</v>
      </c>
      <c r="H17">
        <f t="shared" si="3"/>
        <v>165.52547851178801</v>
      </c>
      <c r="I17">
        <v>17</v>
      </c>
      <c r="K17">
        <f t="shared" si="4"/>
        <v>0.1635220125786144</v>
      </c>
      <c r="L17">
        <f t="shared" si="5"/>
        <v>-111.42687542134126</v>
      </c>
      <c r="M17">
        <v>17</v>
      </c>
      <c r="O17">
        <f t="shared" si="6"/>
        <v>0.1635220125786144</v>
      </c>
      <c r="P17">
        <f t="shared" si="7"/>
        <v>203.03722951497684</v>
      </c>
      <c r="Q17">
        <v>17</v>
      </c>
      <c r="S17">
        <f t="shared" si="8"/>
        <v>151.0309464445339</v>
      </c>
      <c r="T17">
        <f t="shared" si="9"/>
        <v>-2.7556472318448186</v>
      </c>
      <c r="U17">
        <v>17</v>
      </c>
      <c r="W17">
        <f t="shared" si="10"/>
        <v>169.32383288574221</v>
      </c>
      <c r="X17">
        <f t="shared" si="11"/>
        <v>322.91206227053175</v>
      </c>
    </row>
    <row r="18" spans="1:24" x14ac:dyDescent="0.45">
      <c r="A18">
        <v>18</v>
      </c>
      <c r="C18">
        <f t="shared" si="0"/>
        <v>0.34057529969038425</v>
      </c>
      <c r="D18">
        <f t="shared" si="1"/>
        <v>55.480467016816739</v>
      </c>
      <c r="E18">
        <v>18</v>
      </c>
      <c r="G18">
        <f t="shared" si="2"/>
        <v>0.34057529969038425</v>
      </c>
      <c r="H18">
        <f t="shared" si="3"/>
        <v>176.66488066424611</v>
      </c>
      <c r="I18">
        <v>18</v>
      </c>
      <c r="K18">
        <f t="shared" si="4"/>
        <v>0.1846216271048873</v>
      </c>
      <c r="L18">
        <f t="shared" si="5"/>
        <v>-102.63825391608458</v>
      </c>
      <c r="M18">
        <v>18</v>
      </c>
      <c r="O18">
        <f t="shared" si="6"/>
        <v>0.1846216271048873</v>
      </c>
      <c r="P18">
        <f t="shared" si="7"/>
        <v>210.99630154604557</v>
      </c>
      <c r="Q18">
        <v>18</v>
      </c>
      <c r="S18">
        <f t="shared" si="8"/>
        <v>163.3907449561535</v>
      </c>
      <c r="T18">
        <f t="shared" si="9"/>
        <v>9.7513859714983937</v>
      </c>
      <c r="U18">
        <v>18</v>
      </c>
      <c r="W18">
        <f t="shared" si="10"/>
        <v>181.3384825965843</v>
      </c>
      <c r="X18">
        <f t="shared" si="11"/>
        <v>334.86207715454219</v>
      </c>
    </row>
    <row r="19" spans="1:24" x14ac:dyDescent="0.45">
      <c r="A19">
        <v>19</v>
      </c>
      <c r="C19">
        <f t="shared" si="0"/>
        <v>0.37084865966286285</v>
      </c>
      <c r="D19">
        <f t="shared" si="1"/>
        <v>68.249246194176749</v>
      </c>
      <c r="E19">
        <v>19</v>
      </c>
      <c r="G19">
        <f t="shared" si="2"/>
        <v>0.37084865966286285</v>
      </c>
      <c r="H19">
        <f t="shared" si="3"/>
        <v>187.9254009085704</v>
      </c>
      <c r="I19">
        <v>19</v>
      </c>
      <c r="K19">
        <f t="shared" si="4"/>
        <v>0.20572124163116021</v>
      </c>
      <c r="L19">
        <f t="shared" si="5"/>
        <v>-93.87339688999927</v>
      </c>
      <c r="M19">
        <v>19</v>
      </c>
      <c r="O19">
        <f t="shared" si="6"/>
        <v>0.20572124163116021</v>
      </c>
      <c r="P19">
        <f t="shared" si="7"/>
        <v>218.97913805628562</v>
      </c>
      <c r="Q19">
        <v>19</v>
      </c>
      <c r="S19">
        <f t="shared" si="8"/>
        <v>175.7505434677731</v>
      </c>
      <c r="T19">
        <f t="shared" si="9"/>
        <v>22.20337006696559</v>
      </c>
      <c r="U19">
        <v>19</v>
      </c>
      <c r="W19">
        <f t="shared" si="10"/>
        <v>193.35313230742639</v>
      </c>
      <c r="X19">
        <f t="shared" si="11"/>
        <v>346.86422754462217</v>
      </c>
    </row>
    <row r="20" spans="1:24" x14ac:dyDescent="0.45">
      <c r="A20">
        <v>20</v>
      </c>
      <c r="C20">
        <f t="shared" si="0"/>
        <v>0.40112201963534144</v>
      </c>
      <c r="D20">
        <f t="shared" si="1"/>
        <v>80.892279205164954</v>
      </c>
      <c r="E20">
        <v>20</v>
      </c>
      <c r="G20">
        <f t="shared" si="2"/>
        <v>0.40112201963534144</v>
      </c>
      <c r="H20">
        <f t="shared" si="3"/>
        <v>199.31166731926649</v>
      </c>
      <c r="I20">
        <v>20</v>
      </c>
      <c r="K20">
        <f t="shared" si="4"/>
        <v>0.22682085615743311</v>
      </c>
      <c r="L20">
        <f t="shared" si="5"/>
        <v>-85.1324829706912</v>
      </c>
      <c r="M20">
        <v>20</v>
      </c>
      <c r="O20">
        <f t="shared" si="6"/>
        <v>0.22682085615743311</v>
      </c>
      <c r="P20">
        <f t="shared" si="7"/>
        <v>226.98591767330291</v>
      </c>
      <c r="Q20">
        <v>20</v>
      </c>
      <c r="S20">
        <f t="shared" si="8"/>
        <v>188.1103419793927</v>
      </c>
      <c r="T20">
        <f t="shared" si="9"/>
        <v>34.600205880601607</v>
      </c>
      <c r="U20">
        <v>20</v>
      </c>
      <c r="W20">
        <f t="shared" si="10"/>
        <v>205.36778201826851</v>
      </c>
      <c r="X20">
        <f t="shared" si="11"/>
        <v>358.91852617255824</v>
      </c>
    </row>
    <row r="21" spans="1:24" x14ac:dyDescent="0.45">
      <c r="A21">
        <v>21</v>
      </c>
      <c r="C21">
        <f t="shared" si="0"/>
        <v>0.43139537960782004</v>
      </c>
      <c r="D21">
        <f t="shared" si="1"/>
        <v>93.405528337215301</v>
      </c>
      <c r="E21">
        <v>21</v>
      </c>
      <c r="G21">
        <f t="shared" si="2"/>
        <v>0.43139537960782004</v>
      </c>
      <c r="H21">
        <f t="shared" si="3"/>
        <v>210.82771760890046</v>
      </c>
      <c r="I21">
        <v>21</v>
      </c>
      <c r="K21">
        <f t="shared" si="4"/>
        <v>0.24792047068370601</v>
      </c>
      <c r="L21">
        <f t="shared" si="5"/>
        <v>-76.41568148023859</v>
      </c>
      <c r="M21">
        <v>21</v>
      </c>
      <c r="O21">
        <f t="shared" si="6"/>
        <v>0.24792047068370601</v>
      </c>
      <c r="P21">
        <f t="shared" si="7"/>
        <v>235.01680971917571</v>
      </c>
      <c r="Q21">
        <v>21</v>
      </c>
      <c r="S21">
        <f t="shared" si="8"/>
        <v>200.4701404910123</v>
      </c>
      <c r="T21">
        <f t="shared" si="9"/>
        <v>46.941853500337857</v>
      </c>
      <c r="U21">
        <v>21</v>
      </c>
      <c r="W21">
        <f t="shared" si="10"/>
        <v>217.38243172911061</v>
      </c>
      <c r="X21">
        <f t="shared" si="11"/>
        <v>371.02493266630097</v>
      </c>
    </row>
    <row r="22" spans="1:24" x14ac:dyDescent="0.45">
      <c r="A22">
        <v>22</v>
      </c>
      <c r="C22">
        <f t="shared" si="0"/>
        <v>0.46166873958029864</v>
      </c>
      <c r="D22">
        <f t="shared" si="1"/>
        <v>105.78566624405062</v>
      </c>
      <c r="E22">
        <v>22</v>
      </c>
      <c r="G22">
        <f t="shared" si="2"/>
        <v>0.46166873958029864</v>
      </c>
      <c r="H22">
        <f t="shared" si="3"/>
        <v>222.47687912374943</v>
      </c>
      <c r="I22">
        <v>22</v>
      </c>
      <c r="K22">
        <f t="shared" si="4"/>
        <v>0.26902008520997889</v>
      </c>
      <c r="L22">
        <f t="shared" si="5"/>
        <v>-67.723152063531074</v>
      </c>
      <c r="M22">
        <v>22</v>
      </c>
      <c r="O22">
        <f t="shared" si="6"/>
        <v>0.26902008520997889</v>
      </c>
      <c r="P22">
        <f t="shared" si="7"/>
        <v>243.07197383879355</v>
      </c>
      <c r="Q22">
        <v>22</v>
      </c>
      <c r="S22">
        <f t="shared" si="8"/>
        <v>212.82993900263187</v>
      </c>
      <c r="T22">
        <f t="shared" si="9"/>
        <v>59.228332490713484</v>
      </c>
      <c r="U22">
        <v>22</v>
      </c>
      <c r="W22">
        <f t="shared" si="10"/>
        <v>229.3970814399527</v>
      </c>
      <c r="X22">
        <f t="shared" si="11"/>
        <v>383.18335375519723</v>
      </c>
    </row>
    <row r="23" spans="1:24" x14ac:dyDescent="0.45">
      <c r="A23">
        <v>23</v>
      </c>
      <c r="C23">
        <f t="shared" si="0"/>
        <v>0.49194209955277723</v>
      </c>
      <c r="D23">
        <f t="shared" si="1"/>
        <v>118.03018147359103</v>
      </c>
      <c r="E23">
        <v>23</v>
      </c>
      <c r="G23">
        <f t="shared" si="2"/>
        <v>0.49194209955277723</v>
      </c>
      <c r="H23">
        <f t="shared" si="3"/>
        <v>234.26166331589332</v>
      </c>
      <c r="I23">
        <v>23</v>
      </c>
      <c r="K23">
        <f t="shared" si="4"/>
        <v>0.29011969973625185</v>
      </c>
      <c r="L23">
        <f t="shared" si="5"/>
        <v>-59.055044332324883</v>
      </c>
      <c r="M23">
        <v>23</v>
      </c>
      <c r="O23">
        <f t="shared" si="6"/>
        <v>0.29011969973625185</v>
      </c>
      <c r="P23">
        <f t="shared" si="7"/>
        <v>251.15155964391278</v>
      </c>
      <c r="Q23">
        <v>23</v>
      </c>
      <c r="S23">
        <f t="shared" si="8"/>
        <v>225.18973751425148</v>
      </c>
      <c r="T23">
        <f t="shared" si="9"/>
        <v>71.45972178757782</v>
      </c>
      <c r="U23">
        <v>23</v>
      </c>
      <c r="W23">
        <f t="shared" si="10"/>
        <v>241.41173115079482</v>
      </c>
      <c r="X23">
        <f t="shared" si="11"/>
        <v>395.3936437427879</v>
      </c>
    </row>
    <row r="24" spans="1:24" x14ac:dyDescent="0.45">
      <c r="A24">
        <v>24</v>
      </c>
      <c r="C24">
        <f t="shared" si="0"/>
        <v>0.52221545952525583</v>
      </c>
      <c r="D24">
        <f t="shared" si="1"/>
        <v>130.13746214687433</v>
      </c>
      <c r="E24">
        <v>24</v>
      </c>
      <c r="G24">
        <f t="shared" si="2"/>
        <v>0.52221545952525583</v>
      </c>
      <c r="H24">
        <f t="shared" si="3"/>
        <v>246.18368206429432</v>
      </c>
      <c r="I24">
        <v>24</v>
      </c>
      <c r="K24">
        <f t="shared" si="4"/>
        <v>0.31121931426252469</v>
      </c>
      <c r="L24">
        <f t="shared" si="5"/>
        <v>-50.411497526781886</v>
      </c>
      <c r="M24">
        <v>24</v>
      </c>
      <c r="O24">
        <f t="shared" si="6"/>
        <v>0.31121931426252469</v>
      </c>
      <c r="P24">
        <f t="shared" si="7"/>
        <v>259.25570637469508</v>
      </c>
      <c r="Q24">
        <v>24</v>
      </c>
      <c r="S24">
        <f t="shared" si="8"/>
        <v>237.54953602587108</v>
      </c>
      <c r="T24">
        <f t="shared" si="9"/>
        <v>83.636159274094751</v>
      </c>
      <c r="U24">
        <v>24</v>
      </c>
      <c r="W24">
        <f t="shared" si="10"/>
        <v>253.42638086163691</v>
      </c>
      <c r="X24">
        <f t="shared" si="11"/>
        <v>407.65560524159503</v>
      </c>
    </row>
    <row r="25" spans="1:24" x14ac:dyDescent="0.45">
      <c r="A25">
        <v>25</v>
      </c>
      <c r="C25">
        <f t="shared" si="0"/>
        <v>0.55248881949773443</v>
      </c>
      <c r="D25">
        <f t="shared" si="1"/>
        <v>142.10685150838043</v>
      </c>
      <c r="E25">
        <v>25</v>
      </c>
      <c r="G25">
        <f t="shared" si="2"/>
        <v>0.55248881949773443</v>
      </c>
      <c r="H25">
        <f t="shared" si="3"/>
        <v>258.24359212447251</v>
      </c>
      <c r="I25">
        <v>25</v>
      </c>
      <c r="K25">
        <f t="shared" si="4"/>
        <v>0.33231892878879754</v>
      </c>
      <c r="L25">
        <f t="shared" si="5"/>
        <v>-41.792640196206946</v>
      </c>
      <c r="M25">
        <v>25</v>
      </c>
      <c r="O25">
        <f t="shared" si="6"/>
        <v>0.33231892878879754</v>
      </c>
      <c r="P25">
        <f t="shared" si="7"/>
        <v>267.3845425804455</v>
      </c>
      <c r="Q25">
        <v>25</v>
      </c>
      <c r="S25">
        <f t="shared" si="8"/>
        <v>249.90933453749068</v>
      </c>
      <c r="T25">
        <f t="shared" si="9"/>
        <v>95.757841043347241</v>
      </c>
      <c r="U25">
        <v>25</v>
      </c>
      <c r="W25">
        <f t="shared" si="10"/>
        <v>265.44103057247901</v>
      </c>
      <c r="X25">
        <f t="shared" si="11"/>
        <v>419.96899016130021</v>
      </c>
    </row>
    <row r="26" spans="1:24" x14ac:dyDescent="0.45">
      <c r="A26">
        <v>26</v>
      </c>
      <c r="C26">
        <f t="shared" si="0"/>
        <v>0.58276217947021303</v>
      </c>
      <c r="D26">
        <f t="shared" si="1"/>
        <v>153.93867097595117</v>
      </c>
      <c r="E26">
        <v>26</v>
      </c>
      <c r="G26">
        <f t="shared" si="2"/>
        <v>0.58276217947021303</v>
      </c>
      <c r="H26">
        <f t="shared" si="3"/>
        <v>270.4410720785861</v>
      </c>
      <c r="I26">
        <v>26</v>
      </c>
      <c r="K26">
        <f t="shared" si="4"/>
        <v>0.3534185433150705</v>
      </c>
      <c r="L26">
        <f t="shared" si="5"/>
        <v>-33.198589900636819</v>
      </c>
      <c r="M26">
        <v>26</v>
      </c>
      <c r="O26">
        <f t="shared" si="6"/>
        <v>0.3534185433150705</v>
      </c>
      <c r="P26">
        <f t="shared" si="7"/>
        <v>275.53818582120078</v>
      </c>
      <c r="Q26">
        <v>26</v>
      </c>
      <c r="S26">
        <f t="shared" si="8"/>
        <v>262.26913304911028</v>
      </c>
      <c r="T26">
        <f t="shared" si="9"/>
        <v>107.82502035670151</v>
      </c>
      <c r="U26">
        <v>26</v>
      </c>
      <c r="W26">
        <f t="shared" si="10"/>
        <v>277.4556802833211</v>
      </c>
      <c r="X26">
        <f t="shared" si="11"/>
        <v>432.33350093886526</v>
      </c>
    </row>
    <row r="27" spans="1:24" x14ac:dyDescent="0.45">
      <c r="A27">
        <v>27</v>
      </c>
      <c r="C27">
        <f t="shared" si="0"/>
        <v>0.61303553944269162</v>
      </c>
      <c r="D27">
        <f t="shared" si="1"/>
        <v>165.63420882992162</v>
      </c>
      <c r="E27">
        <v>27</v>
      </c>
      <c r="G27">
        <f t="shared" si="2"/>
        <v>0.61303553944269162</v>
      </c>
      <c r="H27">
        <f t="shared" si="3"/>
        <v>282.77483364629995</v>
      </c>
      <c r="I27">
        <v>27</v>
      </c>
      <c r="K27">
        <f t="shared" si="4"/>
        <v>0.37451815784134335</v>
      </c>
      <c r="L27">
        <f t="shared" si="5"/>
        <v>-24.629452934851457</v>
      </c>
      <c r="M27">
        <v>27</v>
      </c>
      <c r="O27">
        <f t="shared" si="6"/>
        <v>0.37451815784134335</v>
      </c>
      <c r="P27">
        <f t="shared" si="7"/>
        <v>283.71674239174081</v>
      </c>
      <c r="Q27">
        <v>27</v>
      </c>
      <c r="S27">
        <f t="shared" si="8"/>
        <v>274.62893156072988</v>
      </c>
      <c r="T27">
        <f t="shared" si="9"/>
        <v>119.83800631074703</v>
      </c>
      <c r="U27">
        <v>27</v>
      </c>
      <c r="W27">
        <f t="shared" si="10"/>
        <v>289.47032999416319</v>
      </c>
      <c r="X27">
        <f t="shared" si="11"/>
        <v>444.74879199653827</v>
      </c>
    </row>
    <row r="28" spans="1:24" x14ac:dyDescent="0.45">
      <c r="A28">
        <v>28</v>
      </c>
      <c r="C28">
        <f t="shared" si="0"/>
        <v>0.64330889941517022</v>
      </c>
      <c r="D28">
        <f t="shared" si="1"/>
        <v>177.19567545773714</v>
      </c>
      <c r="E28">
        <v>28</v>
      </c>
      <c r="G28">
        <f t="shared" si="2"/>
        <v>0.64330889941517022</v>
      </c>
      <c r="H28">
        <f t="shared" si="3"/>
        <v>295.24266644016876</v>
      </c>
      <c r="I28">
        <v>28</v>
      </c>
      <c r="K28">
        <f t="shared" si="4"/>
        <v>0.3956177723676163</v>
      </c>
      <c r="L28">
        <f t="shared" si="5"/>
        <v>-16.085324076285417</v>
      </c>
      <c r="M28">
        <v>28</v>
      </c>
      <c r="O28">
        <f t="shared" si="6"/>
        <v>0.3956177723676163</v>
      </c>
      <c r="P28">
        <f t="shared" si="7"/>
        <v>291.92030706950015</v>
      </c>
      <c r="Q28">
        <v>28</v>
      </c>
      <c r="S28">
        <f t="shared" si="8"/>
        <v>286.98873007234948</v>
      </c>
      <c r="T28">
        <f t="shared" si="9"/>
        <v>131.79716222900342</v>
      </c>
      <c r="U28">
        <v>28</v>
      </c>
      <c r="W28">
        <f t="shared" si="10"/>
        <v>301.48497970500529</v>
      </c>
      <c r="X28">
        <f t="shared" si="11"/>
        <v>457.21447141136389</v>
      </c>
    </row>
    <row r="29" spans="1:24" x14ac:dyDescent="0.45">
      <c r="A29">
        <v>29</v>
      </c>
      <c r="C29">
        <f t="shared" si="0"/>
        <v>0.67358225938764882</v>
      </c>
      <c r="D29">
        <f t="shared" si="1"/>
        <v>188.62612871575237</v>
      </c>
      <c r="E29">
        <v>29</v>
      </c>
      <c r="G29">
        <f t="shared" si="2"/>
        <v>0.67358225938764882</v>
      </c>
      <c r="H29">
        <f t="shared" si="3"/>
        <v>307.84151260383783</v>
      </c>
      <c r="I29">
        <v>29</v>
      </c>
      <c r="K29">
        <f t="shared" si="4"/>
        <v>0.41671738689388915</v>
      </c>
      <c r="L29">
        <f t="shared" si="5"/>
        <v>-7.5662863582093394</v>
      </c>
      <c r="M29">
        <v>29</v>
      </c>
      <c r="O29">
        <f t="shared" si="6"/>
        <v>0.41671738689388915</v>
      </c>
      <c r="P29">
        <f t="shared" si="7"/>
        <v>300.14896288774935</v>
      </c>
      <c r="Q29">
        <v>29</v>
      </c>
      <c r="S29">
        <f t="shared" si="8"/>
        <v>299.34852858396908</v>
      </c>
      <c r="T29">
        <f t="shared" si="9"/>
        <v>143.70290379761093</v>
      </c>
      <c r="U29">
        <v>29</v>
      </c>
      <c r="W29">
        <f t="shared" si="10"/>
        <v>313.49962941584744</v>
      </c>
      <c r="X29">
        <f t="shared" si="11"/>
        <v>469.73010277781424</v>
      </c>
    </row>
    <row r="30" spans="1:24" x14ac:dyDescent="0.45">
      <c r="A30">
        <v>30</v>
      </c>
      <c r="C30">
        <f t="shared" si="0"/>
        <v>0.70385561936012742</v>
      </c>
      <c r="D30">
        <f t="shared" si="1"/>
        <v>199.92937511651519</v>
      </c>
      <c r="E30">
        <v>30</v>
      </c>
      <c r="G30">
        <f t="shared" si="2"/>
        <v>0.70385561936012742</v>
      </c>
      <c r="H30">
        <f t="shared" si="3"/>
        <v>320.56756562475925</v>
      </c>
      <c r="I30">
        <v>30</v>
      </c>
      <c r="K30">
        <f t="shared" si="4"/>
        <v>0.43781700142016211</v>
      </c>
      <c r="L30">
        <f t="shared" si="5"/>
        <v>0.92758913057107861</v>
      </c>
      <c r="M30">
        <v>30</v>
      </c>
      <c r="O30">
        <f t="shared" si="6"/>
        <v>0.43781700142016211</v>
      </c>
      <c r="P30">
        <f t="shared" si="7"/>
        <v>308.40278093529434</v>
      </c>
      <c r="Q30">
        <v>30</v>
      </c>
      <c r="S30">
        <f t="shared" si="8"/>
        <v>311.70832709558869</v>
      </c>
      <c r="T30">
        <f t="shared" si="9"/>
        <v>155.55569696684094</v>
      </c>
      <c r="U30">
        <v>30</v>
      </c>
      <c r="W30">
        <f t="shared" si="10"/>
        <v>325.51427912668953</v>
      </c>
      <c r="X30">
        <f t="shared" si="11"/>
        <v>482.29520724351516</v>
      </c>
    </row>
    <row r="31" spans="1:24" x14ac:dyDescent="0.45">
      <c r="A31">
        <v>31</v>
      </c>
      <c r="C31">
        <f t="shared" si="0"/>
        <v>0.73412897933260601</v>
      </c>
      <c r="D31">
        <f t="shared" si="1"/>
        <v>211.10985393696816</v>
      </c>
      <c r="E31">
        <v>31</v>
      </c>
      <c r="G31">
        <f t="shared" si="2"/>
        <v>0.73412897933260601</v>
      </c>
      <c r="H31">
        <f t="shared" si="3"/>
        <v>333.41638622599055</v>
      </c>
      <c r="I31">
        <v>31</v>
      </c>
      <c r="K31">
        <f t="shared" si="4"/>
        <v>0.45891661594643496</v>
      </c>
      <c r="L31">
        <f t="shared" si="5"/>
        <v>9.3962434183826247</v>
      </c>
      <c r="M31">
        <v>31</v>
      </c>
      <c r="O31">
        <f t="shared" si="6"/>
        <v>0.45891661594643496</v>
      </c>
      <c r="P31">
        <f t="shared" si="7"/>
        <v>316.68182018380821</v>
      </c>
      <c r="Q31">
        <v>31</v>
      </c>
      <c r="S31">
        <f t="shared" si="8"/>
        <v>324.06812560720829</v>
      </c>
      <c r="T31">
        <f t="shared" si="9"/>
        <v>167.35605564243181</v>
      </c>
      <c r="U31">
        <v>31</v>
      </c>
      <c r="W31">
        <f t="shared" si="10"/>
        <v>337.52892883753162</v>
      </c>
      <c r="X31">
        <f t="shared" si="11"/>
        <v>494.90926569677174</v>
      </c>
    </row>
    <row r="32" spans="1:24" x14ac:dyDescent="0.45">
      <c r="A32">
        <v>32</v>
      </c>
      <c r="C32">
        <f t="shared" si="0"/>
        <v>0.76440233930508461</v>
      </c>
      <c r="D32">
        <f t="shared" si="1"/>
        <v>222.17251186279816</v>
      </c>
      <c r="E32">
        <v>32</v>
      </c>
      <c r="G32">
        <f t="shared" si="2"/>
        <v>0.76440233930508461</v>
      </c>
      <c r="H32">
        <f t="shared" si="3"/>
        <v>346.38302772184488</v>
      </c>
      <c r="I32">
        <v>32</v>
      </c>
      <c r="K32">
        <f t="shared" si="4"/>
        <v>0.48001623047270792</v>
      </c>
      <c r="L32">
        <f t="shared" si="5"/>
        <v>17.839629794748902</v>
      </c>
      <c r="M32">
        <v>32</v>
      </c>
      <c r="O32">
        <f t="shared" si="6"/>
        <v>0.48001623047270792</v>
      </c>
      <c r="P32">
        <f t="shared" si="7"/>
        <v>324.98612734376729</v>
      </c>
      <c r="Q32">
        <v>32</v>
      </c>
      <c r="S32">
        <f t="shared" si="8"/>
        <v>336.42792411882789</v>
      </c>
      <c r="T32">
        <f t="shared" si="9"/>
        <v>179.10453919244674</v>
      </c>
      <c r="U32">
        <v>32</v>
      </c>
      <c r="W32">
        <f t="shared" si="10"/>
        <v>349.54357854837372</v>
      </c>
      <c r="X32">
        <f t="shared" si="11"/>
        <v>507.57172108370884</v>
      </c>
    </row>
    <row r="33" spans="1:24" x14ac:dyDescent="0.45">
      <c r="A33">
        <v>33</v>
      </c>
      <c r="C33">
        <f t="shared" ref="C33:C64" si="12">-0.174071819841752+(A33-1)*0.0302733599724786</f>
        <v>0.79467569927756321</v>
      </c>
      <c r="D33">
        <f t="shared" ref="D33:D64" si="13">-19.0921354064428+396.872026156483*C33-142.122021344534*(0.166666666666667+(C33-0.527418175219319)^2/2.31215910737692)^0.5</f>
        <v>233.12267548492775</v>
      </c>
      <c r="E33">
        <v>33</v>
      </c>
      <c r="G33">
        <f t="shared" ref="G33:G64" si="14">-0.174071819841752+(E33-1)*0.0302733599724786</f>
        <v>0.79467569927756321</v>
      </c>
      <c r="H33">
        <f t="shared" ref="H33:H64" si="15">-19.0921354064428+396.872026156483*G33+142.122021344534*(0.166666666666667+(G33-0.527418175219319)^2/2.31215910737692)^0.5</f>
        <v>359.46216352139959</v>
      </c>
      <c r="I33">
        <v>33</v>
      </c>
      <c r="K33">
        <f t="shared" ref="K33:K64" si="16">-0.174071819841752+(I33-1)*0.0210996145262729</f>
        <v>0.50111584499898076</v>
      </c>
      <c r="L33">
        <f t="shared" ref="L33:L64" si="17">-19.0921354064428+396.872026156483*K33-142.122021344534*(1.16666666666667+(K33-0.527418175219319)^2/2.31215910737692)^0.5</f>
        <v>26.257713925034835</v>
      </c>
      <c r="M33">
        <v>33</v>
      </c>
      <c r="O33">
        <f t="shared" ref="O33:O64" si="18">-0.174071819841752+(M33-1)*0.0210996145262729</f>
        <v>0.50111584499898076</v>
      </c>
      <c r="P33">
        <f t="shared" ref="P33:P64" si="19">-19.0921354064428+396.872026156483*O33+142.122021344534*(1.16666666666667+(O33-0.527418175219319)^2/2.31215910737692)^0.5</f>
        <v>333.31573674980677</v>
      </c>
      <c r="Q33">
        <v>33</v>
      </c>
      <c r="S33">
        <f t="shared" ref="S33:S64" si="20">-46.7258297413797+(Q33-1)*12.3597985116196</f>
        <v>348.78772263044749</v>
      </c>
      <c r="T33">
        <f t="shared" ref="T33:T64" si="21">0+1*S33-142.122021344534*(1.16666666666667+(S33-190.225384424603)^2/364182.181286594)^0.5</f>
        <v>190.80174979654876</v>
      </c>
      <c r="U33">
        <v>33</v>
      </c>
      <c r="W33">
        <f t="shared" ref="W33:W64" si="22">-22.9105624877314+(U33-1)*12.0146497108421</f>
        <v>361.55822825921581</v>
      </c>
      <c r="X33">
        <f t="shared" ref="X33:X64" si="23">0+1*W33+142.122021344534*(1.16666666666667+(W33-190.225384424603)^2/364182.181286594)^0.5</f>
        <v>520.28198083233929</v>
      </c>
    </row>
    <row r="34" spans="1:24" x14ac:dyDescent="0.45">
      <c r="A34">
        <v>34</v>
      </c>
      <c r="C34">
        <f t="shared" si="12"/>
        <v>0.82494905925004181</v>
      </c>
      <c r="D34">
        <f t="shared" si="13"/>
        <v>243.96592801607625</v>
      </c>
      <c r="E34">
        <v>34</v>
      </c>
      <c r="G34">
        <f t="shared" si="14"/>
        <v>0.82494905925004181</v>
      </c>
      <c r="H34">
        <f t="shared" si="15"/>
        <v>372.64821041193539</v>
      </c>
      <c r="I34">
        <v>34</v>
      </c>
      <c r="K34">
        <f t="shared" si="16"/>
        <v>0.52221545952525361</v>
      </c>
      <c r="L34">
        <f t="shared" si="17"/>
        <v>34.650473935017516</v>
      </c>
      <c r="M34">
        <v>34</v>
      </c>
      <c r="O34">
        <f t="shared" si="18"/>
        <v>0.52221545952525361</v>
      </c>
      <c r="P34">
        <f t="shared" si="19"/>
        <v>341.67067027614939</v>
      </c>
      <c r="Q34">
        <v>34</v>
      </c>
      <c r="S34">
        <f t="shared" si="20"/>
        <v>361.14752114206709</v>
      </c>
      <c r="T34">
        <f t="shared" si="21"/>
        <v>202.44832966529148</v>
      </c>
      <c r="U34">
        <v>34</v>
      </c>
      <c r="W34">
        <f t="shared" si="22"/>
        <v>373.5728779700579</v>
      </c>
      <c r="X34">
        <f t="shared" si="23"/>
        <v>533.03941936073852</v>
      </c>
    </row>
    <row r="35" spans="1:24" x14ac:dyDescent="0.45">
      <c r="A35">
        <v>35</v>
      </c>
      <c r="C35">
        <f t="shared" si="12"/>
        <v>0.85522241922252051</v>
      </c>
      <c r="D35">
        <f t="shared" si="13"/>
        <v>254.70799523490649</v>
      </c>
      <c r="E35">
        <v>35</v>
      </c>
      <c r="G35">
        <f t="shared" si="14"/>
        <v>0.85522241922252051</v>
      </c>
      <c r="H35">
        <f t="shared" si="15"/>
        <v>385.93544261478957</v>
      </c>
      <c r="I35">
        <v>35</v>
      </c>
      <c r="K35">
        <f t="shared" si="16"/>
        <v>0.54331507405152657</v>
      </c>
      <c r="L35">
        <f t="shared" si="17"/>
        <v>43.017900464898503</v>
      </c>
      <c r="M35">
        <v>35</v>
      </c>
      <c r="O35">
        <f t="shared" si="18"/>
        <v>0.54331507405152657</v>
      </c>
      <c r="P35">
        <f t="shared" si="19"/>
        <v>350.05093728259379</v>
      </c>
      <c r="Q35">
        <v>35</v>
      </c>
      <c r="S35">
        <f t="shared" si="20"/>
        <v>373.50731965368669</v>
      </c>
      <c r="T35">
        <f t="shared" si="21"/>
        <v>214.04495815724769</v>
      </c>
      <c r="U35">
        <v>35</v>
      </c>
      <c r="W35">
        <f t="shared" si="22"/>
        <v>385.5875276809</v>
      </c>
      <c r="X35">
        <f t="shared" si="23"/>
        <v>545.8433806467209</v>
      </c>
    </row>
    <row r="36" spans="1:24" x14ac:dyDescent="0.45">
      <c r="A36">
        <v>36</v>
      </c>
      <c r="C36">
        <f t="shared" si="12"/>
        <v>0.885495779194999</v>
      </c>
      <c r="D36">
        <f t="shared" si="13"/>
        <v>265.35464413748315</v>
      </c>
      <c r="E36">
        <v>36</v>
      </c>
      <c r="G36">
        <f t="shared" si="14"/>
        <v>0.885495779194999</v>
      </c>
      <c r="H36">
        <f t="shared" si="15"/>
        <v>399.31809313389709</v>
      </c>
      <c r="I36">
        <v>36</v>
      </c>
      <c r="K36">
        <f t="shared" si="16"/>
        <v>0.56441468857779942</v>
      </c>
      <c r="L36">
        <f t="shared" si="17"/>
        <v>51.359996692446799</v>
      </c>
      <c r="M36">
        <v>36</v>
      </c>
      <c r="O36">
        <f t="shared" si="18"/>
        <v>0.56441468857779942</v>
      </c>
      <c r="P36">
        <f t="shared" si="19"/>
        <v>358.45653459137088</v>
      </c>
      <c r="Q36">
        <v>36</v>
      </c>
      <c r="S36">
        <f t="shared" si="20"/>
        <v>385.86711816530629</v>
      </c>
      <c r="T36">
        <f t="shared" si="21"/>
        <v>225.592348821565</v>
      </c>
      <c r="U36">
        <v>36</v>
      </c>
      <c r="W36">
        <f t="shared" si="22"/>
        <v>397.60217739174209</v>
      </c>
      <c r="X36">
        <f t="shared" si="23"/>
        <v>558.69318083695498</v>
      </c>
    </row>
    <row r="37" spans="1:24" x14ac:dyDescent="0.45">
      <c r="A37">
        <v>37</v>
      </c>
      <c r="C37">
        <f t="shared" si="12"/>
        <v>0.91576913916747771</v>
      </c>
      <c r="D37">
        <f t="shared" si="13"/>
        <v>275.911596289263</v>
      </c>
      <c r="E37">
        <v>37</v>
      </c>
      <c r="G37">
        <f t="shared" si="14"/>
        <v>0.91576913916747771</v>
      </c>
      <c r="H37">
        <f t="shared" si="15"/>
        <v>412.79044040380165</v>
      </c>
      <c r="I37">
        <v>37</v>
      </c>
      <c r="K37">
        <f t="shared" si="16"/>
        <v>0.58551430310407238</v>
      </c>
      <c r="L37">
        <f t="shared" si="17"/>
        <v>59.676778325139395</v>
      </c>
      <c r="M37">
        <v>37</v>
      </c>
      <c r="O37">
        <f t="shared" si="18"/>
        <v>0.58551430310407238</v>
      </c>
      <c r="P37">
        <f t="shared" si="19"/>
        <v>366.8874464950037</v>
      </c>
      <c r="Q37">
        <v>37</v>
      </c>
      <c r="S37">
        <f t="shared" si="20"/>
        <v>398.2269166769259</v>
      </c>
      <c r="T37">
        <f t="shared" si="21"/>
        <v>237.09124639288305</v>
      </c>
      <c r="U37">
        <v>37</v>
      </c>
      <c r="W37">
        <f t="shared" si="22"/>
        <v>409.61682710258418</v>
      </c>
      <c r="X37">
        <f t="shared" si="23"/>
        <v>571.58811087428865</v>
      </c>
    </row>
    <row r="38" spans="1:24" x14ac:dyDescent="0.45">
      <c r="A38">
        <v>38</v>
      </c>
      <c r="C38">
        <f t="shared" si="12"/>
        <v>0.94604249913995619</v>
      </c>
      <c r="D38">
        <f t="shared" si="13"/>
        <v>286.38445657316242</v>
      </c>
      <c r="E38">
        <v>38</v>
      </c>
      <c r="G38">
        <f t="shared" si="14"/>
        <v>0.94604249913995619</v>
      </c>
      <c r="H38">
        <f t="shared" si="15"/>
        <v>426.34687954158642</v>
      </c>
      <c r="I38">
        <v>38</v>
      </c>
      <c r="K38">
        <f t="shared" si="16"/>
        <v>0.60661391763034522</v>
      </c>
      <c r="L38">
        <f t="shared" si="17"/>
        <v>67.968273561344546</v>
      </c>
      <c r="M38">
        <v>38</v>
      </c>
      <c r="O38">
        <f t="shared" si="18"/>
        <v>0.60661391763034522</v>
      </c>
      <c r="P38">
        <f t="shared" si="19"/>
        <v>375.34364479512385</v>
      </c>
      <c r="Q38">
        <v>38</v>
      </c>
      <c r="S38">
        <f t="shared" si="20"/>
        <v>410.5867151885455</v>
      </c>
      <c r="T38">
        <f t="shared" si="21"/>
        <v>248.5424237645158</v>
      </c>
      <c r="U38">
        <v>38</v>
      </c>
      <c r="W38">
        <f t="shared" si="22"/>
        <v>421.63147681342633</v>
      </c>
      <c r="X38">
        <f t="shared" si="23"/>
        <v>584.52743912314122</v>
      </c>
    </row>
    <row r="39" spans="1:24" x14ac:dyDescent="0.45">
      <c r="A39">
        <v>39</v>
      </c>
      <c r="C39">
        <f t="shared" si="12"/>
        <v>0.9763158591124349</v>
      </c>
      <c r="D39">
        <f t="shared" si="13"/>
        <v>296.77865700152358</v>
      </c>
      <c r="E39">
        <v>39</v>
      </c>
      <c r="G39">
        <f t="shared" si="14"/>
        <v>0.9763158591124349</v>
      </c>
      <c r="H39">
        <f t="shared" si="15"/>
        <v>439.98197853490967</v>
      </c>
      <c r="I39">
        <v>39</v>
      </c>
      <c r="K39">
        <f t="shared" si="16"/>
        <v>0.62771353215661818</v>
      </c>
      <c r="L39">
        <f t="shared" si="17"/>
        <v>76.234523020771348</v>
      </c>
      <c r="M39">
        <v>39</v>
      </c>
      <c r="O39">
        <f t="shared" si="18"/>
        <v>0.62771353215661818</v>
      </c>
      <c r="P39">
        <f t="shared" si="19"/>
        <v>383.82508887202249</v>
      </c>
      <c r="Q39">
        <v>39</v>
      </c>
      <c r="S39">
        <f t="shared" si="20"/>
        <v>422.9465137001651</v>
      </c>
      <c r="T39">
        <f t="shared" si="21"/>
        <v>259.9466789644398</v>
      </c>
      <c r="U39">
        <v>39</v>
      </c>
      <c r="W39">
        <f t="shared" si="22"/>
        <v>433.64612652426842</v>
      </c>
      <c r="X39">
        <f t="shared" si="23"/>
        <v>597.51041397412041</v>
      </c>
    </row>
    <row r="40" spans="1:24" x14ac:dyDescent="0.45">
      <c r="A40">
        <v>40</v>
      </c>
      <c r="C40">
        <f t="shared" si="12"/>
        <v>1.0065892190849135</v>
      </c>
      <c r="D40">
        <f t="shared" si="13"/>
        <v>307.09941452538487</v>
      </c>
      <c r="E40">
        <v>40</v>
      </c>
      <c r="G40">
        <f t="shared" si="14"/>
        <v>1.0065892190849135</v>
      </c>
      <c r="H40">
        <f t="shared" si="15"/>
        <v>453.69052043273268</v>
      </c>
      <c r="I40">
        <v>40</v>
      </c>
      <c r="K40">
        <f t="shared" si="16"/>
        <v>0.64881314668289103</v>
      </c>
      <c r="L40">
        <f t="shared" si="17"/>
        <v>84.475579644584656</v>
      </c>
      <c r="M40">
        <v>40</v>
      </c>
      <c r="O40">
        <f t="shared" si="18"/>
        <v>0.64881314668289103</v>
      </c>
      <c r="P40">
        <f t="shared" si="19"/>
        <v>392.33172578453446</v>
      </c>
      <c r="Q40">
        <v>40</v>
      </c>
      <c r="S40">
        <f t="shared" si="20"/>
        <v>435.3063122117847</v>
      </c>
      <c r="T40">
        <f t="shared" si="21"/>
        <v>271.30483215699542</v>
      </c>
      <c r="U40">
        <v>40</v>
      </c>
      <c r="W40">
        <f t="shared" si="22"/>
        <v>445.66077623511052</v>
      </c>
      <c r="X40">
        <f t="shared" si="23"/>
        <v>610.53626641049414</v>
      </c>
    </row>
    <row r="41" spans="1:24" x14ac:dyDescent="0.45">
      <c r="A41">
        <v>41</v>
      </c>
      <c r="C41">
        <f t="shared" si="12"/>
        <v>1.0368625790573922</v>
      </c>
      <c r="D41">
        <f t="shared" si="13"/>
        <v>317.35170131484716</v>
      </c>
      <c r="E41">
        <v>41</v>
      </c>
      <c r="G41">
        <f t="shared" si="14"/>
        <v>1.0368625790573922</v>
      </c>
      <c r="H41">
        <f t="shared" si="15"/>
        <v>467.46753306495481</v>
      </c>
      <c r="I41">
        <v>41</v>
      </c>
      <c r="K41">
        <f t="shared" si="16"/>
        <v>0.66991276120916399</v>
      </c>
      <c r="L41">
        <f t="shared" si="17"/>
        <v>92.6915085657578</v>
      </c>
      <c r="M41">
        <v>41</v>
      </c>
      <c r="O41">
        <f t="shared" si="18"/>
        <v>0.66991276120916399</v>
      </c>
      <c r="P41">
        <f t="shared" si="19"/>
        <v>400.86349039968673</v>
      </c>
      <c r="Q41">
        <v>41</v>
      </c>
      <c r="S41">
        <f t="shared" si="20"/>
        <v>447.6661107234043</v>
      </c>
      <c r="T41">
        <f t="shared" si="21"/>
        <v>282.61772269135196</v>
      </c>
      <c r="U41">
        <v>41</v>
      </c>
      <c r="W41">
        <f t="shared" si="22"/>
        <v>457.67542594595261</v>
      </c>
      <c r="X41">
        <f t="shared" si="23"/>
        <v>623.60421252074786</v>
      </c>
    </row>
    <row r="42" spans="1:24" x14ac:dyDescent="0.45">
      <c r="A42">
        <v>42</v>
      </c>
      <c r="C42">
        <f t="shared" si="12"/>
        <v>1.0671359390298707</v>
      </c>
      <c r="D42">
        <f t="shared" si="13"/>
        <v>327.54022575621082</v>
      </c>
      <c r="E42">
        <v>42</v>
      </c>
      <c r="G42">
        <f t="shared" si="14"/>
        <v>1.0671359390298707</v>
      </c>
      <c r="H42">
        <f t="shared" si="15"/>
        <v>481.30830804527534</v>
      </c>
      <c r="I42">
        <v>42</v>
      </c>
      <c r="K42">
        <f t="shared" si="16"/>
        <v>0.69101237573543683</v>
      </c>
      <c r="L42">
        <f t="shared" si="17"/>
        <v>100.88238695039831</v>
      </c>
      <c r="M42">
        <v>42</v>
      </c>
      <c r="O42">
        <f t="shared" si="18"/>
        <v>0.69101237573543683</v>
      </c>
      <c r="P42">
        <f t="shared" si="19"/>
        <v>409.42030555137154</v>
      </c>
      <c r="Q42">
        <v>42</v>
      </c>
      <c r="S42">
        <f t="shared" si="20"/>
        <v>460.0259092350239</v>
      </c>
      <c r="T42">
        <f t="shared" si="21"/>
        <v>293.88620621576899</v>
      </c>
      <c r="U42">
        <v>42</v>
      </c>
      <c r="W42">
        <f t="shared" si="22"/>
        <v>469.6900756567947</v>
      </c>
      <c r="X42">
        <f t="shared" si="23"/>
        <v>636.71345594315017</v>
      </c>
    </row>
    <row r="43" spans="1:24" x14ac:dyDescent="0.45">
      <c r="A43">
        <v>43</v>
      </c>
      <c r="C43">
        <f t="shared" si="12"/>
        <v>1.0974092990023494</v>
      </c>
      <c r="D43">
        <f t="shared" si="13"/>
        <v>337.66942236154443</v>
      </c>
      <c r="E43">
        <v>43</v>
      </c>
      <c r="G43">
        <f t="shared" si="14"/>
        <v>1.0974092990023494</v>
      </c>
      <c r="H43">
        <f t="shared" si="15"/>
        <v>495.20841086162613</v>
      </c>
      <c r="I43">
        <v>43</v>
      </c>
      <c r="K43">
        <f t="shared" si="16"/>
        <v>0.71211199026170979</v>
      </c>
      <c r="L43">
        <f t="shared" si="17"/>
        <v>109.04830381094462</v>
      </c>
      <c r="M43">
        <v>43</v>
      </c>
      <c r="O43">
        <f t="shared" si="18"/>
        <v>0.71211199026170979</v>
      </c>
      <c r="P43">
        <f t="shared" si="19"/>
        <v>418.00208222715071</v>
      </c>
      <c r="Q43">
        <v>43</v>
      </c>
      <c r="S43">
        <f t="shared" si="20"/>
        <v>472.38570774664345</v>
      </c>
      <c r="T43">
        <f t="shared" si="21"/>
        <v>305.11115187455846</v>
      </c>
      <c r="U43">
        <v>43</v>
      </c>
      <c r="W43">
        <f t="shared" si="22"/>
        <v>481.7047253676368</v>
      </c>
      <c r="X43">
        <f t="shared" si="23"/>
        <v>649.86319022998816</v>
      </c>
    </row>
    <row r="44" spans="1:24" x14ac:dyDescent="0.45">
      <c r="A44">
        <v>44</v>
      </c>
      <c r="C44">
        <f t="shared" si="12"/>
        <v>1.1276826589748279</v>
      </c>
      <c r="D44">
        <f t="shared" si="13"/>
        <v>347.74344886131883</v>
      </c>
      <c r="E44">
        <v>44</v>
      </c>
      <c r="G44">
        <f t="shared" si="14"/>
        <v>1.1276826589748279</v>
      </c>
      <c r="H44">
        <f t="shared" si="15"/>
        <v>509.16368378353593</v>
      </c>
      <c r="I44">
        <v>44</v>
      </c>
      <c r="K44">
        <f t="shared" si="16"/>
        <v>0.73321160478798264</v>
      </c>
      <c r="L44">
        <f t="shared" si="17"/>
        <v>117.18935979227624</v>
      </c>
      <c r="M44">
        <v>44</v>
      </c>
      <c r="O44">
        <f t="shared" si="18"/>
        <v>0.73321160478798264</v>
      </c>
      <c r="P44">
        <f t="shared" si="19"/>
        <v>426.60871978214436</v>
      </c>
      <c r="Q44">
        <v>44</v>
      </c>
      <c r="S44">
        <f t="shared" si="20"/>
        <v>484.74550625826305</v>
      </c>
      <c r="T44">
        <f t="shared" si="21"/>
        <v>316.2934396024628</v>
      </c>
      <c r="U44">
        <v>44</v>
      </c>
      <c r="W44">
        <f t="shared" si="22"/>
        <v>493.71937507847889</v>
      </c>
      <c r="X44">
        <f t="shared" si="23"/>
        <v>663.05260112089059</v>
      </c>
    </row>
    <row r="45" spans="1:24" x14ac:dyDescent="0.45">
      <c r="A45">
        <v>45</v>
      </c>
      <c r="C45">
        <f t="shared" si="12"/>
        <v>1.1579560189473066</v>
      </c>
      <c r="D45">
        <f t="shared" si="13"/>
        <v>357.76618890424271</v>
      </c>
      <c r="E45">
        <v>45</v>
      </c>
      <c r="G45">
        <f t="shared" si="14"/>
        <v>1.1579560189473066</v>
      </c>
      <c r="H45">
        <f t="shared" si="15"/>
        <v>523.1702431622964</v>
      </c>
      <c r="I45">
        <v>45</v>
      </c>
      <c r="K45">
        <f t="shared" si="16"/>
        <v>0.7543112193142556</v>
      </c>
      <c r="L45">
        <f t="shared" si="17"/>
        <v>125.30566693192404</v>
      </c>
      <c r="M45">
        <v>45</v>
      </c>
      <c r="O45">
        <f t="shared" si="18"/>
        <v>0.7543112193142556</v>
      </c>
      <c r="P45">
        <f t="shared" si="19"/>
        <v>435.24010617882197</v>
      </c>
      <c r="Q45">
        <v>45</v>
      </c>
      <c r="S45">
        <f t="shared" si="20"/>
        <v>497.10530476988265</v>
      </c>
      <c r="T45">
        <f t="shared" si="21"/>
        <v>327.43395752896856</v>
      </c>
      <c r="U45">
        <v>45</v>
      </c>
      <c r="W45">
        <f t="shared" si="22"/>
        <v>505.73402478932104</v>
      </c>
      <c r="X45">
        <f t="shared" si="23"/>
        <v>676.2808687163897</v>
      </c>
    </row>
    <row r="46" spans="1:24" x14ac:dyDescent="0.45">
      <c r="A46">
        <v>46</v>
      </c>
      <c r="C46">
        <f t="shared" si="12"/>
        <v>1.1882293789197851</v>
      </c>
      <c r="D46">
        <f t="shared" si="13"/>
        <v>367.74125898332227</v>
      </c>
      <c r="E46">
        <v>46</v>
      </c>
      <c r="G46">
        <f t="shared" si="14"/>
        <v>1.1882293789197851</v>
      </c>
      <c r="H46">
        <f t="shared" si="15"/>
        <v>537.22447250490109</v>
      </c>
      <c r="I46">
        <v>46</v>
      </c>
      <c r="K46">
        <f t="shared" si="16"/>
        <v>0.77541083384052845</v>
      </c>
      <c r="L46">
        <f t="shared" si="17"/>
        <v>133.39734839568916</v>
      </c>
      <c r="M46">
        <v>46</v>
      </c>
      <c r="O46">
        <f t="shared" si="18"/>
        <v>0.77541083384052845</v>
      </c>
      <c r="P46">
        <f t="shared" si="19"/>
        <v>443.89611825138218</v>
      </c>
      <c r="Q46">
        <v>46</v>
      </c>
      <c r="S46">
        <f t="shared" si="20"/>
        <v>509.46510328150225</v>
      </c>
      <c r="T46">
        <f t="shared" si="21"/>
        <v>338.53359950290292</v>
      </c>
      <c r="U46">
        <v>46</v>
      </c>
      <c r="W46">
        <f t="shared" si="22"/>
        <v>517.74867450016302</v>
      </c>
      <c r="X46">
        <f t="shared" si="23"/>
        <v>689.54716954456944</v>
      </c>
    </row>
    <row r="47" spans="1:24" x14ac:dyDescent="0.45">
      <c r="A47">
        <v>47</v>
      </c>
      <c r="C47">
        <f t="shared" si="12"/>
        <v>1.2185027388922638</v>
      </c>
      <c r="D47">
        <f t="shared" si="13"/>
        <v>377.6720184161469</v>
      </c>
      <c r="E47">
        <v>47</v>
      </c>
      <c r="G47">
        <f t="shared" si="14"/>
        <v>1.2185027388922638</v>
      </c>
      <c r="H47">
        <f t="shared" si="15"/>
        <v>551.32301249376087</v>
      </c>
      <c r="I47">
        <v>47</v>
      </c>
      <c r="K47">
        <f t="shared" si="16"/>
        <v>0.7965104483668014</v>
      </c>
      <c r="L47">
        <f t="shared" si="17"/>
        <v>141.46453819009932</v>
      </c>
      <c r="M47">
        <v>47</v>
      </c>
      <c r="O47">
        <f t="shared" si="18"/>
        <v>0.7965104483668014</v>
      </c>
      <c r="P47">
        <f t="shared" si="19"/>
        <v>452.57662199329741</v>
      </c>
      <c r="Q47">
        <v>47</v>
      </c>
      <c r="S47">
        <f t="shared" si="20"/>
        <v>521.82490179312185</v>
      </c>
      <c r="T47">
        <f t="shared" si="21"/>
        <v>349.59326274556008</v>
      </c>
      <c r="U47">
        <v>47</v>
      </c>
      <c r="W47">
        <f t="shared" si="22"/>
        <v>529.76332421100517</v>
      </c>
      <c r="X47">
        <f t="shared" si="23"/>
        <v>702.85067851526287</v>
      </c>
    </row>
    <row r="48" spans="1:24" x14ac:dyDescent="0.45">
      <c r="A48">
        <v>48</v>
      </c>
      <c r="C48">
        <f t="shared" si="12"/>
        <v>1.2487760988647423</v>
      </c>
      <c r="D48">
        <f t="shared" si="13"/>
        <v>387.56158141190986</v>
      </c>
      <c r="E48">
        <v>48</v>
      </c>
      <c r="G48">
        <f t="shared" si="14"/>
        <v>1.2487760988647423</v>
      </c>
      <c r="H48">
        <f t="shared" si="15"/>
        <v>565.4627489196821</v>
      </c>
      <c r="I48">
        <v>48</v>
      </c>
      <c r="K48">
        <f t="shared" si="16"/>
        <v>0.81761006289307425</v>
      </c>
      <c r="L48">
        <f t="shared" si="17"/>
        <v>149.50738085322695</v>
      </c>
      <c r="M48">
        <v>48</v>
      </c>
      <c r="O48">
        <f t="shared" si="18"/>
        <v>0.81761006289307425</v>
      </c>
      <c r="P48">
        <f t="shared" si="19"/>
        <v>461.28147286649511</v>
      </c>
      <c r="Q48">
        <v>48</v>
      </c>
      <c r="S48">
        <f t="shared" si="20"/>
        <v>534.18470030474145</v>
      </c>
      <c r="T48">
        <f t="shared" si="21"/>
        <v>360.61384563859747</v>
      </c>
      <c r="U48">
        <v>48</v>
      </c>
      <c r="W48">
        <f t="shared" si="22"/>
        <v>541.77797392184721</v>
      </c>
      <c r="X48">
        <f t="shared" si="23"/>
        <v>716.19057075779233</v>
      </c>
    </row>
    <row r="49" spans="1:24" x14ac:dyDescent="0.45">
      <c r="A49">
        <v>49</v>
      </c>
      <c r="C49">
        <f t="shared" si="12"/>
        <v>1.279049458837221</v>
      </c>
      <c r="D49">
        <f t="shared" si="13"/>
        <v>397.41283044634361</v>
      </c>
      <c r="E49">
        <v>49</v>
      </c>
      <c r="G49">
        <f t="shared" si="14"/>
        <v>1.279049458837221</v>
      </c>
      <c r="H49">
        <f t="shared" si="15"/>
        <v>579.64079930693276</v>
      </c>
      <c r="I49">
        <v>49</v>
      </c>
      <c r="K49">
        <f t="shared" si="16"/>
        <v>0.8387096774193471</v>
      </c>
      <c r="L49">
        <f t="shared" si="17"/>
        <v>157.52603112548584</v>
      </c>
      <c r="M49">
        <v>49</v>
      </c>
      <c r="O49">
        <f t="shared" si="18"/>
        <v>0.8387096774193471</v>
      </c>
      <c r="P49">
        <f t="shared" si="19"/>
        <v>470.01051613056165</v>
      </c>
      <c r="Q49">
        <v>49</v>
      </c>
      <c r="S49">
        <f t="shared" si="20"/>
        <v>546.54449881636106</v>
      </c>
      <c r="T49">
        <f t="shared" si="21"/>
        <v>371.59624565105639</v>
      </c>
      <c r="U49">
        <v>49</v>
      </c>
      <c r="W49">
        <f t="shared" si="22"/>
        <v>553.79262363268936</v>
      </c>
      <c r="X49">
        <f t="shared" si="23"/>
        <v>729.56602333968112</v>
      </c>
    </row>
    <row r="50" spans="1:24" x14ac:dyDescent="0.45">
      <c r="A50">
        <v>50</v>
      </c>
      <c r="C50">
        <f t="shared" si="12"/>
        <v>1.3093228188096995</v>
      </c>
      <c r="D50">
        <f t="shared" si="13"/>
        <v>407.22843033257863</v>
      </c>
      <c r="E50">
        <v>50</v>
      </c>
      <c r="G50">
        <f t="shared" si="14"/>
        <v>1.3093228188096995</v>
      </c>
      <c r="H50">
        <f t="shared" si="15"/>
        <v>593.85449884238187</v>
      </c>
      <c r="I50">
        <v>50</v>
      </c>
      <c r="K50">
        <f t="shared" si="16"/>
        <v>0.85980929194562006</v>
      </c>
      <c r="L50">
        <f t="shared" si="17"/>
        <v>165.52065360208994</v>
      </c>
      <c r="M50">
        <v>50</v>
      </c>
      <c r="O50">
        <f t="shared" si="18"/>
        <v>0.85980929194562006</v>
      </c>
      <c r="P50">
        <f t="shared" si="19"/>
        <v>478.76358719028292</v>
      </c>
      <c r="Q50">
        <v>50</v>
      </c>
      <c r="S50">
        <f t="shared" si="20"/>
        <v>558.90429732798066</v>
      </c>
      <c r="T50">
        <f t="shared" si="21"/>
        <v>382.54135740811762</v>
      </c>
      <c r="U50">
        <v>50</v>
      </c>
      <c r="W50">
        <f t="shared" si="22"/>
        <v>565.80727334353151</v>
      </c>
      <c r="X50">
        <f t="shared" si="23"/>
        <v>742.9762168650625</v>
      </c>
    </row>
    <row r="51" spans="1:24" x14ac:dyDescent="0.45">
      <c r="A51">
        <v>51</v>
      </c>
      <c r="C51">
        <f t="shared" si="12"/>
        <v>1.3395961787821782</v>
      </c>
      <c r="D51">
        <f t="shared" si="13"/>
        <v>417.01084251873851</v>
      </c>
      <c r="E51">
        <v>51</v>
      </c>
      <c r="G51">
        <f t="shared" si="14"/>
        <v>1.3395961787821782</v>
      </c>
      <c r="H51">
        <f t="shared" si="15"/>
        <v>608.10138607790634</v>
      </c>
      <c r="I51">
        <v>51</v>
      </c>
      <c r="K51">
        <f t="shared" si="16"/>
        <v>0.88090890647189302</v>
      </c>
      <c r="L51">
        <f t="shared" si="17"/>
        <v>173.4914223689201</v>
      </c>
      <c r="M51">
        <v>51</v>
      </c>
      <c r="O51">
        <f t="shared" si="18"/>
        <v>0.88090890647189302</v>
      </c>
      <c r="P51">
        <f t="shared" si="19"/>
        <v>487.5405119597782</v>
      </c>
      <c r="Q51">
        <v>51</v>
      </c>
      <c r="S51">
        <f t="shared" si="20"/>
        <v>571.26409583960026</v>
      </c>
      <c r="T51">
        <f t="shared" si="21"/>
        <v>393.45007090260975</v>
      </c>
      <c r="U51">
        <v>51</v>
      </c>
      <c r="W51">
        <f t="shared" si="22"/>
        <v>577.82192305437354</v>
      </c>
      <c r="X51">
        <f t="shared" si="23"/>
        <v>756.42033695271311</v>
      </c>
    </row>
    <row r="52" spans="1:24" x14ac:dyDescent="0.45">
      <c r="A52">
        <v>52</v>
      </c>
      <c r="C52">
        <f t="shared" si="12"/>
        <v>1.3698695387546567</v>
      </c>
      <c r="D52">
        <f t="shared" si="13"/>
        <v>426.76233926211989</v>
      </c>
      <c r="E52">
        <v>52</v>
      </c>
      <c r="G52">
        <f t="shared" si="14"/>
        <v>1.3698695387546567</v>
      </c>
      <c r="H52">
        <f t="shared" si="15"/>
        <v>622.37918875620926</v>
      </c>
      <c r="I52">
        <v>52</v>
      </c>
      <c r="K52">
        <f t="shared" si="16"/>
        <v>0.90200852099816575</v>
      </c>
      <c r="L52">
        <f t="shared" si="17"/>
        <v>181.43852062358351</v>
      </c>
      <c r="M52">
        <v>52</v>
      </c>
      <c r="O52">
        <f t="shared" si="18"/>
        <v>0.90200852099816575</v>
      </c>
      <c r="P52">
        <f t="shared" si="19"/>
        <v>496.34110724144</v>
      </c>
      <c r="Q52">
        <v>52</v>
      </c>
      <c r="S52">
        <f t="shared" si="20"/>
        <v>583.62389435121986</v>
      </c>
      <c r="T52">
        <f t="shared" si="21"/>
        <v>404.32326984885526</v>
      </c>
      <c r="U52">
        <v>52</v>
      </c>
      <c r="W52">
        <f t="shared" si="22"/>
        <v>589.83657276521569</v>
      </c>
      <c r="X52">
        <f t="shared" si="23"/>
        <v>769.89757559468865</v>
      </c>
    </row>
    <row r="53" spans="1:24" x14ac:dyDescent="0.45">
      <c r="A53">
        <v>53</v>
      </c>
      <c r="C53">
        <f t="shared" si="12"/>
        <v>1.4001428987271354</v>
      </c>
      <c r="D53">
        <f t="shared" si="13"/>
        <v>436.48501742684681</v>
      </c>
      <c r="E53">
        <v>53</v>
      </c>
      <c r="G53">
        <f t="shared" si="14"/>
        <v>1.4001428987271354</v>
      </c>
      <c r="H53">
        <f t="shared" si="15"/>
        <v>636.6858100131667</v>
      </c>
      <c r="I53">
        <v>53</v>
      </c>
      <c r="K53">
        <f t="shared" si="16"/>
        <v>0.92310813552443871</v>
      </c>
      <c r="L53">
        <f t="shared" si="17"/>
        <v>189.36214028348022</v>
      </c>
      <c r="M53">
        <v>53</v>
      </c>
      <c r="O53">
        <f t="shared" si="18"/>
        <v>0.92310813552443871</v>
      </c>
      <c r="P53">
        <f t="shared" si="19"/>
        <v>505.16518111786866</v>
      </c>
      <c r="Q53">
        <v>53</v>
      </c>
      <c r="S53">
        <f t="shared" si="20"/>
        <v>595.98369286283946</v>
      </c>
      <c r="T53">
        <f t="shared" si="21"/>
        <v>415.16183017717583</v>
      </c>
      <c r="U53">
        <v>53</v>
      </c>
      <c r="W53">
        <f t="shared" si="22"/>
        <v>601.85122247605773</v>
      </c>
      <c r="X53">
        <f t="shared" si="23"/>
        <v>783.40713239747527</v>
      </c>
    </row>
    <row r="54" spans="1:24" x14ac:dyDescent="0.45">
      <c r="A54">
        <v>54</v>
      </c>
      <c r="C54">
        <f t="shared" si="12"/>
        <v>1.4304162586996139</v>
      </c>
      <c r="D54">
        <f t="shared" si="13"/>
        <v>446.18081172941021</v>
      </c>
      <c r="E54">
        <v>54</v>
      </c>
      <c r="G54">
        <f t="shared" si="14"/>
        <v>1.4304162586996139</v>
      </c>
      <c r="H54">
        <f t="shared" si="15"/>
        <v>651.0193151322876</v>
      </c>
      <c r="I54">
        <v>54</v>
      </c>
      <c r="K54">
        <f t="shared" si="16"/>
        <v>0.94420775005071167</v>
      </c>
      <c r="L54">
        <f t="shared" si="17"/>
        <v>197.26248158270172</v>
      </c>
      <c r="M54">
        <v>54</v>
      </c>
      <c r="O54">
        <f t="shared" si="18"/>
        <v>0.94420775005071167</v>
      </c>
      <c r="P54">
        <f t="shared" si="19"/>
        <v>514.01253335497256</v>
      </c>
      <c r="Q54">
        <v>54</v>
      </c>
      <c r="S54">
        <f t="shared" si="20"/>
        <v>608.34349137445906</v>
      </c>
      <c r="T54">
        <f t="shared" si="21"/>
        <v>425.96661866627306</v>
      </c>
      <c r="U54">
        <v>54</v>
      </c>
      <c r="W54">
        <f t="shared" si="22"/>
        <v>613.86587218689988</v>
      </c>
      <c r="X54">
        <f t="shared" si="23"/>
        <v>796.94821570838189</v>
      </c>
    </row>
    <row r="55" spans="1:24" x14ac:dyDescent="0.45">
      <c r="A55">
        <v>55</v>
      </c>
      <c r="C55">
        <f t="shared" si="12"/>
        <v>1.4606896186720926</v>
      </c>
      <c r="D55">
        <f t="shared" si="13"/>
        <v>455.85150731730221</v>
      </c>
      <c r="E55">
        <v>55</v>
      </c>
      <c r="G55">
        <f t="shared" si="14"/>
        <v>1.4606896186720926</v>
      </c>
      <c r="H55">
        <f t="shared" si="15"/>
        <v>665.37791896608007</v>
      </c>
      <c r="I55">
        <v>55</v>
      </c>
      <c r="K55">
        <f t="shared" si="16"/>
        <v>0.96530736457698463</v>
      </c>
      <c r="L55">
        <f t="shared" si="17"/>
        <v>205.13975265958913</v>
      </c>
      <c r="M55">
        <v>55</v>
      </c>
      <c r="O55">
        <f t="shared" si="18"/>
        <v>0.96530736457698463</v>
      </c>
      <c r="P55">
        <f t="shared" si="19"/>
        <v>522.88295581441071</v>
      </c>
      <c r="Q55">
        <v>55</v>
      </c>
      <c r="S55">
        <f t="shared" si="20"/>
        <v>620.70328988607866</v>
      </c>
      <c r="T55">
        <f t="shared" si="21"/>
        <v>436.73849170976308</v>
      </c>
      <c r="U55">
        <v>55</v>
      </c>
      <c r="W55">
        <f t="shared" si="22"/>
        <v>625.88052189774191</v>
      </c>
      <c r="X55">
        <f t="shared" si="23"/>
        <v>810.5200436305704</v>
      </c>
    </row>
    <row r="56" spans="1:24" x14ac:dyDescent="0.45">
      <c r="A56">
        <v>56</v>
      </c>
      <c r="C56">
        <f t="shared" si="12"/>
        <v>1.4909629786445711</v>
      </c>
      <c r="D56">
        <f t="shared" si="13"/>
        <v>465.4987516127502</v>
      </c>
      <c r="E56">
        <v>56</v>
      </c>
      <c r="G56">
        <f t="shared" si="14"/>
        <v>1.4909629786445711</v>
      </c>
      <c r="H56">
        <f t="shared" si="15"/>
        <v>679.75997409231616</v>
      </c>
      <c r="I56">
        <v>56</v>
      </c>
      <c r="K56">
        <f t="shared" si="16"/>
        <v>0.98640697910325736</v>
      </c>
      <c r="L56">
        <f t="shared" si="17"/>
        <v>212.99416913676023</v>
      </c>
      <c r="M56">
        <v>56</v>
      </c>
      <c r="O56">
        <f t="shared" si="18"/>
        <v>0.98640697910325736</v>
      </c>
      <c r="P56">
        <f t="shared" si="19"/>
        <v>531.77623287356482</v>
      </c>
      <c r="Q56">
        <v>56</v>
      </c>
      <c r="S56">
        <f t="shared" si="20"/>
        <v>633.06308839769827</v>
      </c>
      <c r="T56">
        <f t="shared" si="21"/>
        <v>447.47829421235292</v>
      </c>
      <c r="U56">
        <v>56</v>
      </c>
      <c r="W56">
        <f t="shared" si="22"/>
        <v>637.89517160858406</v>
      </c>
      <c r="X56">
        <f t="shared" si="23"/>
        <v>824.12184493070242</v>
      </c>
    </row>
    <row r="57" spans="1:24" x14ac:dyDescent="0.45">
      <c r="A57">
        <v>57</v>
      </c>
      <c r="C57">
        <f t="shared" si="12"/>
        <v>1.5212363386170498</v>
      </c>
      <c r="D57">
        <f t="shared" si="13"/>
        <v>475.1240653888932</v>
      </c>
      <c r="E57">
        <v>57</v>
      </c>
      <c r="G57">
        <f t="shared" si="14"/>
        <v>1.5212363386170498</v>
      </c>
      <c r="H57">
        <f t="shared" si="15"/>
        <v>694.16395973785768</v>
      </c>
      <c r="I57">
        <v>57</v>
      </c>
      <c r="K57">
        <f t="shared" si="16"/>
        <v>1.0075065936295304</v>
      </c>
      <c r="L57">
        <f t="shared" si="17"/>
        <v>220.82595369539052</v>
      </c>
      <c r="M57">
        <v>57</v>
      </c>
      <c r="O57">
        <f t="shared" si="18"/>
        <v>1.0075065936295304</v>
      </c>
      <c r="P57">
        <f t="shared" si="19"/>
        <v>540.69214185125998</v>
      </c>
      <c r="Q57">
        <v>57</v>
      </c>
      <c r="S57">
        <f t="shared" si="20"/>
        <v>645.42288690931787</v>
      </c>
      <c r="T57">
        <f t="shared" si="21"/>
        <v>458.18685861051199</v>
      </c>
      <c r="U57">
        <v>57</v>
      </c>
      <c r="W57">
        <f t="shared" si="22"/>
        <v>649.90982131942621</v>
      </c>
      <c r="X57">
        <f t="shared" si="23"/>
        <v>837.75285984362586</v>
      </c>
    </row>
    <row r="58" spans="1:24" x14ac:dyDescent="0.45">
      <c r="A58">
        <v>58</v>
      </c>
      <c r="C58">
        <f t="shared" si="12"/>
        <v>1.5515096985895283</v>
      </c>
      <c r="D58">
        <f t="shared" si="13"/>
        <v>484.72885307184777</v>
      </c>
      <c r="E58">
        <v>58</v>
      </c>
      <c r="G58">
        <f t="shared" si="14"/>
        <v>1.5515096985895283</v>
      </c>
      <c r="H58">
        <f t="shared" si="15"/>
        <v>708.58847147658719</v>
      </c>
      <c r="I58">
        <v>58</v>
      </c>
      <c r="K58">
        <f t="shared" si="16"/>
        <v>1.0286062081558034</v>
      </c>
      <c r="L58">
        <f t="shared" si="17"/>
        <v>228.63533564549095</v>
      </c>
      <c r="M58">
        <v>58</v>
      </c>
      <c r="O58">
        <f t="shared" si="18"/>
        <v>1.0286062081558034</v>
      </c>
      <c r="P58">
        <f t="shared" si="19"/>
        <v>549.63045343748502</v>
      </c>
      <c r="Q58">
        <v>58</v>
      </c>
      <c r="S58">
        <f t="shared" si="20"/>
        <v>657.78268542093747</v>
      </c>
      <c r="T58">
        <f t="shared" si="21"/>
        <v>468.86500401198282</v>
      </c>
      <c r="U58">
        <v>58</v>
      </c>
      <c r="W58">
        <f t="shared" si="22"/>
        <v>661.92447103026825</v>
      </c>
      <c r="X58">
        <f t="shared" si="23"/>
        <v>851.41234077888964</v>
      </c>
    </row>
    <row r="59" spans="1:24" x14ac:dyDescent="0.45">
      <c r="A59">
        <v>59</v>
      </c>
      <c r="C59">
        <f t="shared" si="12"/>
        <v>1.581783058562007</v>
      </c>
      <c r="D59">
        <f t="shared" si="13"/>
        <v>494.31441228091774</v>
      </c>
      <c r="E59">
        <v>59</v>
      </c>
      <c r="G59">
        <f t="shared" si="14"/>
        <v>1.581783058562007</v>
      </c>
      <c r="H59">
        <f t="shared" si="15"/>
        <v>723.03221168920174</v>
      </c>
      <c r="I59">
        <v>59</v>
      </c>
      <c r="K59">
        <f t="shared" si="16"/>
        <v>1.0497058226820764</v>
      </c>
      <c r="L59">
        <f t="shared" si="17"/>
        <v>236.42255049388021</v>
      </c>
      <c r="M59">
        <v>59</v>
      </c>
      <c r="O59">
        <f t="shared" si="18"/>
        <v>1.0497058226820764</v>
      </c>
      <c r="P59">
        <f t="shared" si="19"/>
        <v>558.5909321254212</v>
      </c>
      <c r="Q59">
        <v>59</v>
      </c>
      <c r="S59">
        <f t="shared" si="20"/>
        <v>670.14248393255707</v>
      </c>
      <c r="T59">
        <f t="shared" si="21"/>
        <v>479.51353544810161</v>
      </c>
      <c r="U59">
        <v>59</v>
      </c>
      <c r="W59">
        <f t="shared" si="22"/>
        <v>673.9391207411104</v>
      </c>
      <c r="X59">
        <f t="shared" si="23"/>
        <v>865.09955293413168</v>
      </c>
    </row>
    <row r="60" spans="1:24" x14ac:dyDescent="0.45">
      <c r="A60">
        <v>60</v>
      </c>
      <c r="C60">
        <f t="shared" si="12"/>
        <v>1.6120564185344854</v>
      </c>
      <c r="D60">
        <f t="shared" si="13"/>
        <v>503.88194263228178</v>
      </c>
      <c r="E60">
        <v>60</v>
      </c>
      <c r="G60">
        <f t="shared" si="14"/>
        <v>1.6120564185344854</v>
      </c>
      <c r="H60">
        <f t="shared" si="15"/>
        <v>737.49398075952172</v>
      </c>
      <c r="I60">
        <v>60</v>
      </c>
      <c r="K60">
        <f t="shared" si="16"/>
        <v>1.0708054372083491</v>
      </c>
      <c r="L60">
        <f t="shared" si="17"/>
        <v>244.18783951148438</v>
      </c>
      <c r="M60">
        <v>60</v>
      </c>
      <c r="O60">
        <f t="shared" si="18"/>
        <v>1.0708054372083491</v>
      </c>
      <c r="P60">
        <f t="shared" si="19"/>
        <v>567.57333664414227</v>
      </c>
      <c r="Q60">
        <v>60</v>
      </c>
      <c r="S60">
        <f t="shared" si="20"/>
        <v>682.50228244417667</v>
      </c>
      <c r="T60">
        <f t="shared" si="21"/>
        <v>490.13324323263203</v>
      </c>
      <c r="U60">
        <v>60</v>
      </c>
      <c r="W60">
        <f t="shared" si="22"/>
        <v>685.95377045195244</v>
      </c>
      <c r="X60">
        <f t="shared" si="23"/>
        <v>878.81377482056314</v>
      </c>
    </row>
    <row r="61" spans="1:24" x14ac:dyDescent="0.45">
      <c r="A61">
        <v>61</v>
      </c>
      <c r="C61">
        <f t="shared" si="12"/>
        <v>1.6423297785069642</v>
      </c>
      <c r="D61">
        <f t="shared" si="13"/>
        <v>513.43255384020665</v>
      </c>
      <c r="E61">
        <v>61</v>
      </c>
      <c r="G61">
        <f t="shared" si="14"/>
        <v>1.6423297785069642</v>
      </c>
      <c r="H61">
        <f t="shared" si="15"/>
        <v>751.97266897328143</v>
      </c>
      <c r="I61">
        <v>61</v>
      </c>
      <c r="K61">
        <f t="shared" si="16"/>
        <v>1.091905051734622</v>
      </c>
      <c r="L61">
        <f t="shared" si="17"/>
        <v>251.93144930153252</v>
      </c>
      <c r="M61">
        <v>61</v>
      </c>
      <c r="O61">
        <f t="shared" si="18"/>
        <v>1.091905051734622</v>
      </c>
      <c r="P61">
        <f t="shared" si="19"/>
        <v>576.57742039041955</v>
      </c>
      <c r="Q61">
        <v>61</v>
      </c>
      <c r="S61">
        <f t="shared" si="20"/>
        <v>694.86208095579627</v>
      </c>
      <c r="T61">
        <f t="shared" si="21"/>
        <v>500.7249024206526</v>
      </c>
      <c r="U61">
        <v>61</v>
      </c>
      <c r="W61">
        <f t="shared" si="22"/>
        <v>697.96842016279459</v>
      </c>
      <c r="X61">
        <f t="shared" si="23"/>
        <v>892.55429870587898</v>
      </c>
    </row>
    <row r="62" spans="1:24" x14ac:dyDescent="0.45">
      <c r="A62">
        <v>62</v>
      </c>
      <c r="C62">
        <f t="shared" si="12"/>
        <v>1.6726031384794426</v>
      </c>
      <c r="D62">
        <f t="shared" si="13"/>
        <v>522.96727315518365</v>
      </c>
      <c r="E62">
        <v>62</v>
      </c>
      <c r="G62">
        <f t="shared" si="14"/>
        <v>1.6726031384794426</v>
      </c>
      <c r="H62">
        <f t="shared" si="15"/>
        <v>766.46724907998851</v>
      </c>
      <c r="I62">
        <v>62</v>
      </c>
      <c r="K62">
        <f t="shared" si="16"/>
        <v>1.113004666260895</v>
      </c>
      <c r="L62">
        <f t="shared" si="17"/>
        <v>259.65363137013867</v>
      </c>
      <c r="M62">
        <v>62</v>
      </c>
      <c r="O62">
        <f t="shared" si="18"/>
        <v>1.113004666260895</v>
      </c>
      <c r="P62">
        <f t="shared" si="19"/>
        <v>585.60293185813885</v>
      </c>
      <c r="Q62">
        <v>62</v>
      </c>
      <c r="S62">
        <f t="shared" si="20"/>
        <v>707.22187946741587</v>
      </c>
      <c r="T62">
        <f t="shared" si="21"/>
        <v>511.28927236096843</v>
      </c>
      <c r="U62">
        <v>62</v>
      </c>
      <c r="W62">
        <f t="shared" si="22"/>
        <v>709.98306987363662</v>
      </c>
      <c r="X62">
        <f t="shared" si="23"/>
        <v>906.32043097995552</v>
      </c>
    </row>
    <row r="63" spans="1:24" x14ac:dyDescent="0.45">
      <c r="A63">
        <v>63</v>
      </c>
      <c r="C63">
        <f t="shared" si="12"/>
        <v>1.7028764984519213</v>
      </c>
      <c r="D63">
        <f t="shared" si="13"/>
        <v>532.48705218127634</v>
      </c>
      <c r="E63">
        <v>63</v>
      </c>
      <c r="G63">
        <f t="shared" si="14"/>
        <v>1.7028764984519213</v>
      </c>
      <c r="H63">
        <f t="shared" si="15"/>
        <v>780.97676947558034</v>
      </c>
      <c r="I63">
        <v>63</v>
      </c>
      <c r="K63">
        <f t="shared" si="16"/>
        <v>1.134104280787168</v>
      </c>
      <c r="L63">
        <f t="shared" si="17"/>
        <v>267.35464170067928</v>
      </c>
      <c r="M63">
        <v>63</v>
      </c>
      <c r="O63">
        <f t="shared" si="18"/>
        <v>1.134104280787168</v>
      </c>
      <c r="P63">
        <f t="shared" si="19"/>
        <v>594.64961506392365</v>
      </c>
      <c r="Q63">
        <v>63</v>
      </c>
      <c r="S63">
        <f t="shared" si="20"/>
        <v>719.58167797903548</v>
      </c>
      <c r="T63">
        <f t="shared" si="21"/>
        <v>521.82709633551815</v>
      </c>
      <c r="U63">
        <v>63</v>
      </c>
      <c r="W63">
        <f t="shared" si="22"/>
        <v>721.99771958447877</v>
      </c>
      <c r="X63">
        <f t="shared" si="23"/>
        <v>920.11149244867863</v>
      </c>
    </row>
    <row r="64" spans="1:24" x14ac:dyDescent="0.45">
      <c r="A64">
        <v>64</v>
      </c>
      <c r="C64">
        <f t="shared" si="12"/>
        <v>1.7331498584243998</v>
      </c>
      <c r="D64">
        <f t="shared" si="13"/>
        <v>541.99277311600622</v>
      </c>
      <c r="E64">
        <v>64</v>
      </c>
      <c r="G64">
        <f t="shared" si="14"/>
        <v>1.7331498584243998</v>
      </c>
      <c r="H64">
        <f t="shared" si="15"/>
        <v>795.50034796253453</v>
      </c>
      <c r="I64">
        <v>64</v>
      </c>
      <c r="K64">
        <f t="shared" si="16"/>
        <v>1.1552038953134407</v>
      </c>
      <c r="L64">
        <f t="shared" si="17"/>
        <v>275.03474033328769</v>
      </c>
      <c r="M64">
        <v>64</v>
      </c>
      <c r="O64">
        <f t="shared" si="18"/>
        <v>1.1552038953134407</v>
      </c>
      <c r="P64">
        <f t="shared" si="19"/>
        <v>603.71720996764043</v>
      </c>
      <c r="Q64">
        <v>64</v>
      </c>
      <c r="S64">
        <f t="shared" si="20"/>
        <v>731.94147649065508</v>
      </c>
      <c r="T64">
        <f t="shared" si="21"/>
        <v>532.33910127932302</v>
      </c>
      <c r="U64">
        <v>64</v>
      </c>
      <c r="W64">
        <f t="shared" si="22"/>
        <v>734.01236929532081</v>
      </c>
      <c r="X64">
        <f t="shared" si="23"/>
        <v>933.92681856117088</v>
      </c>
    </row>
    <row r="65" spans="1:24" x14ac:dyDescent="0.45">
      <c r="A65">
        <v>65</v>
      </c>
      <c r="C65">
        <f t="shared" ref="C65:C70" si="24">-0.174071819841752+(A65-1)*0.0302733599724786</f>
        <v>1.7634232183968785</v>
      </c>
      <c r="D65">
        <f t="shared" ref="D65:D70" si="25">-19.0921354064428+396.872026156483*C65-142.122021344534*(0.166666666666667+(C65-0.527418175219319)^2/2.31215910737692)^0.5</f>
        <v>551.48525445585472</v>
      </c>
      <c r="E65">
        <v>65</v>
      </c>
      <c r="G65">
        <f t="shared" ref="G65:G70" si="26">-0.174071819841752+(E65-1)*0.0302733599724786</f>
        <v>1.7634232183968785</v>
      </c>
      <c r="H65">
        <f t="shared" ref="H65:H70" si="27">-19.0921354064428+396.872026156483*G65+142.122021344534*(0.166666666666667+(G65-0.527418175219319)^2/2.31215910737692)^0.5</f>
        <v>810.03716604437057</v>
      </c>
      <c r="I65">
        <v>65</v>
      </c>
      <c r="K65">
        <f t="shared" ref="K65:K100" si="28">-0.174071819841752+(I65-1)*0.0210996145262729</f>
        <v>1.1763035098397137</v>
      </c>
      <c r="L65">
        <f t="shared" ref="L65:L96" si="29">-19.0921354064428+396.872026156483*K65-142.122021344534*(1.16666666666667+(K65-0.527418175219319)^2/2.31215910737692)^0.5</f>
        <v>282.6941909506956</v>
      </c>
      <c r="M65">
        <v>65</v>
      </c>
      <c r="O65">
        <f t="shared" ref="O65:O100" si="30">-0.174071819841752+(M65-1)*0.0210996145262729</f>
        <v>1.1763035098397137</v>
      </c>
      <c r="P65">
        <f t="shared" ref="P65:P96" si="31">-19.0921354064428+396.872026156483*O65+142.122021344534*(1.16666666666667+(O65-0.527418175219319)^2/2.31215910737692)^0.5</f>
        <v>612.80545288655799</v>
      </c>
      <c r="Q65">
        <v>65</v>
      </c>
      <c r="S65">
        <f t="shared" ref="S65:S70" si="32">-46.7258297413797+(Q65-1)*12.3597985116196</f>
        <v>744.30127500227468</v>
      </c>
      <c r="T65">
        <f t="shared" ref="T65:T70" si="33">0+1*S65-142.122021344534*(1.16666666666667+(S65-190.225384424603)^2/364182.181286594)^0.5</f>
        <v>542.82599757465073</v>
      </c>
      <c r="U65">
        <v>65</v>
      </c>
      <c r="W65">
        <f t="shared" ref="W65:W70" si="34">-22.9105624877314+(U65-1)*12.0146497108421</f>
        <v>746.02701900616296</v>
      </c>
      <c r="X65">
        <f t="shared" ref="X65:X70" si="35">0+1*W65+142.122021344534*(1.16666666666667+(W65-190.225384424603)^2/364182.181286594)^0.5</f>
        <v>947.76575957557884</v>
      </c>
    </row>
    <row r="66" spans="1:24" x14ac:dyDescent="0.45">
      <c r="A66">
        <v>66</v>
      </c>
      <c r="C66">
        <f t="shared" si="24"/>
        <v>1.7936965783693573</v>
      </c>
      <c r="D66">
        <f t="shared" si="25"/>
        <v>560.96525620927844</v>
      </c>
      <c r="E66">
        <v>66</v>
      </c>
      <c r="G66">
        <f t="shared" si="26"/>
        <v>1.7936965783693573</v>
      </c>
      <c r="H66">
        <f t="shared" si="27"/>
        <v>824.58646371263114</v>
      </c>
      <c r="I66">
        <v>66</v>
      </c>
      <c r="K66">
        <f t="shared" si="28"/>
        <v>1.1974031243659866</v>
      </c>
      <c r="L66">
        <f t="shared" si="29"/>
        <v>290.33326047155384</v>
      </c>
      <c r="M66">
        <v>66</v>
      </c>
      <c r="O66">
        <f t="shared" si="30"/>
        <v>1.1974031243659866</v>
      </c>
      <c r="P66">
        <f t="shared" si="31"/>
        <v>621.91407690202504</v>
      </c>
      <c r="Q66">
        <v>66</v>
      </c>
      <c r="S66">
        <f t="shared" si="32"/>
        <v>756.66107351389428</v>
      </c>
      <c r="T66">
        <f t="shared" si="33"/>
        <v>553.28847891324392</v>
      </c>
      <c r="U66">
        <v>66</v>
      </c>
      <c r="W66">
        <f t="shared" si="34"/>
        <v>758.04166871700511</v>
      </c>
      <c r="X66">
        <f t="shared" si="35"/>
        <v>961.62768066842989</v>
      </c>
    </row>
    <row r="67" spans="1:24" x14ac:dyDescent="0.45">
      <c r="A67">
        <v>67</v>
      </c>
      <c r="C67">
        <f t="shared" si="24"/>
        <v>1.8239699383418357</v>
      </c>
      <c r="D67">
        <f t="shared" si="25"/>
        <v>570.43348465736176</v>
      </c>
      <c r="E67">
        <v>67</v>
      </c>
      <c r="G67">
        <f t="shared" si="26"/>
        <v>1.8239699383418357</v>
      </c>
      <c r="H67">
        <f t="shared" si="27"/>
        <v>839.14753468623212</v>
      </c>
      <c r="I67">
        <v>67</v>
      </c>
      <c r="K67">
        <f t="shared" si="28"/>
        <v>1.2185027388922594</v>
      </c>
      <c r="L67">
        <f t="shared" si="29"/>
        <v>297.95221865227427</v>
      </c>
      <c r="M67">
        <v>67</v>
      </c>
      <c r="O67">
        <f t="shared" si="30"/>
        <v>1.2185027388922594</v>
      </c>
      <c r="P67">
        <f t="shared" si="31"/>
        <v>631.04281225762998</v>
      </c>
      <c r="Q67">
        <v>67</v>
      </c>
      <c r="S67">
        <f t="shared" si="32"/>
        <v>769.02087202551388</v>
      </c>
      <c r="T67">
        <f t="shared" si="33"/>
        <v>563.72722222067273</v>
      </c>
      <c r="U67">
        <v>67</v>
      </c>
      <c r="W67">
        <f t="shared" si="34"/>
        <v>770.05631842784715</v>
      </c>
      <c r="X67">
        <f t="shared" si="35"/>
        <v>975.51196199239587</v>
      </c>
    </row>
    <row r="68" spans="1:24" x14ac:dyDescent="0.45">
      <c r="A68">
        <v>68</v>
      </c>
      <c r="C68">
        <f t="shared" si="24"/>
        <v>1.8542432983143144</v>
      </c>
      <c r="D68">
        <f t="shared" si="25"/>
        <v>579.89059670005463</v>
      </c>
      <c r="E68">
        <v>68</v>
      </c>
      <c r="G68">
        <f t="shared" si="26"/>
        <v>1.8542432983143144</v>
      </c>
      <c r="H68">
        <f t="shared" si="27"/>
        <v>853.71972206522355</v>
      </c>
      <c r="I68">
        <v>68</v>
      </c>
      <c r="K68">
        <f t="shared" si="28"/>
        <v>1.2396023534185323</v>
      </c>
      <c r="L68">
        <f t="shared" si="29"/>
        <v>305.55133769832975</v>
      </c>
      <c r="M68">
        <v>68</v>
      </c>
      <c r="O68">
        <f t="shared" si="30"/>
        <v>1.2396023534185323</v>
      </c>
      <c r="P68">
        <f t="shared" si="31"/>
        <v>640.19138674789997</v>
      </c>
      <c r="Q68">
        <v>68</v>
      </c>
      <c r="S68">
        <f t="shared" si="32"/>
        <v>781.38067053713348</v>
      </c>
      <c r="T68">
        <f t="shared" si="33"/>
        <v>574.14288763711602</v>
      </c>
      <c r="U68">
        <v>68</v>
      </c>
      <c r="W68">
        <f t="shared" si="34"/>
        <v>782.0709681386893</v>
      </c>
      <c r="X68">
        <f t="shared" si="35"/>
        <v>989.41799868710518</v>
      </c>
    </row>
    <row r="69" spans="1:24" x14ac:dyDescent="0.45">
      <c r="A69">
        <v>69</v>
      </c>
      <c r="C69">
        <f t="shared" si="24"/>
        <v>1.8845166582867932</v>
      </c>
      <c r="D69">
        <f t="shared" si="25"/>
        <v>589.33720382356694</v>
      </c>
      <c r="E69">
        <v>69</v>
      </c>
      <c r="G69">
        <f t="shared" si="26"/>
        <v>1.8845166582867932</v>
      </c>
      <c r="H69">
        <f t="shared" si="27"/>
        <v>868.30241436339554</v>
      </c>
      <c r="I69">
        <v>69</v>
      </c>
      <c r="K69">
        <f t="shared" si="28"/>
        <v>1.2607019679448053</v>
      </c>
      <c r="L69">
        <f t="shared" si="29"/>
        <v>313.13089188585582</v>
      </c>
      <c r="M69">
        <v>69</v>
      </c>
      <c r="O69">
        <f t="shared" si="30"/>
        <v>1.2607019679448053</v>
      </c>
      <c r="P69">
        <f t="shared" si="31"/>
        <v>649.35952609669926</v>
      </c>
      <c r="Q69">
        <v>69</v>
      </c>
      <c r="S69">
        <f t="shared" si="32"/>
        <v>793.74046904875308</v>
      </c>
      <c r="T69">
        <f t="shared" si="33"/>
        <v>584.53611854913606</v>
      </c>
      <c r="U69">
        <v>69</v>
      </c>
      <c r="W69">
        <f t="shared" si="34"/>
        <v>794.08561784953133</v>
      </c>
      <c r="X69">
        <f t="shared" si="35"/>
        <v>1003.3452008474294</v>
      </c>
    </row>
    <row r="70" spans="1:24" x14ac:dyDescent="0.45">
      <c r="A70">
        <v>70</v>
      </c>
      <c r="C70">
        <f t="shared" si="24"/>
        <v>1.9147900182592714</v>
      </c>
      <c r="D70">
        <f t="shared" si="25"/>
        <v>598.77387572200678</v>
      </c>
      <c r="E70">
        <v>70</v>
      </c>
      <c r="G70">
        <f t="shared" si="26"/>
        <v>1.9147900182592714</v>
      </c>
      <c r="H70">
        <f t="shared" si="27"/>
        <v>882.89504188663977</v>
      </c>
      <c r="I70">
        <v>70</v>
      </c>
      <c r="K70">
        <f t="shared" si="28"/>
        <v>1.2818015824710782</v>
      </c>
      <c r="L70">
        <f t="shared" si="29"/>
        <v>320.69115719429817</v>
      </c>
      <c r="M70">
        <v>70</v>
      </c>
      <c r="O70">
        <f t="shared" si="30"/>
        <v>1.2818015824710782</v>
      </c>
      <c r="P70">
        <f t="shared" si="31"/>
        <v>658.54695432458232</v>
      </c>
      <c r="Q70">
        <v>70</v>
      </c>
      <c r="S70">
        <f t="shared" si="32"/>
        <v>806.10026756037269</v>
      </c>
      <c r="T70">
        <f t="shared" si="33"/>
        <v>594.90754166729596</v>
      </c>
      <c r="U70">
        <v>70</v>
      </c>
      <c r="W70">
        <f t="shared" si="34"/>
        <v>806.10026756037348</v>
      </c>
      <c r="X70">
        <f t="shared" si="35"/>
        <v>1017.2929934534503</v>
      </c>
    </row>
    <row r="71" spans="1:24" x14ac:dyDescent="0.45">
      <c r="I71">
        <v>71</v>
      </c>
      <c r="K71">
        <f t="shared" si="28"/>
        <v>1.302901196997351</v>
      </c>
      <c r="L71">
        <f t="shared" si="29"/>
        <v>328.23241095075628</v>
      </c>
      <c r="M71">
        <v>71</v>
      </c>
      <c r="O71">
        <f t="shared" si="30"/>
        <v>1.302901196997351</v>
      </c>
      <c r="P71">
        <f t="shared" si="31"/>
        <v>667.7533941044494</v>
      </c>
    </row>
    <row r="72" spans="1:24" x14ac:dyDescent="0.45">
      <c r="I72">
        <v>72</v>
      </c>
      <c r="K72">
        <f t="shared" si="28"/>
        <v>1.3240008115236239</v>
      </c>
      <c r="L72">
        <f t="shared" si="29"/>
        <v>335.75493148657853</v>
      </c>
      <c r="M72">
        <v>72</v>
      </c>
      <c r="O72">
        <f t="shared" si="30"/>
        <v>1.3240008115236239</v>
      </c>
      <c r="P72">
        <f t="shared" si="31"/>
        <v>676.97856710495262</v>
      </c>
    </row>
    <row r="73" spans="1:24" x14ac:dyDescent="0.45">
      <c r="I73">
        <v>73</v>
      </c>
      <c r="K73">
        <f t="shared" si="28"/>
        <v>1.3451004260498969</v>
      </c>
      <c r="L73">
        <f t="shared" si="29"/>
        <v>343.25899780667237</v>
      </c>
      <c r="M73">
        <v>73</v>
      </c>
      <c r="O73">
        <f t="shared" si="30"/>
        <v>1.3451004260498969</v>
      </c>
      <c r="P73">
        <f t="shared" si="31"/>
        <v>686.22219432118413</v>
      </c>
    </row>
    <row r="74" spans="1:24" x14ac:dyDescent="0.45">
      <c r="I74">
        <v>74</v>
      </c>
      <c r="K74">
        <f t="shared" si="28"/>
        <v>1.3662000405761698</v>
      </c>
      <c r="L74">
        <f t="shared" si="29"/>
        <v>350.74488927191152</v>
      </c>
      <c r="M74">
        <v>74</v>
      </c>
      <c r="O74">
        <f t="shared" si="30"/>
        <v>1.3662000405761698</v>
      </c>
      <c r="P74">
        <f t="shared" si="31"/>
        <v>695.48399639227046</v>
      </c>
    </row>
    <row r="75" spans="1:24" x14ac:dyDescent="0.45">
      <c r="I75">
        <v>75</v>
      </c>
      <c r="K75">
        <f t="shared" si="28"/>
        <v>1.3872996551024426</v>
      </c>
      <c r="L75">
        <f t="shared" si="29"/>
        <v>358.21288529493035</v>
      </c>
      <c r="M75">
        <v>75</v>
      </c>
      <c r="O75">
        <f t="shared" si="30"/>
        <v>1.3872996551024426</v>
      </c>
      <c r="P75">
        <f t="shared" si="31"/>
        <v>704.76369390557693</v>
      </c>
    </row>
    <row r="76" spans="1:24" x14ac:dyDescent="0.45">
      <c r="I76">
        <v>76</v>
      </c>
      <c r="K76">
        <f t="shared" si="28"/>
        <v>1.4083992696287155</v>
      </c>
      <c r="L76">
        <f t="shared" si="29"/>
        <v>365.66326504952417</v>
      </c>
      <c r="M76">
        <v>76</v>
      </c>
      <c r="O76">
        <f t="shared" si="30"/>
        <v>1.4083992696287155</v>
      </c>
      <c r="P76">
        <f t="shared" si="31"/>
        <v>714.06100768730857</v>
      </c>
    </row>
    <row r="77" spans="1:24" x14ac:dyDescent="0.45">
      <c r="I77">
        <v>77</v>
      </c>
      <c r="K77">
        <f t="shared" si="28"/>
        <v>1.4294988841549885</v>
      </c>
      <c r="L77">
        <f t="shared" si="29"/>
        <v>373.0963071937943</v>
      </c>
      <c r="M77">
        <v>77</v>
      </c>
      <c r="O77">
        <f t="shared" si="30"/>
        <v>1.4294988841549885</v>
      </c>
      <c r="P77">
        <f t="shared" si="31"/>
        <v>723.37565907936391</v>
      </c>
    </row>
    <row r="78" spans="1:24" x14ac:dyDescent="0.45">
      <c r="I78">
        <v>78</v>
      </c>
      <c r="K78">
        <f t="shared" si="28"/>
        <v>1.4505984986812615</v>
      </c>
      <c r="L78">
        <f t="shared" si="29"/>
        <v>380.5122896071091</v>
      </c>
      <c r="M78">
        <v>78</v>
      </c>
      <c r="O78">
        <f t="shared" si="30"/>
        <v>1.4505984986812615</v>
      </c>
      <c r="P78">
        <f t="shared" si="31"/>
        <v>732.70737020237448</v>
      </c>
    </row>
    <row r="79" spans="1:24" x14ac:dyDescent="0.45">
      <c r="I79">
        <v>79</v>
      </c>
      <c r="K79">
        <f t="shared" si="28"/>
        <v>1.4716981132075342</v>
      </c>
      <c r="L79">
        <f t="shared" si="29"/>
        <v>387.91148914088649</v>
      </c>
      <c r="M79">
        <v>79</v>
      </c>
      <c r="O79">
        <f t="shared" si="30"/>
        <v>1.4716981132075342</v>
      </c>
      <c r="P79">
        <f t="shared" si="31"/>
        <v>742.05586420492227</v>
      </c>
    </row>
    <row r="80" spans="1:24" x14ac:dyDescent="0.45">
      <c r="I80">
        <v>80</v>
      </c>
      <c r="K80">
        <f t="shared" si="28"/>
        <v>1.4927977277338071</v>
      </c>
      <c r="L80">
        <f t="shared" si="29"/>
        <v>395.29418138314423</v>
      </c>
      <c r="M80">
        <v>80</v>
      </c>
      <c r="O80">
        <f t="shared" si="30"/>
        <v>1.4927977277338071</v>
      </c>
      <c r="P80">
        <f t="shared" si="31"/>
        <v>751.42086549899</v>
      </c>
    </row>
    <row r="81" spans="9:16" x14ac:dyDescent="0.45">
      <c r="I81">
        <v>81</v>
      </c>
      <c r="K81">
        <f t="shared" si="28"/>
        <v>1.5138973422600801</v>
      </c>
      <c r="L81">
        <f t="shared" si="29"/>
        <v>402.66064043670497</v>
      </c>
      <c r="M81">
        <v>81</v>
      </c>
      <c r="O81">
        <f t="shared" si="30"/>
        <v>1.5138973422600801</v>
      </c>
      <c r="P81">
        <f t="shared" si="31"/>
        <v>760.80209998175462</v>
      </c>
    </row>
    <row r="82" spans="9:16" x14ac:dyDescent="0.45">
      <c r="I82">
        <v>82</v>
      </c>
      <c r="K82">
        <f t="shared" si="28"/>
        <v>1.5349969567863528</v>
      </c>
      <c r="L82">
        <f t="shared" si="29"/>
        <v>410.01113871090035</v>
      </c>
      <c r="M82">
        <v>82</v>
      </c>
      <c r="O82">
        <f t="shared" si="30"/>
        <v>1.5349969567863528</v>
      </c>
      <c r="P82">
        <f t="shared" si="31"/>
        <v>770.19929524388442</v>
      </c>
    </row>
    <row r="83" spans="9:16" x14ac:dyDescent="0.45">
      <c r="I83">
        <v>83</v>
      </c>
      <c r="K83">
        <f t="shared" si="28"/>
        <v>1.5560965713126258</v>
      </c>
      <c r="L83">
        <f t="shared" si="29"/>
        <v>417.3459467265651</v>
      </c>
      <c r="M83">
        <v>83</v>
      </c>
      <c r="O83">
        <f t="shared" si="30"/>
        <v>1.5560965713126258</v>
      </c>
      <c r="P83">
        <f t="shared" si="31"/>
        <v>779.61218076454509</v>
      </c>
    </row>
    <row r="84" spans="9:16" x14ac:dyDescent="0.45">
      <c r="I84">
        <v>84</v>
      </c>
      <c r="K84">
        <f t="shared" si="28"/>
        <v>1.5771961858388988</v>
      </c>
      <c r="L84">
        <f t="shared" si="29"/>
        <v>424.66533293407628</v>
      </c>
      <c r="M84">
        <v>84</v>
      </c>
      <c r="O84">
        <f t="shared" si="30"/>
        <v>1.5771961858388988</v>
      </c>
      <c r="P84">
        <f t="shared" si="31"/>
        <v>789.04048809335927</v>
      </c>
    </row>
    <row r="85" spans="9:16" x14ac:dyDescent="0.45">
      <c r="I85">
        <v>85</v>
      </c>
      <c r="K85">
        <f t="shared" si="28"/>
        <v>1.5982958003651717</v>
      </c>
      <c r="L85">
        <f t="shared" si="29"/>
        <v>431.96956354415653</v>
      </c>
      <c r="M85">
        <v>85</v>
      </c>
      <c r="O85">
        <f t="shared" si="30"/>
        <v>1.5982958003651717</v>
      </c>
      <c r="P85">
        <f t="shared" si="31"/>
        <v>798.48395101960455</v>
      </c>
    </row>
    <row r="86" spans="9:16" x14ac:dyDescent="0.45">
      <c r="I86">
        <v>86</v>
      </c>
      <c r="K86">
        <f t="shared" si="28"/>
        <v>1.6193954148914445</v>
      </c>
      <c r="L86">
        <f t="shared" si="29"/>
        <v>439.25890237112708</v>
      </c>
      <c r="M86">
        <v>86</v>
      </c>
      <c r="O86">
        <f t="shared" si="30"/>
        <v>1.6193954148914445</v>
      </c>
      <c r="P86">
        <f t="shared" si="31"/>
        <v>807.94230572895935</v>
      </c>
    </row>
    <row r="87" spans="9:16" x14ac:dyDescent="0.45">
      <c r="I87">
        <v>87</v>
      </c>
      <c r="K87">
        <f t="shared" si="28"/>
        <v>1.6404950294177174</v>
      </c>
      <c r="L87">
        <f t="shared" si="29"/>
        <v>446.53361068827041</v>
      </c>
      <c r="M87">
        <v>87</v>
      </c>
      <c r="O87">
        <f t="shared" si="30"/>
        <v>1.6404950294177174</v>
      </c>
      <c r="P87">
        <f t="shared" si="31"/>
        <v>817.41529094814143</v>
      </c>
    </row>
    <row r="88" spans="9:16" x14ac:dyDescent="0.45">
      <c r="I88">
        <v>88</v>
      </c>
      <c r="K88">
        <f t="shared" si="28"/>
        <v>1.6615946439439904</v>
      </c>
      <c r="L88">
        <f t="shared" si="29"/>
        <v>453.79394709493909</v>
      </c>
      <c r="M88">
        <v>88</v>
      </c>
      <c r="O88">
        <f t="shared" si="30"/>
        <v>1.6615946439439904</v>
      </c>
      <c r="P88">
        <f t="shared" si="31"/>
        <v>826.90264807779818</v>
      </c>
    </row>
    <row r="89" spans="9:16" x14ac:dyDescent="0.45">
      <c r="I89">
        <v>89</v>
      </c>
      <c r="K89">
        <f t="shared" si="28"/>
        <v>1.6826942584702633</v>
      </c>
      <c r="L89">
        <f t="shared" si="29"/>
        <v>461.04016739502953</v>
      </c>
      <c r="M89">
        <v>89</v>
      </c>
      <c r="O89">
        <f t="shared" si="30"/>
        <v>1.6826942584702633</v>
      </c>
      <c r="P89">
        <f t="shared" si="31"/>
        <v>836.40412131403309</v>
      </c>
    </row>
    <row r="90" spans="9:16" x14ac:dyDescent="0.45">
      <c r="I90">
        <v>90</v>
      </c>
      <c r="K90">
        <f t="shared" si="28"/>
        <v>1.7037938729965361</v>
      </c>
      <c r="L90">
        <f t="shared" si="29"/>
        <v>468.27252448642065</v>
      </c>
      <c r="M90">
        <v>90</v>
      </c>
      <c r="O90">
        <f t="shared" si="30"/>
        <v>1.7037938729965361</v>
      </c>
      <c r="P90">
        <f t="shared" si="31"/>
        <v>845.91945775896716</v>
      </c>
    </row>
    <row r="91" spans="9:16" x14ac:dyDescent="0.45">
      <c r="I91">
        <v>91</v>
      </c>
      <c r="K91">
        <f t="shared" si="28"/>
        <v>1.724893487522809</v>
      </c>
      <c r="L91">
        <f t="shared" si="29"/>
        <v>475.49126826097006</v>
      </c>
      <c r="M91">
        <v>91</v>
      </c>
      <c r="O91">
        <f t="shared" si="30"/>
        <v>1.724893487522809</v>
      </c>
      <c r="P91">
        <f t="shared" si="31"/>
        <v>855.44840752074322</v>
      </c>
    </row>
    <row r="92" spans="9:16" x14ac:dyDescent="0.45">
      <c r="I92">
        <v>92</v>
      </c>
      <c r="K92">
        <f t="shared" si="28"/>
        <v>1.745993102049082</v>
      </c>
      <c r="L92">
        <f t="shared" si="29"/>
        <v>482.69664551464621</v>
      </c>
      <c r="M92">
        <v>92</v>
      </c>
      <c r="O92">
        <f t="shared" si="30"/>
        <v>1.745993102049082</v>
      </c>
      <c r="P92">
        <f t="shared" si="31"/>
        <v>864.99072380339248</v>
      </c>
    </row>
    <row r="93" spans="9:16" x14ac:dyDescent="0.45">
      <c r="I93">
        <v>93</v>
      </c>
      <c r="K93">
        <f t="shared" si="28"/>
        <v>1.7670927165753549</v>
      </c>
      <c r="L93">
        <f t="shared" si="29"/>
        <v>489.88889986737399</v>
      </c>
      <c r="M93">
        <v>93</v>
      </c>
      <c r="O93">
        <f t="shared" si="30"/>
        <v>1.7670927165753549</v>
      </c>
      <c r="P93">
        <f t="shared" si="31"/>
        <v>874.54616298699011</v>
      </c>
    </row>
    <row r="94" spans="9:16" x14ac:dyDescent="0.45">
      <c r="I94">
        <v>94</v>
      </c>
      <c r="K94">
        <f t="shared" si="28"/>
        <v>1.7881923311016277</v>
      </c>
      <c r="L94">
        <f t="shared" si="29"/>
        <v>497.06827169216427</v>
      </c>
      <c r="M94">
        <v>94</v>
      </c>
      <c r="O94">
        <f t="shared" si="30"/>
        <v>1.7881923311016277</v>
      </c>
      <c r="P94">
        <f t="shared" si="31"/>
        <v>884.11448469852508</v>
      </c>
    </row>
    <row r="95" spans="9:16" x14ac:dyDescent="0.45">
      <c r="I95">
        <v>95</v>
      </c>
      <c r="K95">
        <f t="shared" si="28"/>
        <v>1.8092919456279006</v>
      </c>
      <c r="L95">
        <f t="shared" si="29"/>
        <v>504.23499805309882</v>
      </c>
      <c r="M95">
        <v>95</v>
      </c>
      <c r="O95">
        <f t="shared" si="30"/>
        <v>1.8092919456279006</v>
      </c>
      <c r="P95">
        <f t="shared" si="31"/>
        <v>893.69545187391589</v>
      </c>
    </row>
    <row r="96" spans="9:16" x14ac:dyDescent="0.45">
      <c r="I96">
        <v>96</v>
      </c>
      <c r="K96">
        <f t="shared" si="28"/>
        <v>1.8303915601541734</v>
      </c>
      <c r="L96">
        <f t="shared" si="29"/>
        <v>511.38931265174125</v>
      </c>
      <c r="M96">
        <v>96</v>
      </c>
      <c r="O96">
        <f t="shared" si="30"/>
        <v>1.8303915601541734</v>
      </c>
      <c r="P96">
        <f t="shared" si="31"/>
        <v>903.2888308115987</v>
      </c>
    </row>
    <row r="97" spans="9:16" x14ac:dyDescent="0.45">
      <c r="I97">
        <v>97</v>
      </c>
      <c r="K97">
        <f t="shared" si="28"/>
        <v>1.8514911746804463</v>
      </c>
      <c r="L97">
        <f t="shared" ref="L97:L100" si="36">-19.0921354064428+396.872026156483*K97-142.122021344534*(1.16666666666667+(K97-0.527418175219319)^2/2.31215910737692)^0.5</f>
        <v>518.53144578155218</v>
      </c>
      <c r="M97">
        <v>97</v>
      </c>
      <c r="O97">
        <f t="shared" si="30"/>
        <v>1.8514911746804463</v>
      </c>
      <c r="P97">
        <f t="shared" ref="P97:P100" si="37">-19.0921354064428+396.872026156483*O97+142.122021344534*(1.16666666666667+(O97-0.527418175219319)^2/2.31215910737692)^0.5</f>
        <v>912.89439121811336</v>
      </c>
    </row>
    <row r="98" spans="9:16" x14ac:dyDescent="0.45">
      <c r="I98">
        <v>98</v>
      </c>
      <c r="K98">
        <f t="shared" si="28"/>
        <v>1.8725907892067193</v>
      </c>
      <c r="L98">
        <f t="shared" si="36"/>
        <v>525.66162428988514</v>
      </c>
      <c r="M98">
        <v>98</v>
      </c>
      <c r="O98">
        <f t="shared" si="30"/>
        <v>1.8725907892067193</v>
      </c>
      <c r="P98">
        <f t="shared" si="37"/>
        <v>922.51190624610581</v>
      </c>
    </row>
    <row r="99" spans="9:16" x14ac:dyDescent="0.45">
      <c r="I99">
        <v>99</v>
      </c>
      <c r="K99">
        <f t="shared" si="28"/>
        <v>1.8936904037329922</v>
      </c>
      <c r="L99">
        <f t="shared" si="36"/>
        <v>532.78007154715385</v>
      </c>
      <c r="M99">
        <v>99</v>
      </c>
      <c r="O99">
        <f t="shared" si="30"/>
        <v>1.8936904037329922</v>
      </c>
      <c r="P99">
        <f t="shared" si="37"/>
        <v>932.14115252516251</v>
      </c>
    </row>
    <row r="100" spans="9:16" x14ac:dyDescent="0.45">
      <c r="I100">
        <v>100</v>
      </c>
      <c r="K100">
        <f t="shared" si="28"/>
        <v>1.9147900182592652</v>
      </c>
      <c r="L100">
        <f t="shared" si="36"/>
        <v>539.88700742276228</v>
      </c>
      <c r="M100">
        <v>100</v>
      </c>
      <c r="O100">
        <f t="shared" si="30"/>
        <v>1.9147900182592652</v>
      </c>
      <c r="P100">
        <f t="shared" si="37"/>
        <v>941.7819101858795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520B-BFC2-457B-9DC6-FCE6E5139FAA}">
  <sheetPr codeName="Sheet3"/>
  <dimension ref="A1:B7"/>
  <sheetViews>
    <sheetView workbookViewId="0">
      <selection activeCell="G15" sqref="G15"/>
    </sheetView>
  </sheetViews>
  <sheetFormatPr defaultRowHeight="14.25" x14ac:dyDescent="0.45"/>
  <sheetData>
    <row r="1" spans="1:2" x14ac:dyDescent="0.45">
      <c r="A1" t="s">
        <v>5</v>
      </c>
      <c r="B1" t="s">
        <v>36</v>
      </c>
    </row>
    <row r="2" spans="1:2" x14ac:dyDescent="0.45">
      <c r="A2">
        <v>0</v>
      </c>
      <c r="B2">
        <v>0</v>
      </c>
    </row>
    <row r="3" spans="1:2" x14ac:dyDescent="0.45">
      <c r="A3">
        <v>1.998001998002074E-2</v>
      </c>
      <c r="B3">
        <v>12.379092261904761</v>
      </c>
    </row>
    <row r="4" spans="1:2" x14ac:dyDescent="0.45">
      <c r="A4">
        <v>0.14559894109860011</v>
      </c>
      <c r="B4">
        <v>64.371279761904759</v>
      </c>
    </row>
    <row r="5" spans="1:2" x14ac:dyDescent="0.45">
      <c r="A5">
        <v>0.36649214659684182</v>
      </c>
      <c r="B5">
        <v>89.129464285714278</v>
      </c>
    </row>
    <row r="6" spans="1:2" x14ac:dyDescent="0.45">
      <c r="A6">
        <v>0.8917197452229334</v>
      </c>
      <c r="B6">
        <v>259.96093749999994</v>
      </c>
    </row>
    <row r="7" spans="1:2" x14ac:dyDescent="0.45">
      <c r="A7">
        <v>1.7407181984175168</v>
      </c>
      <c r="B7">
        <v>715.51153273809518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FE6B-6F75-4337-8EE7-B3A107DA7115}">
  <sheetPr codeName="XLSTAT_20241030_222601_1_HID"/>
  <dimension ref="A1:X100"/>
  <sheetViews>
    <sheetView workbookViewId="0">
      <selection activeCell="U1" sqref="U1"/>
    </sheetView>
  </sheetViews>
  <sheetFormatPr defaultRowHeight="14.25" x14ac:dyDescent="0.45"/>
  <sheetData>
    <row r="1" spans="1:24" x14ac:dyDescent="0.45">
      <c r="A1">
        <v>1</v>
      </c>
      <c r="C1">
        <f t="shared" ref="C1:C32" si="0">-57.9341517857143+(A1-1)*12.2283902691511</f>
        <v>-57.934151785714299</v>
      </c>
      <c r="D1">
        <f t="shared" ref="D1:D32" si="1">0+0.00256785947097348*C1-0.390325886895382*(0+(C1-0)^2/591777.40749437)^0.5</f>
        <v>-0.17816239341814397</v>
      </c>
      <c r="E1">
        <v>1</v>
      </c>
      <c r="G1">
        <f t="shared" ref="G1:G32" si="2">-57.9341517857143+(E1-1)*12.2283902691511</f>
        <v>-57.934151785714299</v>
      </c>
      <c r="H1">
        <f t="shared" ref="H1:H32" si="3">0+0.00256785947097348*G1+0.390325886895382*(0+(G1-0)^2/591777.40749437)^0.5</f>
        <v>-0.11937112729337926</v>
      </c>
      <c r="I1">
        <v>1</v>
      </c>
      <c r="K1">
        <f t="shared" ref="K1:K32" si="4">-57.9341517857143+(I1-1)*8.52281746031746</f>
        <v>-57.934151785714299</v>
      </c>
      <c r="L1">
        <f t="shared" ref="L1:L32" si="5">0+0.00256785947097348*K1-0.390325886895382*(1+(K1-0)^2/591777.40749437)^0.5</f>
        <v>-0.54019798193089952</v>
      </c>
      <c r="M1">
        <v>1</v>
      </c>
      <c r="O1">
        <f t="shared" ref="O1:O32" si="6">-57.9341517857143+(M1-1)*8.52281746031746</f>
        <v>-57.934151785714299</v>
      </c>
      <c r="P1">
        <f t="shared" ref="P1:P32" si="7">0+0.00256785947097348*O1+0.390325886895382*(1+(O1-0)^2/591777.40749437)^0.5</f>
        <v>0.24266446121937632</v>
      </c>
      <c r="Q1">
        <v>1</v>
      </c>
      <c r="S1">
        <f t="shared" ref="S1:S32" si="8">-0.0404340425582326+(Q1-1)*0.0325396191547385</f>
        <v>-4.0434042558232602E-2</v>
      </c>
      <c r="T1">
        <f t="shared" ref="T1:T32" si="9">0+1*S1-0.390325886895382*(1+(S1-0)^2/4.18699026402996)^0.5</f>
        <v>-0.4308361281159222</v>
      </c>
      <c r="U1">
        <v>1</v>
      </c>
      <c r="W1">
        <f t="shared" ref="W1:W32" si="10">0.0254302154454293+(U1-1)*0.0315850646909173</f>
        <v>2.54302154454293E-2</v>
      </c>
      <c r="X1">
        <f t="shared" ref="X1:X32" si="11">0+1*W1+0.390325886895382*(1+(W1-0)^2/4.18699026402996)^0.5</f>
        <v>0.41578624480259485</v>
      </c>
    </row>
    <row r="2" spans="1:24" x14ac:dyDescent="0.45">
      <c r="A2">
        <v>2</v>
      </c>
      <c r="C2">
        <f t="shared" si="0"/>
        <v>-45.7057615165632</v>
      </c>
      <c r="D2">
        <f t="shared" si="1"/>
        <v>-0.14055695326150872</v>
      </c>
      <c r="E2">
        <v>2</v>
      </c>
      <c r="G2">
        <f t="shared" si="2"/>
        <v>-45.7057615165632</v>
      </c>
      <c r="H2">
        <f t="shared" si="3"/>
        <v>-9.4174991915215306E-2</v>
      </c>
      <c r="I2">
        <v>2</v>
      </c>
      <c r="K2">
        <f t="shared" si="4"/>
        <v>-49.411334325396837</v>
      </c>
      <c r="L2">
        <f t="shared" si="5"/>
        <v>-0.51801159939866048</v>
      </c>
      <c r="M2">
        <v>2</v>
      </c>
      <c r="O2">
        <f t="shared" si="6"/>
        <v>-49.411334325396837</v>
      </c>
      <c r="P2">
        <f t="shared" si="7"/>
        <v>0.26424887375684591</v>
      </c>
      <c r="Q2">
        <v>2</v>
      </c>
      <c r="S2">
        <f t="shared" si="8"/>
        <v>-7.8944234034941038E-3</v>
      </c>
      <c r="T2">
        <f t="shared" si="9"/>
        <v>-0.39822321522186188</v>
      </c>
      <c r="U2">
        <v>2</v>
      </c>
      <c r="W2">
        <f t="shared" si="10"/>
        <v>5.7015280136346602E-2</v>
      </c>
      <c r="X2">
        <f t="shared" si="11"/>
        <v>0.44749266041420704</v>
      </c>
    </row>
    <row r="3" spans="1:24" x14ac:dyDescent="0.45">
      <c r="A3">
        <v>3</v>
      </c>
      <c r="C3">
        <f t="shared" si="0"/>
        <v>-33.477371247412094</v>
      </c>
      <c r="D3">
        <f t="shared" si="1"/>
        <v>-0.10295151310487347</v>
      </c>
      <c r="E3">
        <v>3</v>
      </c>
      <c r="G3">
        <f t="shared" si="2"/>
        <v>-33.477371247412094</v>
      </c>
      <c r="H3">
        <f t="shared" si="3"/>
        <v>-6.8978856537051353E-2</v>
      </c>
      <c r="I3">
        <v>3</v>
      </c>
      <c r="K3">
        <f t="shared" si="4"/>
        <v>-40.888516865079382</v>
      </c>
      <c r="L3">
        <f t="shared" si="5"/>
        <v>-0.49587283147764649</v>
      </c>
      <c r="M3">
        <v>3</v>
      </c>
      <c r="O3">
        <f t="shared" si="6"/>
        <v>-40.888516865079382</v>
      </c>
      <c r="P3">
        <f t="shared" si="7"/>
        <v>0.28588090090554064</v>
      </c>
      <c r="Q3">
        <v>3</v>
      </c>
      <c r="S3">
        <f t="shared" si="8"/>
        <v>2.4645195751244395E-2</v>
      </c>
      <c r="T3">
        <f t="shared" si="9"/>
        <v>-0.36570900142664059</v>
      </c>
      <c r="U3">
        <v>3</v>
      </c>
      <c r="W3">
        <f t="shared" si="10"/>
        <v>8.8600344827263894E-2</v>
      </c>
      <c r="X3">
        <f t="shared" si="11"/>
        <v>0.47929196360007809</v>
      </c>
    </row>
    <row r="4" spans="1:24" x14ac:dyDescent="0.45">
      <c r="A4">
        <v>4</v>
      </c>
      <c r="C4">
        <f t="shared" si="0"/>
        <v>-21.248980978260995</v>
      </c>
      <c r="D4">
        <f t="shared" si="1"/>
        <v>-6.5346072948238229E-2</v>
      </c>
      <c r="E4">
        <v>4</v>
      </c>
      <c r="G4">
        <f t="shared" si="2"/>
        <v>-21.248980978260995</v>
      </c>
      <c r="H4">
        <f t="shared" si="3"/>
        <v>-4.37827211588874E-2</v>
      </c>
      <c r="I4">
        <v>4</v>
      </c>
      <c r="K4">
        <f t="shared" si="4"/>
        <v>-32.365699404761919</v>
      </c>
      <c r="L4">
        <f t="shared" si="5"/>
        <v>-0.47378177080944811</v>
      </c>
      <c r="M4">
        <v>4</v>
      </c>
      <c r="O4">
        <f t="shared" si="6"/>
        <v>-32.365699404761919</v>
      </c>
      <c r="P4">
        <f t="shared" si="7"/>
        <v>0.30756063530705086</v>
      </c>
      <c r="Q4">
        <v>4</v>
      </c>
      <c r="S4">
        <f t="shared" si="8"/>
        <v>5.71848149059829E-2</v>
      </c>
      <c r="T4">
        <f t="shared" si="9"/>
        <v>-0.3332934674655299</v>
      </c>
      <c r="U4">
        <v>4</v>
      </c>
      <c r="W4">
        <f t="shared" si="10"/>
        <v>0.1201854095181812</v>
      </c>
      <c r="X4">
        <f t="shared" si="11"/>
        <v>0.51118400167354394</v>
      </c>
    </row>
    <row r="5" spans="1:24" x14ac:dyDescent="0.45">
      <c r="A5">
        <v>5</v>
      </c>
      <c r="C5">
        <f t="shared" si="0"/>
        <v>-9.0205907091098965</v>
      </c>
      <c r="D5">
        <f t="shared" si="1"/>
        <v>-2.7740632791603E-2</v>
      </c>
      <c r="E5">
        <v>5</v>
      </c>
      <c r="G5">
        <f t="shared" si="2"/>
        <v>-9.0205907091098965</v>
      </c>
      <c r="H5">
        <f t="shared" si="3"/>
        <v>-1.8586585780723454E-2</v>
      </c>
      <c r="I5">
        <v>5</v>
      </c>
      <c r="K5">
        <f t="shared" si="4"/>
        <v>-23.842881944444457</v>
      </c>
      <c r="L5">
        <f t="shared" si="5"/>
        <v>-0.45173849276888728</v>
      </c>
      <c r="M5">
        <v>5</v>
      </c>
      <c r="O5">
        <f t="shared" si="6"/>
        <v>-23.842881944444457</v>
      </c>
      <c r="P5">
        <f t="shared" si="7"/>
        <v>0.32928815233619874</v>
      </c>
      <c r="Q5">
        <v>5</v>
      </c>
      <c r="S5">
        <f t="shared" si="8"/>
        <v>8.9724434060721392E-2</v>
      </c>
      <c r="T5">
        <f t="shared" si="9"/>
        <v>-0.3009765193174781</v>
      </c>
      <c r="U5">
        <v>5</v>
      </c>
      <c r="W5">
        <f t="shared" si="10"/>
        <v>0.1517704742090985</v>
      </c>
      <c r="X5">
        <f t="shared" si="11"/>
        <v>0.5431685564388431</v>
      </c>
    </row>
    <row r="6" spans="1:24" x14ac:dyDescent="0.45">
      <c r="A6">
        <v>6</v>
      </c>
      <c r="C6">
        <f t="shared" si="0"/>
        <v>3.2077995600412024</v>
      </c>
      <c r="D6">
        <f t="shared" si="1"/>
        <v>6.6095495974404922E-3</v>
      </c>
      <c r="E6">
        <v>6</v>
      </c>
      <c r="G6">
        <f t="shared" si="2"/>
        <v>3.2077995600412024</v>
      </c>
      <c r="H6">
        <f t="shared" si="3"/>
        <v>9.8648073650322333E-3</v>
      </c>
      <c r="I6">
        <v>6</v>
      </c>
      <c r="K6">
        <f t="shared" si="4"/>
        <v>-15.320064484126995</v>
      </c>
      <c r="L6">
        <f t="shared" si="5"/>
        <v>-0.42974305532637269</v>
      </c>
      <c r="M6">
        <v>6</v>
      </c>
      <c r="O6">
        <f t="shared" si="6"/>
        <v>-15.320064484126995</v>
      </c>
      <c r="P6">
        <f t="shared" si="7"/>
        <v>0.35106350996339286</v>
      </c>
      <c r="Q6">
        <v>6</v>
      </c>
      <c r="S6">
        <f t="shared" si="8"/>
        <v>0.12226405321545988</v>
      </c>
      <c r="T6">
        <f t="shared" si="9"/>
        <v>-0.26875798856079658</v>
      </c>
      <c r="U6">
        <v>6</v>
      </c>
      <c r="W6">
        <f t="shared" si="10"/>
        <v>0.1833555389000158</v>
      </c>
      <c r="X6">
        <f t="shared" si="11"/>
        <v>0.57524534496322643</v>
      </c>
    </row>
    <row r="7" spans="1:24" x14ac:dyDescent="0.45">
      <c r="A7">
        <v>7</v>
      </c>
      <c r="C7">
        <f t="shared" si="0"/>
        <v>15.436189829192308</v>
      </c>
      <c r="D7">
        <f t="shared" si="1"/>
        <v>3.1805684975604452E-2</v>
      </c>
      <c r="E7">
        <v>7</v>
      </c>
      <c r="G7">
        <f t="shared" si="2"/>
        <v>15.436189829192308</v>
      </c>
      <c r="H7">
        <f t="shared" si="3"/>
        <v>4.7470247521667487E-2</v>
      </c>
      <c r="I7">
        <v>7</v>
      </c>
      <c r="K7">
        <f t="shared" si="4"/>
        <v>-6.7972470238095397</v>
      </c>
      <c r="L7">
        <f t="shared" si="5"/>
        <v>-0.40779549894170974</v>
      </c>
      <c r="M7">
        <v>7</v>
      </c>
      <c r="O7">
        <f t="shared" si="6"/>
        <v>-6.7972470238095397</v>
      </c>
      <c r="P7">
        <f t="shared" si="7"/>
        <v>0.37288674864843852</v>
      </c>
      <c r="Q7">
        <v>7</v>
      </c>
      <c r="S7">
        <f t="shared" si="8"/>
        <v>0.1548036723701984</v>
      </c>
      <c r="T7">
        <f t="shared" si="9"/>
        <v>-0.23663763300842702</v>
      </c>
      <c r="U7">
        <v>7</v>
      </c>
      <c r="W7">
        <f t="shared" si="10"/>
        <v>0.21494060359093312</v>
      </c>
      <c r="X7">
        <f t="shared" si="11"/>
        <v>0.60741402057212479</v>
      </c>
    </row>
    <row r="8" spans="1:24" x14ac:dyDescent="0.45">
      <c r="A8">
        <v>8</v>
      </c>
      <c r="C8">
        <f t="shared" si="0"/>
        <v>27.6645800983434</v>
      </c>
      <c r="D8">
        <f t="shared" si="1"/>
        <v>5.7001820353768384E-2</v>
      </c>
      <c r="E8">
        <v>8</v>
      </c>
      <c r="G8">
        <f t="shared" si="2"/>
        <v>27.6645800983434</v>
      </c>
      <c r="H8">
        <f t="shared" si="3"/>
        <v>8.5075687678302703E-2</v>
      </c>
      <c r="I8">
        <v>8</v>
      </c>
      <c r="K8">
        <f t="shared" si="4"/>
        <v>1.7255704365079225</v>
      </c>
      <c r="L8">
        <f t="shared" si="5"/>
        <v>-0.38589584648981518</v>
      </c>
      <c r="M8">
        <v>8</v>
      </c>
      <c r="O8">
        <f t="shared" si="6"/>
        <v>1.7255704365079225</v>
      </c>
      <c r="P8">
        <f t="shared" si="7"/>
        <v>0.39475789126625255</v>
      </c>
      <c r="Q8">
        <v>8</v>
      </c>
      <c r="S8">
        <f t="shared" si="8"/>
        <v>0.18734329152493689</v>
      </c>
      <c r="T8">
        <f t="shared" si="9"/>
        <v>-0.20461513761721511</v>
      </c>
      <c r="U8">
        <v>8</v>
      </c>
      <c r="W8">
        <f t="shared" si="10"/>
        <v>0.24652566828185041</v>
      </c>
      <c r="X8">
        <f t="shared" si="11"/>
        <v>0.63967417405926819</v>
      </c>
    </row>
    <row r="9" spans="1:24" x14ac:dyDescent="0.45">
      <c r="A9">
        <v>9</v>
      </c>
      <c r="C9">
        <f t="shared" si="0"/>
        <v>39.892970367494506</v>
      </c>
      <c r="D9">
        <f t="shared" si="1"/>
        <v>8.2197955731932337E-2</v>
      </c>
      <c r="E9">
        <v>9</v>
      </c>
      <c r="G9">
        <f t="shared" si="2"/>
        <v>39.892970367494506</v>
      </c>
      <c r="H9">
        <f t="shared" si="3"/>
        <v>0.12268112783493795</v>
      </c>
      <c r="I9">
        <v>9</v>
      </c>
      <c r="K9">
        <f t="shared" si="4"/>
        <v>10.248387896825385</v>
      </c>
      <c r="L9">
        <f t="shared" si="5"/>
        <v>-0.36404410321865766</v>
      </c>
      <c r="M9">
        <v>9</v>
      </c>
      <c r="O9">
        <f t="shared" si="6"/>
        <v>10.248387896825385</v>
      </c>
      <c r="P9">
        <f t="shared" si="7"/>
        <v>0.41667694306480374</v>
      </c>
      <c r="Q9">
        <v>9</v>
      </c>
      <c r="S9">
        <f t="shared" si="8"/>
        <v>0.21988291067967539</v>
      </c>
      <c r="T9">
        <f t="shared" si="9"/>
        <v>-0.17269011566326611</v>
      </c>
      <c r="U9">
        <v>9</v>
      </c>
      <c r="W9">
        <f t="shared" si="10"/>
        <v>0.27811073297276767</v>
      </c>
      <c r="X9">
        <f t="shared" si="11"/>
        <v>0.67202533510200202</v>
      </c>
    </row>
    <row r="10" spans="1:24" x14ac:dyDescent="0.45">
      <c r="A10">
        <v>10</v>
      </c>
      <c r="C10">
        <f t="shared" si="0"/>
        <v>52.121360636645612</v>
      </c>
      <c r="D10">
        <f t="shared" si="1"/>
        <v>0.10739409111009629</v>
      </c>
      <c r="E10">
        <v>10</v>
      </c>
      <c r="G10">
        <f t="shared" si="2"/>
        <v>52.121360636645612</v>
      </c>
      <c r="H10">
        <f t="shared" si="3"/>
        <v>0.1602865679915732</v>
      </c>
      <c r="I10">
        <v>10</v>
      </c>
      <c r="K10">
        <f t="shared" si="4"/>
        <v>18.77120535714284</v>
      </c>
      <c r="L10">
        <f t="shared" si="5"/>
        <v>-0.34224025673960184</v>
      </c>
      <c r="M10">
        <v>10</v>
      </c>
      <c r="O10">
        <f t="shared" si="6"/>
        <v>18.77120535714284</v>
      </c>
      <c r="P10">
        <f t="shared" si="7"/>
        <v>0.43864389165545653</v>
      </c>
      <c r="Q10">
        <v>10</v>
      </c>
      <c r="S10">
        <f t="shared" si="8"/>
        <v>0.25242252983441393</v>
      </c>
      <c r="T10">
        <f t="shared" si="9"/>
        <v>-0.14086211017322697</v>
      </c>
      <c r="U10">
        <v>10</v>
      </c>
      <c r="W10">
        <f t="shared" si="10"/>
        <v>0.30969579766368499</v>
      </c>
      <c r="X10">
        <f t="shared" si="11"/>
        <v>0.70446697387053803</v>
      </c>
    </row>
    <row r="11" spans="1:24" x14ac:dyDescent="0.45">
      <c r="A11">
        <v>11</v>
      </c>
      <c r="C11">
        <f t="shared" si="0"/>
        <v>64.349750905796697</v>
      </c>
      <c r="D11">
        <f t="shared" si="1"/>
        <v>0.13259022648826024</v>
      </c>
      <c r="E11">
        <v>11</v>
      </c>
      <c r="G11">
        <f t="shared" si="2"/>
        <v>64.349750905796697</v>
      </c>
      <c r="H11">
        <f t="shared" si="3"/>
        <v>0.1978920081482084</v>
      </c>
      <c r="I11">
        <v>11</v>
      </c>
      <c r="K11">
        <f t="shared" si="4"/>
        <v>27.294022817460309</v>
      </c>
      <c r="L11">
        <f t="shared" si="5"/>
        <v>-0.32048427705019811</v>
      </c>
      <c r="M11">
        <v>11</v>
      </c>
      <c r="O11">
        <f t="shared" si="6"/>
        <v>27.294022817460309</v>
      </c>
      <c r="P11">
        <f t="shared" si="7"/>
        <v>0.46065870703576151</v>
      </c>
      <c r="Q11">
        <v>11</v>
      </c>
      <c r="S11">
        <f t="shared" si="8"/>
        <v>0.2849621489891524</v>
      </c>
      <c r="T11">
        <f t="shared" si="9"/>
        <v>-0.10913059559926908</v>
      </c>
      <c r="U11">
        <v>11</v>
      </c>
      <c r="W11">
        <f t="shared" si="10"/>
        <v>0.34128086235460225</v>
      </c>
      <c r="X11">
        <f t="shared" si="11"/>
        <v>0.73699850281853707</v>
      </c>
    </row>
    <row r="12" spans="1:24" x14ac:dyDescent="0.45">
      <c r="A12">
        <v>12</v>
      </c>
      <c r="C12">
        <f t="shared" si="0"/>
        <v>76.578141174947802</v>
      </c>
      <c r="D12">
        <f t="shared" si="1"/>
        <v>0.1577863618664242</v>
      </c>
      <c r="E12">
        <v>12</v>
      </c>
      <c r="G12">
        <f t="shared" si="2"/>
        <v>76.578141174947802</v>
      </c>
      <c r="H12">
        <f t="shared" si="3"/>
        <v>0.23549744830484365</v>
      </c>
      <c r="I12">
        <v>12</v>
      </c>
      <c r="K12">
        <f t="shared" si="4"/>
        <v>35.816840277777764</v>
      </c>
      <c r="L12">
        <f t="shared" si="5"/>
        <v>-0.29877611658932124</v>
      </c>
      <c r="M12">
        <v>12</v>
      </c>
      <c r="O12">
        <f t="shared" si="6"/>
        <v>35.816840277777764</v>
      </c>
      <c r="P12">
        <f t="shared" si="7"/>
        <v>0.48272134164459335</v>
      </c>
      <c r="Q12">
        <v>12</v>
      </c>
      <c r="S12">
        <f t="shared" si="8"/>
        <v>0.31750176814389086</v>
      </c>
      <c r="T12">
        <f t="shared" si="9"/>
        <v>-7.7494979723659652E-2</v>
      </c>
      <c r="U12">
        <v>12</v>
      </c>
      <c r="W12">
        <f t="shared" si="10"/>
        <v>0.37286592704551957</v>
      </c>
      <c r="X12">
        <f t="shared" si="11"/>
        <v>0.76961927864124102</v>
      </c>
    </row>
    <row r="13" spans="1:24" x14ac:dyDescent="0.45">
      <c r="A13">
        <v>13</v>
      </c>
      <c r="C13">
        <f t="shared" si="0"/>
        <v>88.806531444098908</v>
      </c>
      <c r="D13">
        <f t="shared" si="1"/>
        <v>0.18298249724458815</v>
      </c>
      <c r="E13">
        <v>13</v>
      </c>
      <c r="G13">
        <f t="shared" si="2"/>
        <v>88.806531444098908</v>
      </c>
      <c r="H13">
        <f t="shared" si="3"/>
        <v>0.2731028884614789</v>
      </c>
      <c r="I13">
        <v>13</v>
      </c>
      <c r="K13">
        <f t="shared" si="4"/>
        <v>44.339657738095219</v>
      </c>
      <c r="L13">
        <f t="shared" si="5"/>
        <v>-0.27711571032442067</v>
      </c>
      <c r="M13">
        <v>13</v>
      </c>
      <c r="O13">
        <f t="shared" si="6"/>
        <v>44.339657738095219</v>
      </c>
      <c r="P13">
        <f t="shared" si="7"/>
        <v>0.50483173044940144</v>
      </c>
      <c r="Q13">
        <v>13</v>
      </c>
      <c r="S13">
        <f t="shared" si="8"/>
        <v>0.35004138729862944</v>
      </c>
      <c r="T13">
        <f t="shared" si="9"/>
        <v>-4.5954605777132729E-2</v>
      </c>
      <c r="U13">
        <v>13</v>
      </c>
      <c r="W13">
        <f t="shared" si="10"/>
        <v>0.40445099173643689</v>
      </c>
      <c r="X13">
        <f t="shared" si="11"/>
        <v>0.80232860438638887</v>
      </c>
    </row>
    <row r="14" spans="1:24" x14ac:dyDescent="0.45">
      <c r="A14">
        <v>14</v>
      </c>
      <c r="C14">
        <f t="shared" si="0"/>
        <v>101.03492171325001</v>
      </c>
      <c r="D14">
        <f t="shared" si="1"/>
        <v>0.20817863262275213</v>
      </c>
      <c r="E14">
        <v>14</v>
      </c>
      <c r="G14">
        <f t="shared" si="2"/>
        <v>101.03492171325001</v>
      </c>
      <c r="H14">
        <f t="shared" si="3"/>
        <v>0.3107083286181142</v>
      </c>
      <c r="I14">
        <v>14</v>
      </c>
      <c r="K14">
        <f t="shared" si="4"/>
        <v>52.862475198412689</v>
      </c>
      <c r="L14">
        <f t="shared" si="5"/>
        <v>-0.25550297587050924</v>
      </c>
      <c r="M14">
        <v>14</v>
      </c>
      <c r="O14">
        <f t="shared" si="6"/>
        <v>52.862475198412689</v>
      </c>
      <c r="P14">
        <f t="shared" si="7"/>
        <v>0.52698979106519861</v>
      </c>
      <c r="Q14">
        <v>14</v>
      </c>
      <c r="S14">
        <f t="shared" si="8"/>
        <v>0.3825810064533679</v>
      </c>
      <c r="T14">
        <f t="shared" si="9"/>
        <v>-1.4508754753828568E-2</v>
      </c>
      <c r="U14">
        <v>14</v>
      </c>
      <c r="W14">
        <f t="shared" si="10"/>
        <v>0.43603605642735416</v>
      </c>
      <c r="X14">
        <f t="shared" si="11"/>
        <v>0.83512573170235371</v>
      </c>
    </row>
    <row r="15" spans="1:24" x14ac:dyDescent="0.45">
      <c r="A15">
        <v>15</v>
      </c>
      <c r="C15">
        <f t="shared" si="0"/>
        <v>113.26331198240109</v>
      </c>
      <c r="D15">
        <f t="shared" si="1"/>
        <v>0.233374768000916</v>
      </c>
      <c r="E15">
        <v>15</v>
      </c>
      <c r="G15">
        <f t="shared" si="2"/>
        <v>113.26331198240109</v>
      </c>
      <c r="H15">
        <f t="shared" si="3"/>
        <v>0.34831376877474934</v>
      </c>
      <c r="I15">
        <v>15</v>
      </c>
      <c r="K15">
        <f t="shared" si="4"/>
        <v>61.385292658730144</v>
      </c>
      <c r="L15">
        <f t="shared" si="5"/>
        <v>-0.23393781364038602</v>
      </c>
      <c r="M15">
        <v>15</v>
      </c>
      <c r="O15">
        <f t="shared" si="6"/>
        <v>61.385292658730144</v>
      </c>
      <c r="P15">
        <f t="shared" si="7"/>
        <v>0.54919542390478404</v>
      </c>
      <c r="Q15">
        <v>15</v>
      </c>
      <c r="S15">
        <f t="shared" si="8"/>
        <v>0.41512062560810636</v>
      </c>
      <c r="T15">
        <f t="shared" si="9"/>
        <v>1.6843352095633979E-2</v>
      </c>
      <c r="U15">
        <v>15</v>
      </c>
      <c r="W15">
        <f t="shared" si="10"/>
        <v>0.46762112111827148</v>
      </c>
      <c r="X15">
        <f t="shared" si="11"/>
        <v>0.86800986320735263</v>
      </c>
    </row>
    <row r="16" spans="1:24" x14ac:dyDescent="0.45">
      <c r="A16">
        <v>16</v>
      </c>
      <c r="C16">
        <f t="shared" si="0"/>
        <v>125.4917022515522</v>
      </c>
      <c r="D16">
        <f t="shared" si="1"/>
        <v>0.25857090337908001</v>
      </c>
      <c r="E16">
        <v>16</v>
      </c>
      <c r="G16">
        <f t="shared" si="2"/>
        <v>125.4917022515522</v>
      </c>
      <c r="H16">
        <f t="shared" si="3"/>
        <v>0.38591920893138459</v>
      </c>
      <c r="I16">
        <v>16</v>
      </c>
      <c r="K16">
        <f t="shared" si="4"/>
        <v>69.90811011904762</v>
      </c>
      <c r="L16">
        <f t="shared" si="5"/>
        <v>-0.21242010702545391</v>
      </c>
      <c r="M16">
        <v>16</v>
      </c>
      <c r="O16">
        <f t="shared" si="6"/>
        <v>69.90811011904762</v>
      </c>
      <c r="P16">
        <f t="shared" si="7"/>
        <v>0.57144851235956073</v>
      </c>
      <c r="Q16">
        <v>16</v>
      </c>
      <c r="S16">
        <f t="shared" si="8"/>
        <v>0.44766024476284483</v>
      </c>
      <c r="T16">
        <f t="shared" si="9"/>
        <v>4.8102550612324824E-2</v>
      </c>
      <c r="U16">
        <v>16</v>
      </c>
      <c r="W16">
        <f t="shared" si="10"/>
        <v>0.49920618580918874</v>
      </c>
      <c r="X16">
        <f t="shared" si="11"/>
        <v>0.90098015496316641</v>
      </c>
    </row>
    <row r="17" spans="1:24" x14ac:dyDescent="0.45">
      <c r="A17">
        <v>17</v>
      </c>
      <c r="C17">
        <f t="shared" si="0"/>
        <v>137.7200925207033</v>
      </c>
      <c r="D17">
        <f t="shared" si="1"/>
        <v>0.28376703875724391</v>
      </c>
      <c r="E17">
        <v>17</v>
      </c>
      <c r="G17">
        <f t="shared" si="2"/>
        <v>137.7200925207033</v>
      </c>
      <c r="H17">
        <f t="shared" si="3"/>
        <v>0.42352464908801984</v>
      </c>
      <c r="I17">
        <v>17</v>
      </c>
      <c r="K17">
        <f t="shared" si="4"/>
        <v>78.430927579365061</v>
      </c>
      <c r="L17">
        <f t="shared" si="5"/>
        <v>-0.19094972260637355</v>
      </c>
      <c r="M17">
        <v>17</v>
      </c>
      <c r="O17">
        <f t="shared" si="6"/>
        <v>78.430927579365061</v>
      </c>
      <c r="P17">
        <f t="shared" si="7"/>
        <v>0.59374892301018889</v>
      </c>
      <c r="Q17">
        <v>17</v>
      </c>
      <c r="S17">
        <f t="shared" si="8"/>
        <v>0.4801998639175834</v>
      </c>
      <c r="T17">
        <f t="shared" si="9"/>
        <v>7.9269730938477279E-2</v>
      </c>
      <c r="U17">
        <v>17</v>
      </c>
      <c r="W17">
        <f t="shared" si="10"/>
        <v>0.53079125050010612</v>
      </c>
      <c r="X17">
        <f t="shared" si="11"/>
        <v>0.93403571903662386</v>
      </c>
    </row>
    <row r="18" spans="1:24" x14ac:dyDescent="0.45">
      <c r="A18">
        <v>18</v>
      </c>
      <c r="C18">
        <f t="shared" si="0"/>
        <v>149.94848278985441</v>
      </c>
      <c r="D18">
        <f t="shared" si="1"/>
        <v>0.30896317413540791</v>
      </c>
      <c r="E18">
        <v>18</v>
      </c>
      <c r="G18">
        <f t="shared" si="2"/>
        <v>149.94848278985441</v>
      </c>
      <c r="H18">
        <f t="shared" si="3"/>
        <v>0.46113008924465509</v>
      </c>
      <c r="I18">
        <v>18</v>
      </c>
      <c r="K18">
        <f t="shared" si="4"/>
        <v>86.953745039682531</v>
      </c>
      <c r="L18">
        <f t="shared" si="5"/>
        <v>-0.16952651039266986</v>
      </c>
      <c r="M18">
        <v>18</v>
      </c>
      <c r="O18">
        <f t="shared" si="6"/>
        <v>86.953745039682531</v>
      </c>
      <c r="P18">
        <f t="shared" si="7"/>
        <v>0.61609650586619391</v>
      </c>
      <c r="Q18">
        <v>18</v>
      </c>
      <c r="S18">
        <f t="shared" si="8"/>
        <v>0.51273948307232187</v>
      </c>
      <c r="T18">
        <f t="shared" si="9"/>
        <v>0.11034583460875796</v>
      </c>
      <c r="U18">
        <v>18</v>
      </c>
      <c r="W18">
        <f t="shared" si="10"/>
        <v>0.56237631519102338</v>
      </c>
      <c r="X18">
        <f t="shared" si="11"/>
        <v>0.96717562613207297</v>
      </c>
    </row>
    <row r="19" spans="1:24" x14ac:dyDescent="0.45">
      <c r="A19">
        <v>19</v>
      </c>
      <c r="C19">
        <f t="shared" si="0"/>
        <v>162.17687305900552</v>
      </c>
      <c r="D19">
        <f t="shared" si="1"/>
        <v>0.33415930951357181</v>
      </c>
      <c r="E19">
        <v>19</v>
      </c>
      <c r="G19">
        <f t="shared" si="2"/>
        <v>162.17687305900552</v>
      </c>
      <c r="H19">
        <f t="shared" si="3"/>
        <v>0.49873552940129035</v>
      </c>
      <c r="I19">
        <v>19</v>
      </c>
      <c r="K19">
        <f t="shared" si="4"/>
        <v>95.476562499999972</v>
      </c>
      <c r="L19">
        <f t="shared" si="5"/>
        <v>-0.14815030409030133</v>
      </c>
      <c r="M19">
        <v>19</v>
      </c>
      <c r="O19">
        <f t="shared" si="6"/>
        <v>95.476562499999972</v>
      </c>
      <c r="P19">
        <f t="shared" si="7"/>
        <v>0.63849109463353404</v>
      </c>
      <c r="Q19">
        <v>19</v>
      </c>
      <c r="S19">
        <f t="shared" si="8"/>
        <v>0.54527910222706044</v>
      </c>
      <c r="T19">
        <f t="shared" si="9"/>
        <v>0.14133185154399908</v>
      </c>
      <c r="U19">
        <v>19</v>
      </c>
      <c r="W19">
        <f t="shared" si="10"/>
        <v>0.59396137988194075</v>
      </c>
      <c r="X19">
        <f t="shared" si="11"/>
        <v>1.0003989082782381</v>
      </c>
    </row>
    <row r="20" spans="1:24" x14ac:dyDescent="0.45">
      <c r="A20">
        <v>20</v>
      </c>
      <c r="C20">
        <f t="shared" si="0"/>
        <v>174.40526332815659</v>
      </c>
      <c r="D20">
        <f t="shared" si="1"/>
        <v>0.35935544489173576</v>
      </c>
      <c r="E20">
        <v>20</v>
      </c>
      <c r="G20">
        <f t="shared" si="2"/>
        <v>174.40526332815659</v>
      </c>
      <c r="H20">
        <f t="shared" si="3"/>
        <v>0.53634096955792554</v>
      </c>
      <c r="I20">
        <v>20</v>
      </c>
      <c r="K20">
        <f t="shared" si="4"/>
        <v>103.99937996031744</v>
      </c>
      <c r="L20">
        <f t="shared" si="5"/>
        <v>-0.12682092139608869</v>
      </c>
      <c r="M20">
        <v>20</v>
      </c>
      <c r="O20">
        <f t="shared" si="6"/>
        <v>103.99937996031744</v>
      </c>
      <c r="P20">
        <f t="shared" si="7"/>
        <v>0.66093250700903006</v>
      </c>
      <c r="Q20">
        <v>20</v>
      </c>
      <c r="S20">
        <f t="shared" si="8"/>
        <v>0.57781872138179891</v>
      </c>
      <c r="T20">
        <f t="shared" si="9"/>
        <v>0.17222881696799175</v>
      </c>
      <c r="U20">
        <v>20</v>
      </c>
      <c r="W20">
        <f t="shared" si="10"/>
        <v>0.62554644457285802</v>
      </c>
      <c r="X20">
        <f t="shared" si="11"/>
        <v>1.0337045615531846</v>
      </c>
    </row>
    <row r="21" spans="1:24" x14ac:dyDescent="0.45">
      <c r="A21">
        <v>21</v>
      </c>
      <c r="C21">
        <f t="shared" si="0"/>
        <v>186.6336535973077</v>
      </c>
      <c r="D21">
        <f t="shared" si="1"/>
        <v>0.38455158026989972</v>
      </c>
      <c r="E21">
        <v>21</v>
      </c>
      <c r="G21">
        <f t="shared" si="2"/>
        <v>186.6336535973077</v>
      </c>
      <c r="H21">
        <f t="shared" si="3"/>
        <v>0.57394640971456079</v>
      </c>
      <c r="I21">
        <v>21</v>
      </c>
      <c r="K21">
        <f t="shared" si="4"/>
        <v>112.52219742063491</v>
      </c>
      <c r="L21">
        <f t="shared" si="5"/>
        <v>-0.10553816431781127</v>
      </c>
      <c r="M21">
        <v>21</v>
      </c>
      <c r="O21">
        <f t="shared" si="6"/>
        <v>112.52219742063491</v>
      </c>
      <c r="P21">
        <f t="shared" si="7"/>
        <v>0.68342054500046134</v>
      </c>
      <c r="Q21">
        <v>21</v>
      </c>
      <c r="S21">
        <f t="shared" si="8"/>
        <v>0.61035834053653737</v>
      </c>
      <c r="T21">
        <f t="shared" si="9"/>
        <v>0.20303780826765</v>
      </c>
      <c r="U21">
        <v>21</v>
      </c>
      <c r="W21">
        <f t="shared" si="10"/>
        <v>0.65713150926377528</v>
      </c>
      <c r="X21">
        <f t="shared" si="11"/>
        <v>1.0670915488316011</v>
      </c>
    </row>
    <row r="22" spans="1:24" x14ac:dyDescent="0.45">
      <c r="A22">
        <v>22</v>
      </c>
      <c r="C22">
        <f t="shared" si="0"/>
        <v>198.86204386645883</v>
      </c>
      <c r="D22">
        <f t="shared" si="1"/>
        <v>0.40974771564806373</v>
      </c>
      <c r="E22">
        <v>22</v>
      </c>
      <c r="G22">
        <f t="shared" si="2"/>
        <v>198.86204386645883</v>
      </c>
      <c r="H22">
        <f t="shared" si="3"/>
        <v>0.61155184987119615</v>
      </c>
      <c r="I22">
        <v>22</v>
      </c>
      <c r="K22">
        <f t="shared" si="4"/>
        <v>121.04501488095235</v>
      </c>
      <c r="L22">
        <f t="shared" si="5"/>
        <v>-8.4301819518682652E-2</v>
      </c>
      <c r="M22">
        <v>22</v>
      </c>
      <c r="O22">
        <f t="shared" si="6"/>
        <v>121.04501488095235</v>
      </c>
      <c r="P22">
        <f t="shared" si="7"/>
        <v>0.70595499527104122</v>
      </c>
      <c r="Q22">
        <v>22</v>
      </c>
      <c r="S22">
        <f t="shared" si="8"/>
        <v>0.64289795969127594</v>
      </c>
      <c r="T22">
        <f t="shared" si="9"/>
        <v>0.23375994181634224</v>
      </c>
      <c r="U22">
        <v>22</v>
      </c>
      <c r="W22">
        <f t="shared" si="10"/>
        <v>0.68871657395469266</v>
      </c>
      <c r="X22">
        <f t="shared" si="11"/>
        <v>1.1005588025392243</v>
      </c>
    </row>
    <row r="23" spans="1:24" x14ac:dyDescent="0.45">
      <c r="A23">
        <v>23</v>
      </c>
      <c r="C23">
        <f t="shared" si="0"/>
        <v>211.09043413560991</v>
      </c>
      <c r="D23">
        <f t="shared" si="1"/>
        <v>0.43494385102622757</v>
      </c>
      <c r="E23">
        <v>23</v>
      </c>
      <c r="G23">
        <f t="shared" si="2"/>
        <v>211.09043413560991</v>
      </c>
      <c r="H23">
        <f t="shared" si="3"/>
        <v>0.64915729002783129</v>
      </c>
      <c r="I23">
        <v>23</v>
      </c>
      <c r="K23">
        <f t="shared" si="4"/>
        <v>129.56783234126982</v>
      </c>
      <c r="L23">
        <f t="shared" si="5"/>
        <v>-6.3111658684842364E-2</v>
      </c>
      <c r="M23">
        <v>23</v>
      </c>
      <c r="O23">
        <f t="shared" si="6"/>
        <v>129.56783234126982</v>
      </c>
      <c r="P23">
        <f t="shared" si="7"/>
        <v>0.72853562950690964</v>
      </c>
      <c r="Q23">
        <v>23</v>
      </c>
      <c r="S23">
        <f t="shared" si="8"/>
        <v>0.67543757884601441</v>
      </c>
      <c r="T23">
        <f t="shared" si="9"/>
        <v>0.26439636977950159</v>
      </c>
      <c r="U23">
        <v>23</v>
      </c>
      <c r="W23">
        <f t="shared" si="10"/>
        <v>0.72030163864560992</v>
      </c>
      <c r="X23">
        <f t="shared" si="11"/>
        <v>1.1341052273999686</v>
      </c>
    </row>
    <row r="24" spans="1:24" x14ac:dyDescent="0.45">
      <c r="A24">
        <v>24</v>
      </c>
      <c r="C24">
        <f t="shared" si="0"/>
        <v>223.31882440476099</v>
      </c>
      <c r="D24">
        <f t="shared" si="1"/>
        <v>0.46013998640439147</v>
      </c>
      <c r="E24">
        <v>24</v>
      </c>
      <c r="G24">
        <f t="shared" si="2"/>
        <v>223.31882440476099</v>
      </c>
      <c r="H24">
        <f t="shared" si="3"/>
        <v>0.68676273018446643</v>
      </c>
      <c r="I24">
        <v>24</v>
      </c>
      <c r="K24">
        <f t="shared" si="4"/>
        <v>138.09064980158729</v>
      </c>
      <c r="L24">
        <f t="shared" si="5"/>
        <v>-4.1967438914428723E-2</v>
      </c>
      <c r="M24">
        <v>24</v>
      </c>
      <c r="O24">
        <f t="shared" si="6"/>
        <v>138.09064980158729</v>
      </c>
      <c r="P24">
        <f t="shared" si="7"/>
        <v>0.75116220480620477</v>
      </c>
      <c r="Q24">
        <v>24</v>
      </c>
      <c r="S24">
        <f t="shared" si="8"/>
        <v>0.70797719800075287</v>
      </c>
      <c r="T24">
        <f t="shared" si="9"/>
        <v>0.2949482769207597</v>
      </c>
      <c r="U24">
        <v>24</v>
      </c>
      <c r="W24">
        <f t="shared" si="10"/>
        <v>0.75188670333652718</v>
      </c>
      <c r="X24">
        <f t="shared" si="11"/>
        <v>1.1677297031621725</v>
      </c>
    </row>
    <row r="25" spans="1:24" x14ac:dyDescent="0.45">
      <c r="A25">
        <v>25</v>
      </c>
      <c r="C25">
        <f t="shared" si="0"/>
        <v>235.54721467391212</v>
      </c>
      <c r="D25">
        <f t="shared" si="1"/>
        <v>0.48533612178255559</v>
      </c>
      <c r="E25">
        <v>25</v>
      </c>
      <c r="G25">
        <f t="shared" si="2"/>
        <v>235.54721467391212</v>
      </c>
      <c r="H25">
        <f t="shared" si="3"/>
        <v>0.72436817034110179</v>
      </c>
      <c r="I25">
        <v>25</v>
      </c>
      <c r="K25">
        <f t="shared" si="4"/>
        <v>146.61346726190473</v>
      </c>
      <c r="L25">
        <f t="shared" si="5"/>
        <v>-2.0868903126736726E-2</v>
      </c>
      <c r="M25">
        <v>25</v>
      </c>
      <c r="O25">
        <f t="shared" si="6"/>
        <v>146.61346726190473</v>
      </c>
      <c r="P25">
        <f t="shared" si="7"/>
        <v>0.77383446408822132</v>
      </c>
      <c r="Q25">
        <v>25</v>
      </c>
      <c r="S25">
        <f t="shared" si="8"/>
        <v>0.74051681715549145</v>
      </c>
      <c r="T25">
        <f t="shared" si="9"/>
        <v>0.32541687742584385</v>
      </c>
      <c r="U25">
        <v>25</v>
      </c>
      <c r="W25">
        <f t="shared" si="10"/>
        <v>0.78347176802744456</v>
      </c>
      <c r="X25">
        <f t="shared" si="11"/>
        <v>1.2014310872912808</v>
      </c>
    </row>
    <row r="26" spans="1:24" x14ac:dyDescent="0.45">
      <c r="A26">
        <v>26</v>
      </c>
      <c r="C26">
        <f t="shared" si="0"/>
        <v>247.7756049430632</v>
      </c>
      <c r="D26">
        <f t="shared" si="1"/>
        <v>0.51053225716071948</v>
      </c>
      <c r="E26">
        <v>26</v>
      </c>
      <c r="G26">
        <f t="shared" si="2"/>
        <v>247.7756049430632</v>
      </c>
      <c r="H26">
        <f t="shared" si="3"/>
        <v>0.76197361049773693</v>
      </c>
      <c r="I26">
        <v>26</v>
      </c>
      <c r="K26">
        <f t="shared" si="4"/>
        <v>155.1362847222222</v>
      </c>
      <c r="L26">
        <f t="shared" si="5"/>
        <v>1.842195100852928E-4</v>
      </c>
      <c r="M26">
        <v>26</v>
      </c>
      <c r="O26">
        <f t="shared" si="6"/>
        <v>155.1362847222222</v>
      </c>
      <c r="P26">
        <f t="shared" si="7"/>
        <v>0.79655213652110801</v>
      </c>
      <c r="Q26">
        <v>26</v>
      </c>
      <c r="S26">
        <f t="shared" si="8"/>
        <v>0.77305643631022991</v>
      </c>
      <c r="T26">
        <f t="shared" si="9"/>
        <v>0.35580341176035052</v>
      </c>
      <c r="U26">
        <v>26</v>
      </c>
      <c r="W26">
        <f t="shared" si="10"/>
        <v>0.81505683271836182</v>
      </c>
      <c r="X26">
        <f t="shared" si="11"/>
        <v>1.2352082176172812</v>
      </c>
    </row>
    <row r="27" spans="1:24" x14ac:dyDescent="0.45">
      <c r="A27">
        <v>27</v>
      </c>
      <c r="C27">
        <f t="shared" si="0"/>
        <v>260.00399521221436</v>
      </c>
      <c r="D27">
        <f t="shared" si="1"/>
        <v>0.53572839253888349</v>
      </c>
      <c r="E27">
        <v>27</v>
      </c>
      <c r="G27">
        <f t="shared" si="2"/>
        <v>260.00399521221436</v>
      </c>
      <c r="H27">
        <f t="shared" si="3"/>
        <v>0.7995790506543724</v>
      </c>
      <c r="I27">
        <v>27</v>
      </c>
      <c r="K27">
        <f t="shared" si="4"/>
        <v>163.65910218253967</v>
      </c>
      <c r="L27">
        <f t="shared" si="5"/>
        <v>2.1192213134384852E-2</v>
      </c>
      <c r="M27">
        <v>27</v>
      </c>
      <c r="O27">
        <f t="shared" si="6"/>
        <v>163.65910218253967</v>
      </c>
      <c r="P27">
        <f t="shared" si="7"/>
        <v>0.81931493796651722</v>
      </c>
      <c r="Q27">
        <v>27</v>
      </c>
      <c r="S27">
        <f t="shared" si="8"/>
        <v>0.80559605546496837</v>
      </c>
      <c r="T27">
        <f t="shared" si="9"/>
        <v>0.38610914357629122</v>
      </c>
      <c r="U27">
        <v>27</v>
      </c>
      <c r="W27">
        <f t="shared" si="10"/>
        <v>0.84664189740927909</v>
      </c>
      <c r="X27">
        <f t="shared" si="11"/>
        <v>1.269059914926244</v>
      </c>
    </row>
    <row r="28" spans="1:24" x14ac:dyDescent="0.45">
      <c r="A28">
        <v>28</v>
      </c>
      <c r="C28">
        <f t="shared" si="0"/>
        <v>272.23238548136544</v>
      </c>
      <c r="D28">
        <f t="shared" si="1"/>
        <v>0.56092452791704739</v>
      </c>
      <c r="E28">
        <v>28</v>
      </c>
      <c r="G28">
        <f t="shared" si="2"/>
        <v>272.23238548136544</v>
      </c>
      <c r="H28">
        <f t="shared" si="3"/>
        <v>0.83718449081100754</v>
      </c>
      <c r="I28">
        <v>28</v>
      </c>
      <c r="K28">
        <f t="shared" si="4"/>
        <v>172.18191964285714</v>
      </c>
      <c r="L28">
        <f t="shared" si="5"/>
        <v>4.215537473101999E-2</v>
      </c>
      <c r="M28">
        <v>28</v>
      </c>
      <c r="O28">
        <f t="shared" si="6"/>
        <v>172.18191964285714</v>
      </c>
      <c r="P28">
        <f t="shared" si="7"/>
        <v>0.84212257143959079</v>
      </c>
      <c r="Q28">
        <v>28</v>
      </c>
      <c r="S28">
        <f t="shared" si="8"/>
        <v>0.83813567461970684</v>
      </c>
      <c r="T28">
        <f t="shared" si="9"/>
        <v>0.41633535668100891</v>
      </c>
      <c r="U28">
        <v>28</v>
      </c>
      <c r="W28">
        <f t="shared" si="10"/>
        <v>0.87822696210019635</v>
      </c>
      <c r="X28">
        <f t="shared" si="11"/>
        <v>1.3029849854863809</v>
      </c>
    </row>
    <row r="29" spans="1:24" x14ac:dyDescent="0.45">
      <c r="A29">
        <v>29</v>
      </c>
      <c r="C29">
        <f t="shared" si="0"/>
        <v>284.46077575051652</v>
      </c>
      <c r="D29">
        <f t="shared" si="1"/>
        <v>0.58612066329521129</v>
      </c>
      <c r="E29">
        <v>29</v>
      </c>
      <c r="G29">
        <f t="shared" si="2"/>
        <v>284.46077575051652</v>
      </c>
      <c r="H29">
        <f t="shared" si="3"/>
        <v>0.87478993096764268</v>
      </c>
      <c r="I29">
        <v>29</v>
      </c>
      <c r="K29">
        <f t="shared" si="4"/>
        <v>180.70473710317458</v>
      </c>
      <c r="L29">
        <f t="shared" si="5"/>
        <v>6.3074013657673511E-2</v>
      </c>
      <c r="M29">
        <v>29</v>
      </c>
      <c r="O29">
        <f t="shared" si="6"/>
        <v>180.70473710317458</v>
      </c>
      <c r="P29">
        <f t="shared" si="7"/>
        <v>0.86497472758264571</v>
      </c>
      <c r="Q29">
        <v>29</v>
      </c>
      <c r="S29">
        <f t="shared" si="8"/>
        <v>0.87067529377444541</v>
      </c>
      <c r="T29">
        <f t="shared" si="9"/>
        <v>0.44648335208072837</v>
      </c>
      <c r="U29">
        <v>29</v>
      </c>
      <c r="W29">
        <f t="shared" si="10"/>
        <v>0.90981202679111373</v>
      </c>
      <c r="X29">
        <f t="shared" si="11"/>
        <v>1.336982223500115</v>
      </c>
    </row>
    <row r="30" spans="1:24" x14ac:dyDescent="0.45">
      <c r="A30">
        <v>30</v>
      </c>
      <c r="C30">
        <f t="shared" si="0"/>
        <v>296.68916601966765</v>
      </c>
      <c r="D30">
        <f t="shared" si="1"/>
        <v>0.61131679867337541</v>
      </c>
      <c r="E30">
        <v>30</v>
      </c>
      <c r="G30">
        <f t="shared" si="2"/>
        <v>296.68916601966765</v>
      </c>
      <c r="H30">
        <f t="shared" si="3"/>
        <v>0.91239537112427804</v>
      </c>
      <c r="I30">
        <v>30</v>
      </c>
      <c r="K30">
        <f t="shared" si="4"/>
        <v>189.22755456349205</v>
      </c>
      <c r="L30">
        <f t="shared" si="5"/>
        <v>8.3948451159118032E-2</v>
      </c>
      <c r="M30">
        <v>30</v>
      </c>
      <c r="O30">
        <f t="shared" si="6"/>
        <v>189.22755456349205</v>
      </c>
      <c r="P30">
        <f t="shared" si="7"/>
        <v>0.88787108515090996</v>
      </c>
      <c r="Q30">
        <v>30</v>
      </c>
      <c r="S30">
        <f t="shared" si="8"/>
        <v>0.90321491292918388</v>
      </c>
      <c r="T30">
        <f t="shared" si="9"/>
        <v>0.47655444510963491</v>
      </c>
      <c r="U30">
        <v>30</v>
      </c>
      <c r="W30">
        <f t="shared" si="10"/>
        <v>0.94139709148203099</v>
      </c>
      <c r="X30">
        <f t="shared" si="11"/>
        <v>1.3710504134747366</v>
      </c>
    </row>
    <row r="31" spans="1:24" x14ac:dyDescent="0.45">
      <c r="A31">
        <v>31</v>
      </c>
      <c r="C31">
        <f t="shared" si="0"/>
        <v>308.91755628881873</v>
      </c>
      <c r="D31">
        <f t="shared" si="1"/>
        <v>0.63651293405153919</v>
      </c>
      <c r="E31">
        <v>31</v>
      </c>
      <c r="G31">
        <f t="shared" si="2"/>
        <v>308.91755628881873</v>
      </c>
      <c r="H31">
        <f t="shared" si="3"/>
        <v>0.95000081128091329</v>
      </c>
      <c r="I31">
        <v>31</v>
      </c>
      <c r="K31">
        <f t="shared" si="4"/>
        <v>197.75037202380952</v>
      </c>
      <c r="L31">
        <f t="shared" si="5"/>
        <v>0.10477901987107791</v>
      </c>
      <c r="M31">
        <v>31</v>
      </c>
      <c r="O31">
        <f t="shared" si="6"/>
        <v>197.75037202380952</v>
      </c>
      <c r="P31">
        <f t="shared" si="7"/>
        <v>0.91081131150865891</v>
      </c>
      <c r="Q31">
        <v>31</v>
      </c>
      <c r="S31">
        <f t="shared" si="8"/>
        <v>0.93575453208392234</v>
      </c>
      <c r="T31">
        <f t="shared" si="9"/>
        <v>0.50654996265400798</v>
      </c>
      <c r="U31">
        <v>31</v>
      </c>
      <c r="W31">
        <f t="shared" si="10"/>
        <v>0.97298215617294825</v>
      </c>
      <c r="X31">
        <f t="shared" si="11"/>
        <v>1.4051883325052872</v>
      </c>
    </row>
    <row r="32" spans="1:24" x14ac:dyDescent="0.45">
      <c r="A32">
        <v>32</v>
      </c>
      <c r="C32">
        <f t="shared" si="0"/>
        <v>321.14594655796986</v>
      </c>
      <c r="D32">
        <f t="shared" si="1"/>
        <v>0.66170906942970331</v>
      </c>
      <c r="E32">
        <v>32</v>
      </c>
      <c r="G32">
        <f t="shared" si="2"/>
        <v>321.14594655796986</v>
      </c>
      <c r="H32">
        <f t="shared" si="3"/>
        <v>0.98760625143754865</v>
      </c>
      <c r="I32">
        <v>32</v>
      </c>
      <c r="K32">
        <f t="shared" si="4"/>
        <v>206.27318948412696</v>
      </c>
      <c r="L32">
        <f t="shared" si="5"/>
        <v>0.12556606331533143</v>
      </c>
      <c r="M32">
        <v>32</v>
      </c>
      <c r="O32">
        <f t="shared" si="6"/>
        <v>206.27318948412696</v>
      </c>
      <c r="P32">
        <f t="shared" si="7"/>
        <v>0.93379506313411387</v>
      </c>
      <c r="Q32">
        <v>32</v>
      </c>
      <c r="S32">
        <f t="shared" si="8"/>
        <v>0.96829415123866092</v>
      </c>
      <c r="T32">
        <f t="shared" si="9"/>
        <v>0.53647124047957262</v>
      </c>
      <c r="U32">
        <v>32</v>
      </c>
      <c r="W32">
        <f t="shared" si="10"/>
        <v>1.0045672208638656</v>
      </c>
      <c r="X32">
        <f t="shared" si="11"/>
        <v>1.439394752464346</v>
      </c>
    </row>
    <row r="33" spans="1:24" x14ac:dyDescent="0.45">
      <c r="A33">
        <v>33</v>
      </c>
      <c r="C33">
        <f t="shared" ref="C33:C64" si="12">-57.9341517857143+(A33-1)*12.2283902691511</f>
        <v>333.37433682712094</v>
      </c>
      <c r="D33">
        <f t="shared" ref="D33:D64" si="13">0+0.00256785947097348*C33-0.390325886895382*(0+(C33-0)^2/591777.40749437)^0.5</f>
        <v>0.68690520480786721</v>
      </c>
      <c r="E33">
        <v>33</v>
      </c>
      <c r="G33">
        <f t="shared" ref="G33:G64" si="14">-57.9341517857143+(E33-1)*12.2283902691511</f>
        <v>333.37433682712094</v>
      </c>
      <c r="H33">
        <f t="shared" ref="H33:H64" si="15">0+0.00256785947097348*G33+0.390325886895382*(0+(G33-0)^2/591777.40749437)^0.5</f>
        <v>1.0252116915941838</v>
      </c>
      <c r="I33">
        <v>33</v>
      </c>
      <c r="K33">
        <f t="shared" ref="K33:K64" si="16">-57.9341517857143+(I33-1)*8.52281746031746</f>
        <v>214.79600694444443</v>
      </c>
      <c r="L33">
        <f t="shared" ref="L33:L64" si="17">0+0.00256785947097348*K33-0.390325886895382*(1+(K33-0)^2/591777.40749437)^0.5</f>
        <v>0.14630993538767761</v>
      </c>
      <c r="M33">
        <v>33</v>
      </c>
      <c r="O33">
        <f t="shared" ref="O33:O64" si="18">-57.9341517857143+(M33-1)*8.52281746031746</f>
        <v>214.79600694444443</v>
      </c>
      <c r="P33">
        <f t="shared" ref="P33:P64" si="19">0+0.00256785947097348*O33+0.390325886895382*(1+(O33-0)^2/591777.40749437)^0.5</f>
        <v>0.9568219861314764</v>
      </c>
      <c r="Q33">
        <v>33</v>
      </c>
      <c r="S33">
        <f t="shared" ref="S33:S64" si="20">-0.0404340425582326+(Q33-1)*0.0325396191547385</f>
        <v>1.0008337703933994</v>
      </c>
      <c r="T33">
        <f t="shared" ref="T33:T64" si="21">0+1*S33-0.390325886895382*(1+(S33-0)^2/4.18699026402996)^0.5</f>
        <v>0.56631962066891006</v>
      </c>
      <c r="U33">
        <v>33</v>
      </c>
      <c r="W33">
        <f t="shared" ref="W33:W64" si="22">0.0254302154454293+(U33-1)*0.0315850646909173</f>
        <v>1.0361522855547829</v>
      </c>
      <c r="X33">
        <f t="shared" ref="X33:X64" si="23">0+1*W33+0.390325886895382*(1+(W33-0)^2/4.18699026402996)^0.5</f>
        <v>1.4736684420944075</v>
      </c>
    </row>
    <row r="34" spans="1:24" x14ac:dyDescent="0.45">
      <c r="A34">
        <v>34</v>
      </c>
      <c r="C34">
        <f t="shared" si="12"/>
        <v>345.60272709627202</v>
      </c>
      <c r="D34">
        <f t="shared" si="13"/>
        <v>0.71210134018603111</v>
      </c>
      <c r="E34">
        <v>34</v>
      </c>
      <c r="G34">
        <f t="shared" si="14"/>
        <v>345.60272709627202</v>
      </c>
      <c r="H34">
        <f t="shared" si="15"/>
        <v>1.062817131750819</v>
      </c>
      <c r="I34">
        <v>34</v>
      </c>
      <c r="K34">
        <f t="shared" si="16"/>
        <v>223.3188244047619</v>
      </c>
      <c r="L34">
        <f t="shared" si="17"/>
        <v>0.16701099984036605</v>
      </c>
      <c r="M34">
        <v>34</v>
      </c>
      <c r="O34">
        <f t="shared" si="18"/>
        <v>223.3188244047619</v>
      </c>
      <c r="P34">
        <f t="shared" si="19"/>
        <v>0.97989171674849651</v>
      </c>
      <c r="Q34">
        <v>34</v>
      </c>
      <c r="S34">
        <f t="shared" si="20"/>
        <v>1.0333733895481378</v>
      </c>
      <c r="T34">
        <f t="shared" si="21"/>
        <v>0.59609644917447502</v>
      </c>
      <c r="U34">
        <v>34</v>
      </c>
      <c r="W34">
        <f t="shared" si="22"/>
        <v>1.0677373502457002</v>
      </c>
      <c r="X34">
        <f t="shared" si="23"/>
        <v>1.5080081689994944</v>
      </c>
    </row>
    <row r="35" spans="1:24" x14ac:dyDescent="0.45">
      <c r="A35">
        <v>35</v>
      </c>
      <c r="C35">
        <f t="shared" si="12"/>
        <v>357.83111736542315</v>
      </c>
      <c r="D35">
        <f t="shared" si="13"/>
        <v>0.737297475564195</v>
      </c>
      <c r="E35">
        <v>35</v>
      </c>
      <c r="G35">
        <f t="shared" si="14"/>
        <v>357.83111736542315</v>
      </c>
      <c r="H35">
        <f t="shared" si="15"/>
        <v>1.1004225719074543</v>
      </c>
      <c r="I35">
        <v>35</v>
      </c>
      <c r="K35">
        <f t="shared" si="16"/>
        <v>231.84164186507937</v>
      </c>
      <c r="L35">
        <f t="shared" si="17"/>
        <v>0.18766962976055812</v>
      </c>
      <c r="M35">
        <v>35</v>
      </c>
      <c r="O35">
        <f t="shared" si="18"/>
        <v>231.84164186507937</v>
      </c>
      <c r="P35">
        <f t="shared" si="19"/>
        <v>1.0030038818980134</v>
      </c>
      <c r="Q35">
        <v>35</v>
      </c>
      <c r="S35">
        <f t="shared" si="20"/>
        <v>1.0659130087028763</v>
      </c>
      <c r="T35">
        <f t="shared" si="21"/>
        <v>0.62580307349154851</v>
      </c>
      <c r="U35">
        <v>35</v>
      </c>
      <c r="W35">
        <f t="shared" si="22"/>
        <v>1.0993224149366174</v>
      </c>
      <c r="X35">
        <f t="shared" si="23"/>
        <v>1.5424127015335594</v>
      </c>
    </row>
    <row r="36" spans="1:24" x14ac:dyDescent="0.45">
      <c r="A36">
        <v>36</v>
      </c>
      <c r="C36">
        <f t="shared" si="12"/>
        <v>370.05950763457423</v>
      </c>
      <c r="D36">
        <f t="shared" si="13"/>
        <v>0.76249361094235901</v>
      </c>
      <c r="E36">
        <v>36</v>
      </c>
      <c r="G36">
        <f t="shared" si="14"/>
        <v>370.05950763457423</v>
      </c>
      <c r="H36">
        <f t="shared" si="15"/>
        <v>1.1380280120640893</v>
      </c>
      <c r="I36">
        <v>36</v>
      </c>
      <c r="K36">
        <f t="shared" si="16"/>
        <v>240.36445932539684</v>
      </c>
      <c r="L36">
        <f t="shared" si="17"/>
        <v>0.2082862070463456</v>
      </c>
      <c r="M36">
        <v>36</v>
      </c>
      <c r="O36">
        <f t="shared" si="18"/>
        <v>240.36445932539684</v>
      </c>
      <c r="P36">
        <f t="shared" si="19"/>
        <v>1.0261580996819344</v>
      </c>
      <c r="Q36">
        <v>36</v>
      </c>
      <c r="S36">
        <f t="shared" si="20"/>
        <v>1.0984526278576148</v>
      </c>
      <c r="T36">
        <f t="shared" si="21"/>
        <v>0.65544084045427975</v>
      </c>
      <c r="U36">
        <v>36</v>
      </c>
      <c r="W36">
        <f t="shared" si="22"/>
        <v>1.1309074796275347</v>
      </c>
      <c r="X36">
        <f t="shared" si="23"/>
        <v>1.5768808105840799</v>
      </c>
    </row>
    <row r="37" spans="1:24" x14ac:dyDescent="0.45">
      <c r="A37">
        <v>37</v>
      </c>
      <c r="C37">
        <f t="shared" si="12"/>
        <v>382.28789790372537</v>
      </c>
      <c r="D37">
        <f t="shared" si="13"/>
        <v>0.78768974632052302</v>
      </c>
      <c r="E37">
        <v>37</v>
      </c>
      <c r="G37">
        <f t="shared" si="14"/>
        <v>382.28789790372537</v>
      </c>
      <c r="H37">
        <f t="shared" si="15"/>
        <v>1.1756334522207248</v>
      </c>
      <c r="I37">
        <v>37</v>
      </c>
      <c r="K37">
        <f t="shared" si="16"/>
        <v>248.88727678571425</v>
      </c>
      <c r="L37">
        <f t="shared" si="17"/>
        <v>0.22886112188181001</v>
      </c>
      <c r="M37">
        <v>37</v>
      </c>
      <c r="O37">
        <f t="shared" si="18"/>
        <v>248.88727678571425</v>
      </c>
      <c r="P37">
        <f t="shared" si="19"/>
        <v>1.0493539799161786</v>
      </c>
      <c r="Q37">
        <v>37</v>
      </c>
      <c r="S37">
        <f t="shared" si="20"/>
        <v>1.1309922470123535</v>
      </c>
      <c r="T37">
        <f t="shared" si="21"/>
        <v>0.68501109415689088</v>
      </c>
      <c r="U37">
        <v>37</v>
      </c>
      <c r="W37">
        <f t="shared" si="22"/>
        <v>1.1624925443184522</v>
      </c>
      <c r="X37">
        <f t="shared" si="23"/>
        <v>1.6114112712500486</v>
      </c>
    </row>
    <row r="38" spans="1:24" x14ac:dyDescent="0.45">
      <c r="A38">
        <v>38</v>
      </c>
      <c r="C38">
        <f t="shared" si="12"/>
        <v>394.51628817287644</v>
      </c>
      <c r="D38">
        <f t="shared" si="13"/>
        <v>0.81288588169868703</v>
      </c>
      <c r="E38">
        <v>38</v>
      </c>
      <c r="G38">
        <f t="shared" si="14"/>
        <v>394.51628817287644</v>
      </c>
      <c r="H38">
        <f t="shared" si="15"/>
        <v>1.21323889237736</v>
      </c>
      <c r="I38">
        <v>38</v>
      </c>
      <c r="K38">
        <f t="shared" si="16"/>
        <v>257.41009424603175</v>
      </c>
      <c r="L38">
        <f t="shared" si="17"/>
        <v>0.24939477221254858</v>
      </c>
      <c r="M38">
        <v>38</v>
      </c>
      <c r="O38">
        <f t="shared" si="18"/>
        <v>257.41009424603175</v>
      </c>
      <c r="P38">
        <f t="shared" si="19"/>
        <v>1.0725911246551489</v>
      </c>
      <c r="Q38">
        <v>38</v>
      </c>
      <c r="S38">
        <f t="shared" si="20"/>
        <v>1.1635318661670919</v>
      </c>
      <c r="T38">
        <f t="shared" si="21"/>
        <v>0.71451517400110043</v>
      </c>
      <c r="U38">
        <v>38</v>
      </c>
      <c r="W38">
        <f t="shared" si="22"/>
        <v>1.1940776090093694</v>
      </c>
      <c r="X38">
        <f t="shared" si="23"/>
        <v>1.6460028644142721</v>
      </c>
    </row>
    <row r="39" spans="1:24" x14ac:dyDescent="0.45">
      <c r="A39">
        <v>39</v>
      </c>
      <c r="C39">
        <f t="shared" si="12"/>
        <v>406.74467844202752</v>
      </c>
      <c r="D39">
        <f t="shared" si="13"/>
        <v>0.83808201707685082</v>
      </c>
      <c r="E39">
        <v>39</v>
      </c>
      <c r="G39">
        <f t="shared" si="14"/>
        <v>406.74467844202752</v>
      </c>
      <c r="H39">
        <f t="shared" si="15"/>
        <v>1.2508443325339951</v>
      </c>
      <c r="I39">
        <v>39</v>
      </c>
      <c r="K39">
        <f t="shared" si="16"/>
        <v>265.93291170634922</v>
      </c>
      <c r="L39">
        <f t="shared" si="17"/>
        <v>0.26988756322303853</v>
      </c>
      <c r="M39">
        <v>39</v>
      </c>
      <c r="O39">
        <f t="shared" si="18"/>
        <v>265.93291170634922</v>
      </c>
      <c r="P39">
        <f t="shared" si="19"/>
        <v>1.0958691287143676</v>
      </c>
      <c r="Q39">
        <v>39</v>
      </c>
      <c r="S39">
        <f t="shared" si="20"/>
        <v>1.1960714853218304</v>
      </c>
      <c r="T39">
        <f t="shared" si="21"/>
        <v>0.74395441286990305</v>
      </c>
      <c r="U39">
        <v>39</v>
      </c>
      <c r="W39">
        <f t="shared" si="22"/>
        <v>1.2256626737002867</v>
      </c>
      <c r="X39">
        <f t="shared" si="23"/>
        <v>1.6806543782105785</v>
      </c>
    </row>
    <row r="40" spans="1:24" x14ac:dyDescent="0.45">
      <c r="A40">
        <v>40</v>
      </c>
      <c r="C40">
        <f t="shared" si="12"/>
        <v>418.97306871117866</v>
      </c>
      <c r="D40">
        <f t="shared" si="13"/>
        <v>0.86327815245501482</v>
      </c>
      <c r="E40">
        <v>40</v>
      </c>
      <c r="G40">
        <f t="shared" si="14"/>
        <v>418.97306871117866</v>
      </c>
      <c r="H40">
        <f t="shared" si="15"/>
        <v>1.2884497726906303</v>
      </c>
      <c r="I40">
        <v>40</v>
      </c>
      <c r="K40">
        <f t="shared" si="16"/>
        <v>274.45572916666669</v>
      </c>
      <c r="L40">
        <f t="shared" si="17"/>
        <v>0.29033990681715222</v>
      </c>
      <c r="M40">
        <v>40</v>
      </c>
      <c r="O40">
        <f t="shared" si="18"/>
        <v>274.45572916666669</v>
      </c>
      <c r="P40">
        <f t="shared" si="19"/>
        <v>1.1191875801899627</v>
      </c>
      <c r="Q40">
        <v>40</v>
      </c>
      <c r="S40">
        <f t="shared" si="20"/>
        <v>1.2286111044765688</v>
      </c>
      <c r="T40">
        <f t="shared" si="21"/>
        <v>0.77333013542698814</v>
      </c>
      <c r="U40">
        <v>40</v>
      </c>
      <c r="W40">
        <f t="shared" si="22"/>
        <v>1.257247738391204</v>
      </c>
      <c r="X40">
        <f t="shared" si="23"/>
        <v>1.7153646093870965</v>
      </c>
    </row>
    <row r="41" spans="1:24" x14ac:dyDescent="0.45">
      <c r="A41">
        <v>41</v>
      </c>
      <c r="C41">
        <f t="shared" si="12"/>
        <v>431.20145898032973</v>
      </c>
      <c r="D41">
        <f t="shared" si="13"/>
        <v>0.88847428783317872</v>
      </c>
      <c r="E41">
        <v>41</v>
      </c>
      <c r="G41">
        <f t="shared" si="14"/>
        <v>431.20145898032973</v>
      </c>
      <c r="H41">
        <f t="shared" si="15"/>
        <v>1.3260552128472656</v>
      </c>
      <c r="I41">
        <v>41</v>
      </c>
      <c r="K41">
        <f t="shared" si="16"/>
        <v>282.97854662698415</v>
      </c>
      <c r="L41">
        <f t="shared" si="17"/>
        <v>0.31075222110306144</v>
      </c>
      <c r="M41">
        <v>41</v>
      </c>
      <c r="O41">
        <f t="shared" si="18"/>
        <v>282.97854662698415</v>
      </c>
      <c r="P41">
        <f t="shared" si="19"/>
        <v>1.1425460609737619</v>
      </c>
      <c r="Q41">
        <v>41</v>
      </c>
      <c r="S41">
        <f t="shared" si="20"/>
        <v>1.2611507236313073</v>
      </c>
      <c r="T41">
        <f t="shared" si="21"/>
        <v>0.80264365654034031</v>
      </c>
      <c r="U41">
        <v>41</v>
      </c>
      <c r="W41">
        <f t="shared" si="22"/>
        <v>1.2888328030821212</v>
      </c>
      <c r="X41">
        <f t="shared" si="23"/>
        <v>1.7501323645673303</v>
      </c>
    </row>
    <row r="42" spans="1:24" x14ac:dyDescent="0.45">
      <c r="A42">
        <v>42</v>
      </c>
      <c r="C42">
        <f t="shared" si="12"/>
        <v>443.42984924948087</v>
      </c>
      <c r="D42">
        <f t="shared" si="13"/>
        <v>0.91367042321134273</v>
      </c>
      <c r="E42">
        <v>42</v>
      </c>
      <c r="G42">
        <f t="shared" si="14"/>
        <v>443.42984924948087</v>
      </c>
      <c r="H42">
        <f t="shared" si="15"/>
        <v>1.363660653003901</v>
      </c>
      <c r="I42">
        <v>42</v>
      </c>
      <c r="K42">
        <f t="shared" si="16"/>
        <v>291.50136408730162</v>
      </c>
      <c r="L42">
        <f t="shared" si="17"/>
        <v>0.33112492988370879</v>
      </c>
      <c r="M42">
        <v>42</v>
      </c>
      <c r="O42">
        <f t="shared" si="18"/>
        <v>291.50136408730162</v>
      </c>
      <c r="P42">
        <f t="shared" si="19"/>
        <v>1.1659441472628234</v>
      </c>
      <c r="Q42">
        <v>42</v>
      </c>
      <c r="S42">
        <f t="shared" si="20"/>
        <v>1.2936903427860458</v>
      </c>
      <c r="T42">
        <f t="shared" si="21"/>
        <v>0.83189627982788372</v>
      </c>
      <c r="U42">
        <v>42</v>
      </c>
      <c r="W42">
        <f t="shared" si="22"/>
        <v>1.3204178677730385</v>
      </c>
      <c r="X42">
        <f t="shared" si="23"/>
        <v>1.7849564614111968</v>
      </c>
    </row>
    <row r="43" spans="1:24" x14ac:dyDescent="0.45">
      <c r="A43">
        <v>43</v>
      </c>
      <c r="C43">
        <f t="shared" si="12"/>
        <v>455.658239518632</v>
      </c>
      <c r="D43">
        <f t="shared" si="13"/>
        <v>0.93886655858950674</v>
      </c>
      <c r="E43">
        <v>43</v>
      </c>
      <c r="G43">
        <f t="shared" si="14"/>
        <v>455.658239518632</v>
      </c>
      <c r="H43">
        <f t="shared" si="15"/>
        <v>1.4012660931605363</v>
      </c>
      <c r="I43">
        <v>43</v>
      </c>
      <c r="K43">
        <f t="shared" si="16"/>
        <v>300.02418154761904</v>
      </c>
      <c r="L43">
        <f t="shared" si="17"/>
        <v>0.35145846215394511</v>
      </c>
      <c r="M43">
        <v>43</v>
      </c>
      <c r="O43">
        <f t="shared" si="18"/>
        <v>300.02418154761904</v>
      </c>
      <c r="P43">
        <f t="shared" si="19"/>
        <v>1.1893814100622955</v>
      </c>
      <c r="Q43">
        <v>43</v>
      </c>
      <c r="S43">
        <f t="shared" si="20"/>
        <v>1.3262299619407845</v>
      </c>
      <c r="T43">
        <f t="shared" si="21"/>
        <v>0.86108929632245246</v>
      </c>
      <c r="U43">
        <v>43</v>
      </c>
      <c r="W43">
        <f t="shared" si="22"/>
        <v>1.352002932463956</v>
      </c>
      <c r="X43">
        <f t="shared" si="23"/>
        <v>1.8198357296786043</v>
      </c>
    </row>
    <row r="44" spans="1:24" x14ac:dyDescent="0.45">
      <c r="A44">
        <v>44</v>
      </c>
      <c r="C44">
        <f t="shared" si="12"/>
        <v>467.88662978778308</v>
      </c>
      <c r="D44">
        <f t="shared" si="13"/>
        <v>0.96406269396767075</v>
      </c>
      <c r="E44">
        <v>44</v>
      </c>
      <c r="G44">
        <f t="shared" si="14"/>
        <v>467.88662978778308</v>
      </c>
      <c r="H44">
        <f t="shared" si="15"/>
        <v>1.4388715333171715</v>
      </c>
      <c r="I44">
        <v>44</v>
      </c>
      <c r="K44">
        <f t="shared" si="16"/>
        <v>308.54699900793651</v>
      </c>
      <c r="L44">
        <f t="shared" si="17"/>
        <v>0.37175325160536543</v>
      </c>
      <c r="M44">
        <v>44</v>
      </c>
      <c r="O44">
        <f t="shared" si="18"/>
        <v>308.54699900793651</v>
      </c>
      <c r="P44">
        <f t="shared" si="19"/>
        <v>1.2128574156805838</v>
      </c>
      <c r="Q44">
        <v>44</v>
      </c>
      <c r="S44">
        <f t="shared" si="20"/>
        <v>1.3587695810955229</v>
      </c>
      <c r="T44">
        <f t="shared" si="21"/>
        <v>0.89022398325286456</v>
      </c>
      <c r="U44">
        <v>44</v>
      </c>
      <c r="W44">
        <f t="shared" si="22"/>
        <v>1.3835879971548732</v>
      </c>
      <c r="X44">
        <f t="shared" si="23"/>
        <v>1.8547690121984965</v>
      </c>
    </row>
    <row r="45" spans="1:24" x14ac:dyDescent="0.45">
      <c r="A45">
        <v>45</v>
      </c>
      <c r="C45">
        <f t="shared" si="12"/>
        <v>480.11502005693416</v>
      </c>
      <c r="D45">
        <f t="shared" si="13"/>
        <v>0.98925882934583464</v>
      </c>
      <c r="E45">
        <v>45</v>
      </c>
      <c r="G45">
        <f t="shared" si="14"/>
        <v>480.11502005693416</v>
      </c>
      <c r="H45">
        <f t="shared" si="15"/>
        <v>1.4764769734738068</v>
      </c>
      <c r="I45">
        <v>45</v>
      </c>
      <c r="K45">
        <f t="shared" si="16"/>
        <v>317.06981646825398</v>
      </c>
      <c r="L45">
        <f t="shared" si="17"/>
        <v>0.39200973613979051</v>
      </c>
      <c r="M45">
        <v>45</v>
      </c>
      <c r="O45">
        <f t="shared" si="18"/>
        <v>317.06981646825398</v>
      </c>
      <c r="P45">
        <f t="shared" si="19"/>
        <v>1.2363717262158676</v>
      </c>
      <c r="Q45">
        <v>45</v>
      </c>
      <c r="S45">
        <f t="shared" si="20"/>
        <v>1.3913092002502614</v>
      </c>
      <c r="T45">
        <f t="shared" si="21"/>
        <v>0.91930160293744834</v>
      </c>
      <c r="U45">
        <v>45</v>
      </c>
      <c r="W45">
        <f t="shared" si="22"/>
        <v>1.4151730618457905</v>
      </c>
      <c r="X45">
        <f t="shared" si="23"/>
        <v>1.8897551657465683</v>
      </c>
    </row>
    <row r="46" spans="1:24" x14ac:dyDescent="0.45">
      <c r="A46">
        <v>46</v>
      </c>
      <c r="C46">
        <f t="shared" si="12"/>
        <v>492.34341032608523</v>
      </c>
      <c r="D46">
        <f t="shared" si="13"/>
        <v>1.0144549647239984</v>
      </c>
      <c r="E46">
        <v>46</v>
      </c>
      <c r="G46">
        <f t="shared" si="14"/>
        <v>492.34341032608523</v>
      </c>
      <c r="H46">
        <f t="shared" si="15"/>
        <v>1.5140824136304418</v>
      </c>
      <c r="I46">
        <v>46</v>
      </c>
      <c r="K46">
        <f t="shared" si="16"/>
        <v>325.59263392857144</v>
      </c>
      <c r="L46">
        <f t="shared" si="17"/>
        <v>0.41222835739227648</v>
      </c>
      <c r="M46">
        <v>46</v>
      </c>
      <c r="O46">
        <f t="shared" si="18"/>
        <v>325.59263392857144</v>
      </c>
      <c r="P46">
        <f t="shared" si="19"/>
        <v>1.2599239000330902</v>
      </c>
      <c r="Q46">
        <v>46</v>
      </c>
      <c r="S46">
        <f t="shared" si="20"/>
        <v>1.4238488194049999</v>
      </c>
      <c r="T46">
        <f t="shared" si="21"/>
        <v>0.94832340178601848</v>
      </c>
      <c r="U46">
        <v>46</v>
      </c>
      <c r="W46">
        <f t="shared" si="22"/>
        <v>1.4467581265367078</v>
      </c>
      <c r="X46">
        <f t="shared" si="23"/>
        <v>1.9247930618350924</v>
      </c>
    </row>
    <row r="47" spans="1:24" x14ac:dyDescent="0.45">
      <c r="A47">
        <v>47</v>
      </c>
      <c r="C47">
        <f t="shared" si="12"/>
        <v>504.57180059523631</v>
      </c>
      <c r="D47">
        <f t="shared" si="13"/>
        <v>1.0396511001021624</v>
      </c>
      <c r="E47">
        <v>47</v>
      </c>
      <c r="G47">
        <f t="shared" si="14"/>
        <v>504.57180059523631</v>
      </c>
      <c r="H47">
        <f t="shared" si="15"/>
        <v>1.5516878537870771</v>
      </c>
      <c r="I47">
        <v>47</v>
      </c>
      <c r="K47">
        <f t="shared" si="16"/>
        <v>334.11545138888891</v>
      </c>
      <c r="L47">
        <f t="shared" si="17"/>
        <v>0.43240956026445015</v>
      </c>
      <c r="M47">
        <v>47</v>
      </c>
      <c r="O47">
        <f t="shared" si="18"/>
        <v>334.11545138888891</v>
      </c>
      <c r="P47">
        <f t="shared" si="19"/>
        <v>1.2835134922306253</v>
      </c>
      <c r="Q47">
        <v>47</v>
      </c>
      <c r="S47">
        <f t="shared" si="20"/>
        <v>1.4563884385597383</v>
      </c>
      <c r="T47">
        <f t="shared" si="21"/>
        <v>0.97729060940601542</v>
      </c>
      <c r="U47">
        <v>47</v>
      </c>
      <c r="W47">
        <f t="shared" si="22"/>
        <v>1.478343191227625</v>
      </c>
      <c r="X47">
        <f t="shared" si="23"/>
        <v>1.9598815874184847</v>
      </c>
    </row>
    <row r="48" spans="1:24" x14ac:dyDescent="0.45">
      <c r="A48">
        <v>48</v>
      </c>
      <c r="C48">
        <f t="shared" si="12"/>
        <v>516.80019086438745</v>
      </c>
      <c r="D48">
        <f t="shared" si="13"/>
        <v>1.0648472354803264</v>
      </c>
      <c r="E48">
        <v>48</v>
      </c>
      <c r="G48">
        <f t="shared" si="14"/>
        <v>516.80019086438745</v>
      </c>
      <c r="H48">
        <f t="shared" si="15"/>
        <v>1.5892932939437123</v>
      </c>
      <c r="I48">
        <v>48</v>
      </c>
      <c r="K48">
        <f t="shared" si="16"/>
        <v>342.63826884920638</v>
      </c>
      <c r="L48">
        <f t="shared" si="17"/>
        <v>0.45255379246889521</v>
      </c>
      <c r="M48">
        <v>48</v>
      </c>
      <c r="O48">
        <f t="shared" si="18"/>
        <v>342.63826884920638</v>
      </c>
      <c r="P48">
        <f t="shared" si="19"/>
        <v>1.3071400550958889</v>
      </c>
      <c r="Q48">
        <v>48</v>
      </c>
      <c r="S48">
        <f t="shared" si="20"/>
        <v>1.4889280577144768</v>
      </c>
      <c r="T48">
        <f t="shared" si="21"/>
        <v>1.0062044378082986</v>
      </c>
      <c r="U48">
        <v>48</v>
      </c>
      <c r="W48">
        <f t="shared" si="22"/>
        <v>1.5099282559185423</v>
      </c>
      <c r="X48">
        <f t="shared" si="23"/>
        <v>1.9950196455183706</v>
      </c>
    </row>
    <row r="49" spans="1:24" x14ac:dyDescent="0.45">
      <c r="A49">
        <v>49</v>
      </c>
      <c r="C49">
        <f t="shared" si="12"/>
        <v>529.02858113353852</v>
      </c>
      <c r="D49">
        <f t="shared" si="13"/>
        <v>1.0900433708584902</v>
      </c>
      <c r="E49">
        <v>49</v>
      </c>
      <c r="G49">
        <f t="shared" si="14"/>
        <v>529.02858113353852</v>
      </c>
      <c r="H49">
        <f t="shared" si="15"/>
        <v>1.6268987341003474</v>
      </c>
      <c r="I49">
        <v>49</v>
      </c>
      <c r="K49">
        <f t="shared" si="16"/>
        <v>351.1610863095238</v>
      </c>
      <c r="L49">
        <f t="shared" si="17"/>
        <v>0.47266150408523855</v>
      </c>
      <c r="M49">
        <v>49</v>
      </c>
      <c r="O49">
        <f t="shared" si="18"/>
        <v>351.1610863095238</v>
      </c>
      <c r="P49">
        <f t="shared" si="19"/>
        <v>1.3308031385492538</v>
      </c>
      <c r="Q49">
        <v>49</v>
      </c>
      <c r="S49">
        <f t="shared" si="20"/>
        <v>1.5214676768692155</v>
      </c>
      <c r="T49">
        <f t="shared" si="21"/>
        <v>1.0350660807079257</v>
      </c>
      <c r="U49">
        <v>49</v>
      </c>
      <c r="W49">
        <f t="shared" si="22"/>
        <v>1.5415133206094598</v>
      </c>
      <c r="X49">
        <f t="shared" si="23"/>
        <v>2.030206155772011</v>
      </c>
    </row>
    <row r="50" spans="1:24" x14ac:dyDescent="0.45">
      <c r="A50">
        <v>50</v>
      </c>
      <c r="C50">
        <f t="shared" si="12"/>
        <v>541.2569714026896</v>
      </c>
      <c r="D50">
        <f t="shared" si="13"/>
        <v>1.1152395062366542</v>
      </c>
      <c r="E50">
        <v>50</v>
      </c>
      <c r="G50">
        <f t="shared" si="14"/>
        <v>541.2569714026896</v>
      </c>
      <c r="H50">
        <f t="shared" si="15"/>
        <v>1.6645041742569826</v>
      </c>
      <c r="I50">
        <v>50</v>
      </c>
      <c r="K50">
        <f t="shared" si="16"/>
        <v>359.68390376984127</v>
      </c>
      <c r="L50">
        <f t="shared" si="17"/>
        <v>0.49273314712851257</v>
      </c>
      <c r="M50">
        <v>50</v>
      </c>
      <c r="O50">
        <f t="shared" si="18"/>
        <v>359.68390376984127</v>
      </c>
      <c r="P50">
        <f t="shared" si="19"/>
        <v>1.3545022905756887</v>
      </c>
      <c r="Q50">
        <v>50</v>
      </c>
      <c r="S50">
        <f t="shared" si="20"/>
        <v>1.5540072960239539</v>
      </c>
      <c r="T50">
        <f t="shared" si="21"/>
        <v>1.0638767129151383</v>
      </c>
      <c r="U50">
        <v>50</v>
      </c>
      <c r="W50">
        <f t="shared" si="22"/>
        <v>1.573098385300377</v>
      </c>
      <c r="X50">
        <f t="shared" si="23"/>
        <v>2.0654400549080028</v>
      </c>
    </row>
    <row r="51" spans="1:24" x14ac:dyDescent="0.45">
      <c r="A51">
        <v>51</v>
      </c>
      <c r="C51">
        <f t="shared" si="12"/>
        <v>553.48536167184068</v>
      </c>
      <c r="D51">
        <f t="shared" si="13"/>
        <v>1.1404356416148183</v>
      </c>
      <c r="E51">
        <v>51</v>
      </c>
      <c r="G51">
        <f t="shared" si="14"/>
        <v>553.48536167184068</v>
      </c>
      <c r="H51">
        <f t="shared" si="15"/>
        <v>1.7021096144136179</v>
      </c>
      <c r="I51">
        <v>51</v>
      </c>
      <c r="K51">
        <f t="shared" si="16"/>
        <v>368.20672123015873</v>
      </c>
      <c r="L51">
        <f t="shared" si="17"/>
        <v>0.51276917513029274</v>
      </c>
      <c r="M51">
        <v>51</v>
      </c>
      <c r="O51">
        <f t="shared" si="18"/>
        <v>368.20672123015873</v>
      </c>
      <c r="P51">
        <f t="shared" si="19"/>
        <v>1.3782370576436171</v>
      </c>
      <c r="Q51">
        <v>51</v>
      </c>
      <c r="S51">
        <f t="shared" si="20"/>
        <v>1.5865469151786924</v>
      </c>
      <c r="T51">
        <f t="shared" si="21"/>
        <v>1.0926374898117166</v>
      </c>
      <c r="U51">
        <v>51</v>
      </c>
      <c r="W51">
        <f t="shared" si="22"/>
        <v>1.6046834499912943</v>
      </c>
      <c r="X51">
        <f t="shared" si="23"/>
        <v>2.100720297153206</v>
      </c>
    </row>
    <row r="52" spans="1:24" x14ac:dyDescent="0.45">
      <c r="A52">
        <v>52</v>
      </c>
      <c r="C52">
        <f t="shared" si="12"/>
        <v>565.71375194099176</v>
      </c>
      <c r="D52">
        <f t="shared" si="13"/>
        <v>1.165631776992982</v>
      </c>
      <c r="E52">
        <v>52</v>
      </c>
      <c r="G52">
        <f t="shared" si="14"/>
        <v>565.71375194099176</v>
      </c>
      <c r="H52">
        <f t="shared" si="15"/>
        <v>1.7397150545702529</v>
      </c>
      <c r="I52">
        <v>52</v>
      </c>
      <c r="K52">
        <f t="shared" si="16"/>
        <v>376.7295386904762</v>
      </c>
      <c r="L52">
        <f t="shared" si="17"/>
        <v>0.53277004273304818</v>
      </c>
      <c r="M52">
        <v>52</v>
      </c>
      <c r="O52">
        <f t="shared" si="18"/>
        <v>376.7295386904762</v>
      </c>
      <c r="P52">
        <f t="shared" si="19"/>
        <v>1.4020069851105705</v>
      </c>
      <c r="Q52">
        <v>52</v>
      </c>
      <c r="S52">
        <f t="shared" si="20"/>
        <v>1.6190865343334309</v>
      </c>
      <c r="T52">
        <f t="shared" si="21"/>
        <v>1.1213495469078465</v>
      </c>
      <c r="U52">
        <v>52</v>
      </c>
      <c r="W52">
        <f t="shared" si="22"/>
        <v>1.6362685146822116</v>
      </c>
      <c r="X52">
        <f t="shared" si="23"/>
        <v>2.1360458545748151</v>
      </c>
    </row>
    <row r="53" spans="1:24" x14ac:dyDescent="0.45">
      <c r="A53">
        <v>53</v>
      </c>
      <c r="C53">
        <f t="shared" si="12"/>
        <v>577.94214221014295</v>
      </c>
      <c r="D53">
        <f t="shared" si="13"/>
        <v>1.1908279123711463</v>
      </c>
      <c r="E53">
        <v>53</v>
      </c>
      <c r="G53">
        <f t="shared" si="14"/>
        <v>577.94214221014295</v>
      </c>
      <c r="H53">
        <f t="shared" si="15"/>
        <v>1.7773204947268884</v>
      </c>
      <c r="I53">
        <v>53</v>
      </c>
      <c r="K53">
        <f t="shared" si="16"/>
        <v>385.25235615079367</v>
      </c>
      <c r="L53">
        <f t="shared" si="17"/>
        <v>0.55273620529806022</v>
      </c>
      <c r="M53">
        <v>53</v>
      </c>
      <c r="O53">
        <f t="shared" si="18"/>
        <v>385.25235615079367</v>
      </c>
      <c r="P53">
        <f t="shared" si="19"/>
        <v>1.4258116176152671</v>
      </c>
      <c r="Q53">
        <v>53</v>
      </c>
      <c r="S53">
        <f t="shared" si="20"/>
        <v>1.6516261534881693</v>
      </c>
      <c r="T53">
        <f t="shared" si="21"/>
        <v>1.1500139994746652</v>
      </c>
      <c r="U53">
        <v>53</v>
      </c>
      <c r="W53">
        <f t="shared" si="22"/>
        <v>1.6678535793731288</v>
      </c>
      <c r="X53">
        <f t="shared" si="23"/>
        <v>2.1714157173614979</v>
      </c>
    </row>
    <row r="54" spans="1:24" x14ac:dyDescent="0.45">
      <c r="A54">
        <v>54</v>
      </c>
      <c r="C54">
        <f t="shared" si="12"/>
        <v>590.17053247929402</v>
      </c>
      <c r="D54">
        <f t="shared" si="13"/>
        <v>1.2160240477493103</v>
      </c>
      <c r="E54">
        <v>54</v>
      </c>
      <c r="G54">
        <f t="shared" si="14"/>
        <v>590.17053247929402</v>
      </c>
      <c r="H54">
        <f t="shared" si="15"/>
        <v>1.8149259348835236</v>
      </c>
      <c r="I54">
        <v>54</v>
      </c>
      <c r="K54">
        <f t="shared" si="16"/>
        <v>393.77517361111114</v>
      </c>
      <c r="L54">
        <f t="shared" si="17"/>
        <v>0.57266811852721522</v>
      </c>
      <c r="M54">
        <v>54</v>
      </c>
      <c r="O54">
        <f t="shared" si="18"/>
        <v>393.77517361111114</v>
      </c>
      <c r="P54">
        <f t="shared" si="19"/>
        <v>1.4496504994558208</v>
      </c>
      <c r="Q54">
        <v>54</v>
      </c>
      <c r="S54">
        <f t="shared" si="20"/>
        <v>1.6841657726429078</v>
      </c>
      <c r="T54">
        <f t="shared" si="21"/>
        <v>1.1786319422477005</v>
      </c>
      <c r="U54">
        <v>54</v>
      </c>
      <c r="W54">
        <f t="shared" si="22"/>
        <v>1.6994386440640461</v>
      </c>
      <c r="X54">
        <f t="shared" si="23"/>
        <v>2.2068288940474292</v>
      </c>
    </row>
    <row r="55" spans="1:24" x14ac:dyDescent="0.45">
      <c r="A55">
        <v>55</v>
      </c>
      <c r="C55">
        <f t="shared" si="12"/>
        <v>602.3989227484451</v>
      </c>
      <c r="D55">
        <f t="shared" si="13"/>
        <v>1.2412201831274738</v>
      </c>
      <c r="E55">
        <v>55</v>
      </c>
      <c r="G55">
        <f t="shared" si="14"/>
        <v>602.3989227484451</v>
      </c>
      <c r="H55">
        <f t="shared" si="15"/>
        <v>1.8525313750401589</v>
      </c>
      <c r="I55">
        <v>55</v>
      </c>
      <c r="K55">
        <f t="shared" si="16"/>
        <v>402.29799107142861</v>
      </c>
      <c r="L55">
        <f t="shared" si="17"/>
        <v>0.59256623809889608</v>
      </c>
      <c r="M55">
        <v>55</v>
      </c>
      <c r="O55">
        <f t="shared" si="18"/>
        <v>402.29799107142861</v>
      </c>
      <c r="P55">
        <f t="shared" si="19"/>
        <v>1.4735231749538487</v>
      </c>
      <c r="Q55">
        <v>55</v>
      </c>
      <c r="S55">
        <f t="shared" si="20"/>
        <v>1.7167053917976463</v>
      </c>
      <c r="T55">
        <f t="shared" si="21"/>
        <v>1.2072044491965124</v>
      </c>
      <c r="U55">
        <v>55</v>
      </c>
      <c r="W55">
        <f t="shared" si="22"/>
        <v>1.7310237087549634</v>
      </c>
      <c r="X55">
        <f t="shared" si="23"/>
        <v>2.2422844116830047</v>
      </c>
    </row>
    <row r="56" spans="1:24" x14ac:dyDescent="0.45">
      <c r="A56">
        <v>56</v>
      </c>
      <c r="C56">
        <f t="shared" si="12"/>
        <v>614.62731301759618</v>
      </c>
      <c r="D56">
        <f t="shared" si="13"/>
        <v>1.2664163185056379</v>
      </c>
      <c r="E56">
        <v>56</v>
      </c>
      <c r="G56">
        <f t="shared" si="14"/>
        <v>614.62731301759618</v>
      </c>
      <c r="H56">
        <f t="shared" si="15"/>
        <v>1.8901368151967941</v>
      </c>
      <c r="I56">
        <v>56</v>
      </c>
      <c r="K56">
        <f t="shared" si="16"/>
        <v>410.82080853174602</v>
      </c>
      <c r="L56">
        <f t="shared" si="17"/>
        <v>0.61243101931815458</v>
      </c>
      <c r="M56">
        <v>56</v>
      </c>
      <c r="O56">
        <f t="shared" si="18"/>
        <v>410.82080853174602</v>
      </c>
      <c r="P56">
        <f t="shared" si="19"/>
        <v>1.4974291888042988</v>
      </c>
      <c r="Q56">
        <v>56</v>
      </c>
      <c r="S56">
        <f t="shared" si="20"/>
        <v>1.7492450109523849</v>
      </c>
      <c r="T56">
        <f t="shared" si="21"/>
        <v>1.2357325733559335</v>
      </c>
      <c r="U56">
        <v>56</v>
      </c>
      <c r="W56">
        <f t="shared" si="22"/>
        <v>1.7626087734458808</v>
      </c>
      <c r="X56">
        <f t="shared" si="23"/>
        <v>2.2777813159559051</v>
      </c>
    </row>
    <row r="57" spans="1:24" x14ac:dyDescent="0.45">
      <c r="A57">
        <v>57</v>
      </c>
      <c r="C57">
        <f t="shared" si="12"/>
        <v>626.85570328674726</v>
      </c>
      <c r="D57">
        <f t="shared" si="13"/>
        <v>1.2916124538838016</v>
      </c>
      <c r="E57">
        <v>57</v>
      </c>
      <c r="G57">
        <f t="shared" si="14"/>
        <v>626.85570328674726</v>
      </c>
      <c r="H57">
        <f t="shared" si="15"/>
        <v>1.9277422553534291</v>
      </c>
      <c r="I57">
        <v>57</v>
      </c>
      <c r="K57">
        <f t="shared" si="16"/>
        <v>419.34362599206349</v>
      </c>
      <c r="L57">
        <f t="shared" si="17"/>
        <v>0.63226291678127544</v>
      </c>
      <c r="M57">
        <v>57</v>
      </c>
      <c r="O57">
        <f t="shared" si="18"/>
        <v>419.34362599206349</v>
      </c>
      <c r="P57">
        <f t="shared" si="19"/>
        <v>1.5213680864108865</v>
      </c>
      <c r="Q57">
        <v>57</v>
      </c>
      <c r="S57">
        <f t="shared" si="20"/>
        <v>1.7817846301071234</v>
      </c>
      <c r="T57">
        <f t="shared" si="21"/>
        <v>1.2642173467144557</v>
      </c>
      <c r="U57">
        <v>57</v>
      </c>
      <c r="W57">
        <f t="shared" si="22"/>
        <v>1.7941938381367981</v>
      </c>
      <c r="X57">
        <f t="shared" si="23"/>
        <v>2.3133186712660789</v>
      </c>
    </row>
    <row r="58" spans="1:24" x14ac:dyDescent="0.45">
      <c r="A58">
        <v>58</v>
      </c>
      <c r="C58">
        <f t="shared" si="12"/>
        <v>639.08409355589845</v>
      </c>
      <c r="D58">
        <f t="shared" si="13"/>
        <v>1.3168085892619659</v>
      </c>
      <c r="E58">
        <v>58</v>
      </c>
      <c r="G58">
        <f t="shared" si="14"/>
        <v>639.08409355589845</v>
      </c>
      <c r="H58">
        <f t="shared" si="15"/>
        <v>1.9653476955100646</v>
      </c>
      <c r="I58">
        <v>58</v>
      </c>
      <c r="K58">
        <f t="shared" si="16"/>
        <v>427.86644345238096</v>
      </c>
      <c r="L58">
        <f t="shared" si="17"/>
        <v>0.65206238405479378</v>
      </c>
      <c r="M58">
        <v>58</v>
      </c>
      <c r="O58">
        <f t="shared" si="18"/>
        <v>427.86644345238096</v>
      </c>
      <c r="P58">
        <f t="shared" si="19"/>
        <v>1.5453394142070769</v>
      </c>
      <c r="Q58">
        <v>58</v>
      </c>
      <c r="S58">
        <f t="shared" si="20"/>
        <v>1.8143242492618619</v>
      </c>
      <c r="T58">
        <f t="shared" si="21"/>
        <v>1.2926597801554314</v>
      </c>
      <c r="U58">
        <v>58</v>
      </c>
      <c r="W58">
        <f t="shared" si="22"/>
        <v>1.8257789028277154</v>
      </c>
      <c r="X58">
        <f t="shared" si="23"/>
        <v>2.348895560758101</v>
      </c>
    </row>
    <row r="59" spans="1:24" x14ac:dyDescent="0.45">
      <c r="A59">
        <v>59</v>
      </c>
      <c r="C59">
        <f t="shared" si="12"/>
        <v>651.31248382504953</v>
      </c>
      <c r="D59">
        <f t="shared" si="13"/>
        <v>1.3420047246401299</v>
      </c>
      <c r="E59">
        <v>59</v>
      </c>
      <c r="G59">
        <f t="shared" si="14"/>
        <v>651.31248382504953</v>
      </c>
      <c r="H59">
        <f t="shared" si="15"/>
        <v>2.0029531356666999</v>
      </c>
      <c r="I59">
        <v>59</v>
      </c>
      <c r="K59">
        <f t="shared" si="16"/>
        <v>436.38926091269843</v>
      </c>
      <c r="L59">
        <f t="shared" si="17"/>
        <v>0.6718298733689817</v>
      </c>
      <c r="M59">
        <v>59</v>
      </c>
      <c r="O59">
        <f t="shared" si="18"/>
        <v>436.38926091269843</v>
      </c>
      <c r="P59">
        <f t="shared" si="19"/>
        <v>1.5693427199625973</v>
      </c>
      <c r="Q59">
        <v>59</v>
      </c>
      <c r="S59">
        <f t="shared" si="20"/>
        <v>1.8468638684166003</v>
      </c>
      <c r="T59">
        <f t="shared" si="21"/>
        <v>1.3210608634469319</v>
      </c>
      <c r="U59">
        <v>59</v>
      </c>
      <c r="W59">
        <f t="shared" si="22"/>
        <v>1.8573639675186326</v>
      </c>
      <c r="X59">
        <f t="shared" si="23"/>
        <v>2.384511086314232</v>
      </c>
    </row>
    <row r="60" spans="1:24" x14ac:dyDescent="0.45">
      <c r="A60">
        <v>60</v>
      </c>
      <c r="C60">
        <f t="shared" si="12"/>
        <v>663.5408740942006</v>
      </c>
      <c r="D60">
        <f t="shared" si="13"/>
        <v>1.3672008600182937</v>
      </c>
      <c r="E60">
        <v>60</v>
      </c>
      <c r="G60">
        <f t="shared" si="14"/>
        <v>663.5408740942006</v>
      </c>
      <c r="H60">
        <f t="shared" si="15"/>
        <v>2.0405585758233351</v>
      </c>
      <c r="I60">
        <v>60</v>
      </c>
      <c r="K60">
        <f t="shared" si="16"/>
        <v>444.9120783730159</v>
      </c>
      <c r="L60">
        <f t="shared" si="17"/>
        <v>0.69156583532576288</v>
      </c>
      <c r="M60">
        <v>60</v>
      </c>
      <c r="O60">
        <f t="shared" si="18"/>
        <v>444.9120783730159</v>
      </c>
      <c r="P60">
        <f t="shared" si="19"/>
        <v>1.5933775530755252</v>
      </c>
      <c r="Q60">
        <v>60</v>
      </c>
      <c r="S60">
        <f t="shared" si="20"/>
        <v>1.8794034875713388</v>
      </c>
      <c r="T60">
        <f t="shared" si="21"/>
        <v>1.3494215652762631</v>
      </c>
      <c r="U60">
        <v>60</v>
      </c>
      <c r="W60">
        <f t="shared" si="22"/>
        <v>1.8889490322095499</v>
      </c>
      <c r="X60">
        <f t="shared" si="23"/>
        <v>2.420164368511355</v>
      </c>
    </row>
    <row r="61" spans="1:24" x14ac:dyDescent="0.45">
      <c r="A61">
        <v>61</v>
      </c>
      <c r="C61">
        <f t="shared" si="12"/>
        <v>675.76926436335168</v>
      </c>
      <c r="D61">
        <f t="shared" si="13"/>
        <v>1.3923969953964577</v>
      </c>
      <c r="E61">
        <v>61</v>
      </c>
      <c r="G61">
        <f t="shared" si="14"/>
        <v>675.76926436335168</v>
      </c>
      <c r="H61">
        <f t="shared" si="15"/>
        <v>2.0781640159799704</v>
      </c>
      <c r="I61">
        <v>61</v>
      </c>
      <c r="K61">
        <f t="shared" si="16"/>
        <v>453.43489583333337</v>
      </c>
      <c r="L61">
        <f t="shared" si="17"/>
        <v>0.71127071862097602</v>
      </c>
      <c r="M61">
        <v>61</v>
      </c>
      <c r="O61">
        <f t="shared" si="18"/>
        <v>453.43489583333337</v>
      </c>
      <c r="P61">
        <f t="shared" si="19"/>
        <v>1.6174434648500209</v>
      </c>
      <c r="Q61">
        <v>61</v>
      </c>
      <c r="S61">
        <f t="shared" si="20"/>
        <v>1.9119431067260773</v>
      </c>
      <c r="T61">
        <f t="shared" si="21"/>
        <v>1.3777428333253181</v>
      </c>
      <c r="U61">
        <v>61</v>
      </c>
      <c r="W61">
        <f t="shared" si="22"/>
        <v>1.9205340969004672</v>
      </c>
      <c r="X61">
        <f t="shared" si="23"/>
        <v>2.455854546544856</v>
      </c>
    </row>
    <row r="62" spans="1:24" x14ac:dyDescent="0.45">
      <c r="A62">
        <v>62</v>
      </c>
      <c r="C62">
        <f t="shared" si="12"/>
        <v>687.99765463250276</v>
      </c>
      <c r="D62">
        <f t="shared" si="13"/>
        <v>1.4175931307746217</v>
      </c>
      <c r="E62">
        <v>62</v>
      </c>
      <c r="G62">
        <f t="shared" si="14"/>
        <v>687.99765463250276</v>
      </c>
      <c r="H62">
        <f t="shared" si="15"/>
        <v>2.1157694561366056</v>
      </c>
      <c r="I62">
        <v>62</v>
      </c>
      <c r="K62">
        <f t="shared" si="16"/>
        <v>461.95771329365078</v>
      </c>
      <c r="L62">
        <f t="shared" si="17"/>
        <v>0.73094496978086831</v>
      </c>
      <c r="M62">
        <v>62</v>
      </c>
      <c r="O62">
        <f t="shared" si="18"/>
        <v>461.95771329365078</v>
      </c>
      <c r="P62">
        <f t="shared" si="19"/>
        <v>1.6415400087598371</v>
      </c>
      <c r="Q62">
        <v>62</v>
      </c>
      <c r="S62">
        <f t="shared" si="20"/>
        <v>1.9444827258808159</v>
      </c>
      <c r="T62">
        <f t="shared" si="21"/>
        <v>1.4060255943831272</v>
      </c>
      <c r="U62">
        <v>62</v>
      </c>
      <c r="W62">
        <f t="shared" si="22"/>
        <v>1.9521191615913847</v>
      </c>
      <c r="X62">
        <f t="shared" si="23"/>
        <v>2.4915807781223425</v>
      </c>
    </row>
    <row r="63" spans="1:24" x14ac:dyDescent="0.45">
      <c r="A63">
        <v>63</v>
      </c>
      <c r="C63">
        <f t="shared" si="12"/>
        <v>700.22604490165395</v>
      </c>
      <c r="D63">
        <f t="shared" si="13"/>
        <v>1.4427892661527855</v>
      </c>
      <c r="E63">
        <v>63</v>
      </c>
      <c r="G63">
        <f t="shared" si="14"/>
        <v>700.22604490165395</v>
      </c>
      <c r="H63">
        <f t="shared" si="15"/>
        <v>2.1533748962932409</v>
      </c>
      <c r="I63">
        <v>63</v>
      </c>
      <c r="K63">
        <f t="shared" si="16"/>
        <v>470.48053075396825</v>
      </c>
      <c r="L63">
        <f t="shared" si="17"/>
        <v>0.75058903291265522</v>
      </c>
      <c r="M63">
        <v>63</v>
      </c>
      <c r="O63">
        <f t="shared" si="18"/>
        <v>470.48053075396825</v>
      </c>
      <c r="P63">
        <f t="shared" si="19"/>
        <v>1.6656667406977588</v>
      </c>
      <c r="Q63">
        <v>63</v>
      </c>
      <c r="S63">
        <f t="shared" si="20"/>
        <v>1.9770223450355544</v>
      </c>
      <c r="T63">
        <f t="shared" si="21"/>
        <v>1.4342707544921423</v>
      </c>
      <c r="U63">
        <v>63</v>
      </c>
      <c r="W63">
        <f t="shared" si="22"/>
        <v>1.9837042262823019</v>
      </c>
      <c r="X63">
        <f t="shared" si="23"/>
        <v>2.5273422393299638</v>
      </c>
    </row>
    <row r="64" spans="1:24" x14ac:dyDescent="0.45">
      <c r="A64">
        <v>64</v>
      </c>
      <c r="C64">
        <f t="shared" si="12"/>
        <v>712.45443517080503</v>
      </c>
      <c r="D64">
        <f t="shared" si="13"/>
        <v>1.4679854015309495</v>
      </c>
      <c r="E64">
        <v>64</v>
      </c>
      <c r="G64">
        <f t="shared" si="14"/>
        <v>712.45443517080503</v>
      </c>
      <c r="H64">
        <f t="shared" si="15"/>
        <v>2.1909803364498761</v>
      </c>
      <c r="I64">
        <v>64</v>
      </c>
      <c r="K64">
        <f t="shared" si="16"/>
        <v>479.00334821428572</v>
      </c>
      <c r="L64">
        <f t="shared" si="17"/>
        <v>0.77020334946895641</v>
      </c>
      <c r="M64">
        <v>64</v>
      </c>
      <c r="O64">
        <f t="shared" si="18"/>
        <v>479.00334821428572</v>
      </c>
      <c r="P64">
        <f t="shared" si="19"/>
        <v>1.6898232192111662</v>
      </c>
      <c r="Q64">
        <v>64</v>
      </c>
      <c r="S64">
        <f t="shared" si="20"/>
        <v>2.0095619641902926</v>
      </c>
      <c r="T64">
        <f t="shared" si="21"/>
        <v>1.4624791991249877</v>
      </c>
      <c r="U64">
        <v>64</v>
      </c>
      <c r="W64">
        <f t="shared" si="22"/>
        <v>2.015289290973219</v>
      </c>
      <c r="X64">
        <f t="shared" si="23"/>
        <v>2.5631381244739559</v>
      </c>
    </row>
    <row r="65" spans="1:24" x14ac:dyDescent="0.45">
      <c r="A65">
        <v>65</v>
      </c>
      <c r="C65">
        <f t="shared" ref="C65:C70" si="24">-57.9341517857143+(A65-1)*12.2283902691511</f>
        <v>724.6828254399561</v>
      </c>
      <c r="D65">
        <f t="shared" ref="D65:D70" si="25">0+0.00256785947097348*C65-0.390325886895382*(0+(C65-0)^2/591777.40749437)^0.5</f>
        <v>1.4931815369091135</v>
      </c>
      <c r="E65">
        <v>65</v>
      </c>
      <c r="G65">
        <f t="shared" ref="G65:G70" si="26">-57.9341517857143+(E65-1)*12.2283902691511</f>
        <v>724.6828254399561</v>
      </c>
      <c r="H65">
        <f t="shared" ref="H65:H70" si="27">0+0.00256785947097348*G65+0.390325886895382*(0+(G65-0)^2/591777.40749437)^0.5</f>
        <v>2.2285857766065114</v>
      </c>
      <c r="I65">
        <v>65</v>
      </c>
      <c r="K65">
        <f t="shared" ref="K65:K100" si="28">-57.9341517857143+(I65-1)*8.52281746031746</f>
        <v>487.52616567460319</v>
      </c>
      <c r="L65">
        <f t="shared" ref="L65:L96" si="29">0+0.00256785947097348*K65-0.390325886895382*(1+(K65-0)^2/591777.40749437)^0.5</f>
        <v>0.78978835802588399</v>
      </c>
      <c r="M65">
        <v>65</v>
      </c>
      <c r="O65">
        <f t="shared" ref="O65:O100" si="30">-57.9341517857143+(M65-1)*8.52281746031746</f>
        <v>487.52616567460319</v>
      </c>
      <c r="P65">
        <f t="shared" ref="P65:P96" si="31">0+0.00256785947097348*O65+0.390325886895382*(1+(O65-0)^2/591777.40749437)^0.5</f>
        <v>1.7140090057239472</v>
      </c>
      <c r="Q65">
        <v>65</v>
      </c>
      <c r="S65">
        <f t="shared" ref="S65:S70" si="32">-0.0404340425582326+(Q65-1)*0.0325396191547385</f>
        <v>2.0421015833450311</v>
      </c>
      <c r="T65">
        <f t="shared" ref="T65:T70" si="33">0+1*S65-0.390325886895382*(1+(S65-0)^2/4.18699026402996)^0.5</f>
        <v>1.4906517933885866</v>
      </c>
      <c r="U65">
        <v>65</v>
      </c>
      <c r="W65">
        <f t="shared" ref="W65:W70" si="34">0.0254302154454293+(U65-1)*0.0315850646909173</f>
        <v>2.0468743556641362</v>
      </c>
      <c r="X65">
        <f t="shared" ref="X65:X70" si="35">0+1*W65+0.390325886895382*(1+(W65-0)^2/4.18699026402996)^0.5</f>
        <v>2.5989676458998714</v>
      </c>
    </row>
    <row r="66" spans="1:24" x14ac:dyDescent="0.45">
      <c r="A66">
        <v>66</v>
      </c>
      <c r="C66">
        <f t="shared" si="24"/>
        <v>736.91121570910718</v>
      </c>
      <c r="D66">
        <f t="shared" si="25"/>
        <v>1.5183776722872773</v>
      </c>
      <c r="E66">
        <v>66</v>
      </c>
      <c r="G66">
        <f t="shared" si="26"/>
        <v>736.91121570910718</v>
      </c>
      <c r="H66">
        <f t="shared" si="27"/>
        <v>2.2661912167631462</v>
      </c>
      <c r="I66">
        <v>66</v>
      </c>
      <c r="K66">
        <f t="shared" si="28"/>
        <v>496.04898313492066</v>
      </c>
      <c r="L66">
        <f t="shared" si="29"/>
        <v>0.8093444940745278</v>
      </c>
      <c r="M66">
        <v>66</v>
      </c>
      <c r="O66">
        <f t="shared" si="30"/>
        <v>496.04898313492066</v>
      </c>
      <c r="P66">
        <f t="shared" si="31"/>
        <v>1.738223664745012</v>
      </c>
      <c r="Q66">
        <v>66</v>
      </c>
      <c r="S66">
        <f t="shared" si="32"/>
        <v>2.0746412024997696</v>
      </c>
      <c r="T66">
        <f t="shared" si="33"/>
        <v>1.5187893822527494</v>
      </c>
      <c r="U66">
        <v>66</v>
      </c>
      <c r="W66">
        <f t="shared" si="34"/>
        <v>2.0784594203550535</v>
      </c>
      <c r="X66">
        <f t="shared" si="35"/>
        <v>2.6348300337918285</v>
      </c>
    </row>
    <row r="67" spans="1:24" x14ac:dyDescent="0.45">
      <c r="A67">
        <v>67</v>
      </c>
      <c r="C67">
        <f t="shared" si="24"/>
        <v>749.13960597825826</v>
      </c>
      <c r="D67">
        <f t="shared" si="25"/>
        <v>1.5435738076654413</v>
      </c>
      <c r="E67">
        <v>67</v>
      </c>
      <c r="G67">
        <f t="shared" si="26"/>
        <v>749.13960597825826</v>
      </c>
      <c r="H67">
        <f t="shared" si="27"/>
        <v>2.3037966569197819</v>
      </c>
      <c r="I67">
        <v>67</v>
      </c>
      <c r="K67">
        <f t="shared" si="28"/>
        <v>504.57180059523813</v>
      </c>
      <c r="L67">
        <f t="shared" si="29"/>
        <v>0.82887218982556521</v>
      </c>
      <c r="M67">
        <v>67</v>
      </c>
      <c r="O67">
        <f t="shared" si="30"/>
        <v>504.57180059523813</v>
      </c>
      <c r="P67">
        <f t="shared" si="31"/>
        <v>1.7624667640636837</v>
      </c>
      <c r="Q67">
        <v>67</v>
      </c>
      <c r="S67">
        <f t="shared" si="32"/>
        <v>2.107180821654508</v>
      </c>
      <c r="T67">
        <f t="shared" si="33"/>
        <v>1.5468927908005057</v>
      </c>
      <c r="U67">
        <v>67</v>
      </c>
      <c r="W67">
        <f t="shared" si="34"/>
        <v>2.1100444850459708</v>
      </c>
      <c r="X67">
        <f t="shared" si="35"/>
        <v>2.6707245359539726</v>
      </c>
    </row>
    <row r="68" spans="1:24" x14ac:dyDescent="0.45">
      <c r="A68">
        <v>68</v>
      </c>
      <c r="C68">
        <f t="shared" si="24"/>
        <v>761.36799624740945</v>
      </c>
      <c r="D68">
        <f t="shared" si="25"/>
        <v>1.5687699430436055</v>
      </c>
      <c r="E68">
        <v>68</v>
      </c>
      <c r="G68">
        <f t="shared" si="26"/>
        <v>761.36799624740945</v>
      </c>
      <c r="H68">
        <f t="shared" si="27"/>
        <v>2.3414020970764171</v>
      </c>
      <c r="I68">
        <v>68</v>
      </c>
      <c r="K68">
        <f t="shared" si="28"/>
        <v>513.09461805555554</v>
      </c>
      <c r="L68">
        <f t="shared" si="29"/>
        <v>0.84837187402668857</v>
      </c>
      <c r="M68">
        <v>68</v>
      </c>
      <c r="O68">
        <f t="shared" si="30"/>
        <v>513.09461805555554</v>
      </c>
      <c r="P68">
        <f t="shared" si="31"/>
        <v>1.7867378749322684</v>
      </c>
      <c r="Q68">
        <v>68</v>
      </c>
      <c r="S68">
        <f t="shared" si="32"/>
        <v>2.1397204408092465</v>
      </c>
      <c r="T68">
        <f t="shared" si="33"/>
        <v>1.5749628244976144</v>
      </c>
      <c r="U68">
        <v>68</v>
      </c>
      <c r="W68">
        <f t="shared" si="34"/>
        <v>2.141629549736888</v>
      </c>
      <c r="X68">
        <f t="shared" si="35"/>
        <v>2.7066504175761903</v>
      </c>
    </row>
    <row r="69" spans="1:24" x14ac:dyDescent="0.45">
      <c r="A69">
        <v>69</v>
      </c>
      <c r="C69">
        <f t="shared" si="24"/>
        <v>773.59638651656053</v>
      </c>
      <c r="D69">
        <f t="shared" si="25"/>
        <v>1.5939660784217693</v>
      </c>
      <c r="E69">
        <v>69</v>
      </c>
      <c r="G69">
        <f t="shared" si="26"/>
        <v>773.59638651656053</v>
      </c>
      <c r="H69">
        <f t="shared" si="27"/>
        <v>2.3790075372330524</v>
      </c>
      <c r="I69">
        <v>69</v>
      </c>
      <c r="K69">
        <f t="shared" si="28"/>
        <v>521.61743551587301</v>
      </c>
      <c r="L69">
        <f t="shared" si="29"/>
        <v>0.86784397179254436</v>
      </c>
      <c r="M69">
        <v>69</v>
      </c>
      <c r="O69">
        <f t="shared" si="30"/>
        <v>521.61743551587301</v>
      </c>
      <c r="P69">
        <f t="shared" si="31"/>
        <v>1.8110365722361217</v>
      </c>
      <c r="Q69">
        <v>69</v>
      </c>
      <c r="S69">
        <f t="shared" si="32"/>
        <v>2.172260059963985</v>
      </c>
      <c r="T69">
        <f t="shared" si="33"/>
        <v>1.6030002694788767</v>
      </c>
      <c r="U69">
        <v>69</v>
      </c>
      <c r="W69">
        <f t="shared" si="34"/>
        <v>2.1732146144278053</v>
      </c>
      <c r="X69">
        <f t="shared" si="35"/>
        <v>2.7426069609860018</v>
      </c>
    </row>
    <row r="70" spans="1:24" x14ac:dyDescent="0.45">
      <c r="A70">
        <v>70</v>
      </c>
      <c r="C70">
        <f t="shared" si="24"/>
        <v>785.82477678571161</v>
      </c>
      <c r="D70">
        <f t="shared" si="25"/>
        <v>1.6191622137999333</v>
      </c>
      <c r="E70">
        <v>70</v>
      </c>
      <c r="G70">
        <f t="shared" si="26"/>
        <v>785.82477678571161</v>
      </c>
      <c r="H70">
        <f t="shared" si="27"/>
        <v>2.4166129773896872</v>
      </c>
      <c r="I70">
        <v>70</v>
      </c>
      <c r="K70">
        <f t="shared" si="28"/>
        <v>530.14025297619048</v>
      </c>
      <c r="L70">
        <f t="shared" si="29"/>
        <v>0.88728890444683439</v>
      </c>
      <c r="M70">
        <v>70</v>
      </c>
      <c r="O70">
        <f t="shared" si="30"/>
        <v>530.14025297619048</v>
      </c>
      <c r="P70">
        <f t="shared" si="31"/>
        <v>1.8353624346515403</v>
      </c>
      <c r="Q70">
        <v>70</v>
      </c>
      <c r="S70">
        <f t="shared" si="32"/>
        <v>2.2047996791187234</v>
      </c>
      <c r="T70">
        <f t="shared" si="33"/>
        <v>1.6310058928490274</v>
      </c>
      <c r="U70">
        <v>70</v>
      </c>
      <c r="W70">
        <f t="shared" si="34"/>
        <v>2.2047996791187225</v>
      </c>
      <c r="X70">
        <f t="shared" si="35"/>
        <v>2.7785934653884183</v>
      </c>
    </row>
    <row r="71" spans="1:24" x14ac:dyDescent="0.45">
      <c r="I71">
        <v>71</v>
      </c>
      <c r="K71">
        <f t="shared" si="28"/>
        <v>538.66307043650795</v>
      </c>
      <c r="L71">
        <f t="shared" si="29"/>
        <v>0.90670708937624256</v>
      </c>
      <c r="M71">
        <v>71</v>
      </c>
      <c r="O71">
        <f t="shared" si="30"/>
        <v>538.66307043650795</v>
      </c>
      <c r="P71">
        <f t="shared" si="31"/>
        <v>1.8597150447918407</v>
      </c>
    </row>
    <row r="72" spans="1:24" x14ac:dyDescent="0.45">
      <c r="I72">
        <v>72</v>
      </c>
      <c r="K72">
        <f t="shared" si="28"/>
        <v>547.18588789682531</v>
      </c>
      <c r="L72">
        <f t="shared" si="29"/>
        <v>0.92609893989582037</v>
      </c>
      <c r="M72">
        <v>72</v>
      </c>
      <c r="O72">
        <f t="shared" si="30"/>
        <v>547.18588789682531</v>
      </c>
      <c r="P72">
        <f t="shared" si="31"/>
        <v>1.884093989341971</v>
      </c>
    </row>
    <row r="73" spans="1:24" x14ac:dyDescent="0.45">
      <c r="I73">
        <v>73</v>
      </c>
      <c r="K73">
        <f t="shared" si="28"/>
        <v>555.70870535714278</v>
      </c>
      <c r="L73">
        <f t="shared" si="29"/>
        <v>0.94546486512546313</v>
      </c>
      <c r="M73">
        <v>73</v>
      </c>
      <c r="O73">
        <f t="shared" si="30"/>
        <v>555.70870535714278</v>
      </c>
      <c r="P73">
        <f t="shared" si="31"/>
        <v>1.9084988591820369</v>
      </c>
    </row>
    <row r="74" spans="1:24" x14ac:dyDescent="0.45">
      <c r="I74">
        <v>74</v>
      </c>
      <c r="K74">
        <f t="shared" si="28"/>
        <v>564.23152281746025</v>
      </c>
      <c r="L74">
        <f t="shared" si="29"/>
        <v>0.96480526987710036</v>
      </c>
      <c r="M74">
        <v>74</v>
      </c>
      <c r="O74">
        <f t="shared" si="30"/>
        <v>564.23152281746025</v>
      </c>
      <c r="P74">
        <f t="shared" si="31"/>
        <v>1.9329292495001082</v>
      </c>
    </row>
    <row r="75" spans="1:24" x14ac:dyDescent="0.45">
      <c r="I75">
        <v>75</v>
      </c>
      <c r="K75">
        <f t="shared" si="28"/>
        <v>572.75434027777771</v>
      </c>
      <c r="L75">
        <f t="shared" si="29"/>
        <v>0.98412055455221781</v>
      </c>
      <c r="M75">
        <v>75</v>
      </c>
      <c r="O75">
        <f t="shared" si="30"/>
        <v>572.75434027777771</v>
      </c>
      <c r="P75">
        <f t="shared" si="31"/>
        <v>1.9573847598946998</v>
      </c>
    </row>
    <row r="76" spans="1:24" x14ac:dyDescent="0.45">
      <c r="I76">
        <v>76</v>
      </c>
      <c r="K76">
        <f t="shared" si="28"/>
        <v>581.27715773809518</v>
      </c>
      <c r="L76">
        <f t="shared" si="29"/>
        <v>1.0034111150493255</v>
      </c>
      <c r="M76">
        <v>76</v>
      </c>
      <c r="O76">
        <f t="shared" si="30"/>
        <v>581.27715773809518</v>
      </c>
      <c r="P76">
        <f t="shared" si="31"/>
        <v>1.9818649944673008</v>
      </c>
    </row>
    <row r="77" spans="1:24" x14ac:dyDescent="0.45">
      <c r="I77">
        <v>77</v>
      </c>
      <c r="K77">
        <f t="shared" si="28"/>
        <v>589.79997519841265</v>
      </c>
      <c r="L77">
        <f t="shared" si="29"/>
        <v>1.0226773426809874</v>
      </c>
      <c r="M77">
        <v>77</v>
      </c>
      <c r="O77">
        <f t="shared" si="30"/>
        <v>589.79997519841265</v>
      </c>
      <c r="P77">
        <f t="shared" si="31"/>
        <v>2.0063695619053474</v>
      </c>
    </row>
    <row r="78" spans="1:24" x14ac:dyDescent="0.45">
      <c r="I78">
        <v>78</v>
      </c>
      <c r="K78">
        <f t="shared" si="28"/>
        <v>598.32279265873012</v>
      </c>
      <c r="L78">
        <f t="shared" si="29"/>
        <v>1.0419196241000193</v>
      </c>
      <c r="M78">
        <v>78</v>
      </c>
      <c r="O78">
        <f t="shared" si="30"/>
        <v>598.32279265873012</v>
      </c>
      <c r="P78">
        <f t="shared" si="31"/>
        <v>2.0308980755560242</v>
      </c>
    </row>
    <row r="79" spans="1:24" x14ac:dyDescent="0.45">
      <c r="I79">
        <v>79</v>
      </c>
      <c r="K79">
        <f t="shared" si="28"/>
        <v>606.84561011904759</v>
      </c>
      <c r="L79">
        <f t="shared" si="29"/>
        <v>1.0611383412344773</v>
      </c>
      <c r="M79">
        <v>79</v>
      </c>
      <c r="O79">
        <f t="shared" si="30"/>
        <v>606.84561011904759</v>
      </c>
      <c r="P79">
        <f t="shared" si="31"/>
        <v>2.0554501534912752</v>
      </c>
    </row>
    <row r="80" spans="1:24" x14ac:dyDescent="0.45">
      <c r="I80">
        <v>80</v>
      </c>
      <c r="K80">
        <f t="shared" si="28"/>
        <v>615.36842757936506</v>
      </c>
      <c r="L80">
        <f t="shared" si="29"/>
        <v>1.0803338712310455</v>
      </c>
      <c r="M80">
        <v>80</v>
      </c>
      <c r="O80">
        <f t="shared" si="30"/>
        <v>615.36842757936506</v>
      </c>
      <c r="P80">
        <f t="shared" si="31"/>
        <v>2.0800254185644156</v>
      </c>
    </row>
    <row r="81" spans="9:16" x14ac:dyDescent="0.45">
      <c r="I81">
        <v>81</v>
      </c>
      <c r="K81">
        <f t="shared" si="28"/>
        <v>623.89124503968253</v>
      </c>
      <c r="L81">
        <f t="shared" si="29"/>
        <v>1.0995065864064508</v>
      </c>
      <c r="M81">
        <v>81</v>
      </c>
      <c r="O81">
        <f t="shared" si="30"/>
        <v>623.89124503968253</v>
      </c>
      <c r="P81">
        <f t="shared" si="31"/>
        <v>2.1046234984587189</v>
      </c>
    </row>
    <row r="82" spans="9:16" x14ac:dyDescent="0.45">
      <c r="I82">
        <v>82</v>
      </c>
      <c r="K82">
        <f t="shared" si="28"/>
        <v>632.4140625</v>
      </c>
      <c r="L82">
        <f t="shared" si="29"/>
        <v>1.1186568542065234</v>
      </c>
      <c r="M82">
        <v>82</v>
      </c>
      <c r="O82">
        <f t="shared" si="30"/>
        <v>632.4140625</v>
      </c>
      <c r="P82">
        <f t="shared" si="31"/>
        <v>2.1292440257283549</v>
      </c>
    </row>
    <row r="83" spans="9:16" x14ac:dyDescent="0.45">
      <c r="I83">
        <v>83</v>
      </c>
      <c r="K83">
        <f t="shared" si="28"/>
        <v>640.93687996031747</v>
      </c>
      <c r="L83">
        <f t="shared" si="29"/>
        <v>1.13778503717254</v>
      </c>
      <c r="M83">
        <v>83</v>
      </c>
      <c r="O83">
        <f t="shared" si="30"/>
        <v>640.93687996031747</v>
      </c>
      <c r="P83">
        <f t="shared" si="31"/>
        <v>2.1538866378320476</v>
      </c>
    </row>
    <row r="84" spans="9:16" x14ac:dyDescent="0.45">
      <c r="I84">
        <v>84</v>
      </c>
      <c r="K84">
        <f t="shared" si="28"/>
        <v>649.45969742063494</v>
      </c>
      <c r="L84">
        <f t="shared" si="29"/>
        <v>1.1568914929144813</v>
      </c>
      <c r="M84">
        <v>84</v>
      </c>
      <c r="O84">
        <f t="shared" si="30"/>
        <v>649.45969742063494</v>
      </c>
      <c r="P84">
        <f t="shared" si="31"/>
        <v>2.1785509771598148</v>
      </c>
    </row>
    <row r="85" spans="9:16" x14ac:dyDescent="0.45">
      <c r="I85">
        <v>85</v>
      </c>
      <c r="K85">
        <f t="shared" si="28"/>
        <v>657.98251488095229</v>
      </c>
      <c r="L85">
        <f t="shared" si="29"/>
        <v>1.1759765740908572</v>
      </c>
      <c r="M85">
        <v>85</v>
      </c>
      <c r="O85">
        <f t="shared" si="30"/>
        <v>657.98251488095229</v>
      </c>
      <c r="P85">
        <f t="shared" si="31"/>
        <v>2.2032366910531467</v>
      </c>
    </row>
    <row r="86" spans="9:16" x14ac:dyDescent="0.45">
      <c r="I86">
        <v>86</v>
      </c>
      <c r="K86">
        <f t="shared" si="28"/>
        <v>666.50533234126976</v>
      </c>
      <c r="L86">
        <f t="shared" si="29"/>
        <v>1.1950406283947439</v>
      </c>
      <c r="M86">
        <v>86</v>
      </c>
      <c r="O86">
        <f t="shared" si="30"/>
        <v>666.50533234126976</v>
      </c>
      <c r="P86">
        <f t="shared" si="31"/>
        <v>2.2279434318189688</v>
      </c>
    </row>
    <row r="87" spans="9:16" x14ac:dyDescent="0.45">
      <c r="I87">
        <v>87</v>
      </c>
      <c r="K87">
        <f t="shared" si="28"/>
        <v>675.02814980158723</v>
      </c>
      <c r="L87">
        <f t="shared" si="29"/>
        <v>1.2140839985456988</v>
      </c>
      <c r="M87">
        <v>87</v>
      </c>
      <c r="O87">
        <f t="shared" si="30"/>
        <v>675.02814980158723</v>
      </c>
      <c r="P87">
        <f t="shared" si="31"/>
        <v>2.2526708567377227</v>
      </c>
    </row>
    <row r="88" spans="9:16" x14ac:dyDescent="0.45">
      <c r="I88">
        <v>88</v>
      </c>
      <c r="K88">
        <f t="shared" si="28"/>
        <v>683.5509672619047</v>
      </c>
      <c r="L88">
        <f t="shared" si="29"/>
        <v>1.2331070222872254</v>
      </c>
      <c r="M88">
        <v>88</v>
      </c>
      <c r="O88">
        <f t="shared" si="30"/>
        <v>683.5509672619047</v>
      </c>
      <c r="P88">
        <f t="shared" si="31"/>
        <v>2.2774186280659046</v>
      </c>
    </row>
    <row r="89" spans="9:16" x14ac:dyDescent="0.45">
      <c r="I89">
        <v>89</v>
      </c>
      <c r="K89">
        <f t="shared" si="28"/>
        <v>692.07378472222217</v>
      </c>
      <c r="L89">
        <f t="shared" si="29"/>
        <v>1.2521100323894636</v>
      </c>
      <c r="M89">
        <v>89</v>
      </c>
      <c r="O89">
        <f t="shared" si="30"/>
        <v>692.07378472222217</v>
      </c>
      <c r="P89">
        <f t="shared" si="31"/>
        <v>2.3021864130333753</v>
      </c>
    </row>
    <row r="90" spans="9:16" x14ac:dyDescent="0.45">
      <c r="I90">
        <v>90</v>
      </c>
      <c r="K90">
        <f t="shared" si="28"/>
        <v>700.59660218253964</v>
      </c>
      <c r="L90">
        <f t="shared" si="29"/>
        <v>1.2710933566567979</v>
      </c>
      <c r="M90">
        <v>90</v>
      </c>
      <c r="O90">
        <f t="shared" si="30"/>
        <v>700.59660218253964</v>
      </c>
      <c r="P90">
        <f t="shared" si="31"/>
        <v>2.3269738838357497</v>
      </c>
    </row>
    <row r="91" spans="9:16" x14ac:dyDescent="0.45">
      <c r="I91">
        <v>91</v>
      </c>
      <c r="K91">
        <f t="shared" si="28"/>
        <v>709.11941964285711</v>
      </c>
      <c r="L91">
        <f t="shared" si="29"/>
        <v>1.2900573179400834</v>
      </c>
      <c r="M91">
        <v>91</v>
      </c>
      <c r="O91">
        <f t="shared" si="30"/>
        <v>709.11941964285711</v>
      </c>
      <c r="P91">
        <f t="shared" si="31"/>
        <v>2.351780717622173</v>
      </c>
    </row>
    <row r="92" spans="9:16" x14ac:dyDescent="0.45">
      <c r="I92">
        <v>92</v>
      </c>
      <c r="K92">
        <f t="shared" si="28"/>
        <v>717.64223710317458</v>
      </c>
      <c r="L92">
        <f t="shared" si="29"/>
        <v>1.3090022341531953</v>
      </c>
      <c r="M92">
        <v>92</v>
      </c>
      <c r="O92">
        <f t="shared" si="30"/>
        <v>717.64223710317458</v>
      </c>
      <c r="P92">
        <f t="shared" si="31"/>
        <v>2.3766065964787693</v>
      </c>
    </row>
    <row r="93" spans="9:16" x14ac:dyDescent="0.45">
      <c r="I93">
        <v>93</v>
      </c>
      <c r="K93">
        <f t="shared" si="28"/>
        <v>726.16505456349205</v>
      </c>
      <c r="L93">
        <f t="shared" si="29"/>
        <v>1.327928418293626</v>
      </c>
      <c r="M93">
        <v>93</v>
      </c>
      <c r="O93">
        <f t="shared" si="30"/>
        <v>726.16505456349205</v>
      </c>
      <c r="P93">
        <f t="shared" si="31"/>
        <v>2.4014512074080478</v>
      </c>
    </row>
    <row r="94" spans="9:16" x14ac:dyDescent="0.45">
      <c r="I94">
        <v>94</v>
      </c>
      <c r="K94">
        <f t="shared" si="28"/>
        <v>734.68787202380952</v>
      </c>
      <c r="L94">
        <f t="shared" si="29"/>
        <v>1.3468361784668552</v>
      </c>
      <c r="M94">
        <v>94</v>
      </c>
      <c r="O94">
        <f t="shared" si="30"/>
        <v>734.68787202380952</v>
      </c>
      <c r="P94">
        <f t="shared" si="31"/>
        <v>2.4263142423045272</v>
      </c>
    </row>
    <row r="95" spans="9:16" x14ac:dyDescent="0.45">
      <c r="I95">
        <v>95</v>
      </c>
      <c r="K95">
        <f t="shared" si="28"/>
        <v>743.21068948412699</v>
      </c>
      <c r="L95">
        <f t="shared" si="29"/>
        <v>1.3657258179142389</v>
      </c>
      <c r="M95">
        <v>95</v>
      </c>
      <c r="O95">
        <f t="shared" si="30"/>
        <v>743.21068948412699</v>
      </c>
      <c r="P95">
        <f t="shared" si="31"/>
        <v>2.4511953979268521</v>
      </c>
    </row>
    <row r="96" spans="9:16" x14ac:dyDescent="0.45">
      <c r="I96">
        <v>96</v>
      </c>
      <c r="K96">
        <f t="shared" si="28"/>
        <v>751.73350694444446</v>
      </c>
      <c r="L96">
        <f t="shared" si="29"/>
        <v>1.3845976350441591</v>
      </c>
      <c r="M96">
        <v>96</v>
      </c>
      <c r="O96">
        <f t="shared" si="30"/>
        <v>751.73350694444446</v>
      </c>
      <c r="P96">
        <f t="shared" si="31"/>
        <v>2.4760943758666407</v>
      </c>
    </row>
    <row r="97" spans="9:16" x14ac:dyDescent="0.45">
      <c r="I97">
        <v>97</v>
      </c>
      <c r="K97">
        <f t="shared" si="28"/>
        <v>760.25632440476181</v>
      </c>
      <c r="L97">
        <f t="shared" ref="L97:L100" si="36">0+0.00256785947097348*K97-0.390325886895382*(1+(K97-0)^2/591777.40749437)^0.5</f>
        <v>1.403451923466204</v>
      </c>
      <c r="M97">
        <v>97</v>
      </c>
      <c r="O97">
        <f t="shared" si="30"/>
        <v>760.25632440476181</v>
      </c>
      <c r="P97">
        <f t="shared" ref="P97:P100" si="37">0+0.00256785947097348*O97+0.390325886895382*(1+(O97-0)^2/591777.40749437)^0.5</f>
        <v>2.5010108825143038</v>
      </c>
    </row>
    <row r="98" spans="9:16" x14ac:dyDescent="0.45">
      <c r="I98">
        <v>98</v>
      </c>
      <c r="K98">
        <f t="shared" si="28"/>
        <v>768.77914186507928</v>
      </c>
      <c r="L98">
        <f t="shared" si="36"/>
        <v>1.4222889720281424</v>
      </c>
      <c r="M98">
        <v>98</v>
      </c>
      <c r="O98">
        <f t="shared" si="30"/>
        <v>768.77914186507928</v>
      </c>
      <c r="P98">
        <f t="shared" si="37"/>
        <v>2.5259446290220744</v>
      </c>
    </row>
    <row r="99" spans="9:16" x14ac:dyDescent="0.45">
      <c r="I99">
        <v>99</v>
      </c>
      <c r="K99">
        <f t="shared" si="28"/>
        <v>777.30195932539675</v>
      </c>
      <c r="L99">
        <f t="shared" si="36"/>
        <v>1.4411090648554747</v>
      </c>
      <c r="M99">
        <v>99</v>
      </c>
      <c r="O99">
        <f t="shared" si="30"/>
        <v>777.30195932539675</v>
      </c>
      <c r="P99">
        <f t="shared" si="37"/>
        <v>2.5508953312644507</v>
      </c>
    </row>
    <row r="100" spans="9:16" x14ac:dyDescent="0.45">
      <c r="I100">
        <v>100</v>
      </c>
      <c r="K100">
        <f t="shared" si="28"/>
        <v>785.82477678571422</v>
      </c>
      <c r="L100">
        <f t="shared" si="36"/>
        <v>1.4599124813933519</v>
      </c>
      <c r="M100">
        <v>100</v>
      </c>
      <c r="O100">
        <f t="shared" si="30"/>
        <v>785.82477678571422</v>
      </c>
      <c r="P100">
        <f t="shared" si="37"/>
        <v>2.5758627097962821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Linear regression</vt:lpstr>
      <vt:lpstr>XLSTAT_20241009_124736_1_HID</vt:lpstr>
      <vt:lpstr>Sheet2</vt:lpstr>
      <vt:lpstr>XLSTAT_20241030_222601_1_HID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Anushka Elangasinghe</dc:creator>
  <cp:lastModifiedBy>Anushka Elangasinghe</cp:lastModifiedBy>
  <dcterms:created xsi:type="dcterms:W3CDTF">2024-10-07T00:48:29Z</dcterms:created>
  <dcterms:modified xsi:type="dcterms:W3CDTF">2025-08-11T09:49:49Z</dcterms:modified>
</cp:coreProperties>
</file>