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chartsheets/sheet18.xml" ContentType="application/vnd.openxmlformats-officedocument.spreadsheetml.chartsheet+xml"/>
  <Override PartName="/xl/chartsheets/sheet19.xml" ContentType="application/vnd.openxmlformats-officedocument.spreadsheetml.chartsheet+xml"/>
  <Override PartName="/xl/chartsheets/sheet20.xml" ContentType="application/vnd.openxmlformats-officedocument.spreadsheetml.chartsheet+xml"/>
  <Override PartName="/xl/chartsheets/sheet21.xml" ContentType="application/vnd.openxmlformats-officedocument.spreadsheetml.chartsheet+xml"/>
  <Override PartName="/xl/chartsheets/sheet22.xml" ContentType="application/vnd.openxmlformats-officedocument.spreadsheetml.chartsheet+xml"/>
  <Override PartName="/xl/chartsheets/sheet2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usepa-my.sharepoint.com/personal/rhea_lee_epa_gov1/Documents/Projects/StRAP 4/SSWR 406.1.3 - Biogeochemical risks during Enhanced Aquifer Recharge/EAR/Infiltration/"/>
    </mc:Choice>
  </mc:AlternateContent>
  <xr:revisionPtr revIDLastSave="60" documentId="8_{7BDD1000-9C57-428F-931C-2F86AA073F01}" xr6:coauthVersionLast="47" xr6:coauthVersionMax="47" xr10:uidLastSave="{C8206146-57B2-485A-8993-24FA8376F3CC}"/>
  <bookViews>
    <workbookView xWindow="57480" yWindow="13425" windowWidth="25440" windowHeight="15270" xr2:uid="{92D7EB6C-93E7-4344-B82C-3653C667B83D}"/>
  </bookViews>
  <sheets>
    <sheet name="Read Me" sheetId="55" r:id="rId1"/>
    <sheet name="SAS-ready summary of data" sheetId="46" r:id="rId2"/>
    <sheet name="DR1" sheetId="1" r:id="rId3"/>
    <sheet name="DR2" sheetId="2" r:id="rId4"/>
    <sheet name="DR3" sheetId="3" r:id="rId5"/>
    <sheet name="DR4" sheetId="7" r:id="rId6"/>
    <sheet name="DR5" sheetId="9" r:id="rId7"/>
    <sheet name="DR6" sheetId="11" r:id="rId8"/>
    <sheet name="DR7" sheetId="13" r:id="rId9"/>
    <sheet name="DR8" sheetId="14" r:id="rId10"/>
    <sheet name="DR9" sheetId="15" r:id="rId11"/>
    <sheet name="DR10" sheetId="19" r:id="rId12"/>
    <sheet name="DR11" sheetId="21" r:id="rId13"/>
    <sheet name="DR12" sheetId="24" r:id="rId14"/>
    <sheet name="DR13" sheetId="25" r:id="rId15"/>
    <sheet name="DR14" sheetId="26" r:id="rId16"/>
    <sheet name="DR15" sheetId="30" r:id="rId17"/>
    <sheet name="DR16" sheetId="31" r:id="rId18"/>
    <sheet name="DR17" sheetId="32" r:id="rId19"/>
    <sheet name="DR18" sheetId="47" r:id="rId20"/>
    <sheet name="DR19" sheetId="48" r:id="rId21"/>
    <sheet name="DR1 Chart" sheetId="6" r:id="rId22"/>
    <sheet name="DR2 Chart" sheetId="5" r:id="rId23"/>
    <sheet name="DR3 Chart" sheetId="4" r:id="rId24"/>
    <sheet name="DR4 Chart" sheetId="8" r:id="rId25"/>
    <sheet name="DR5 Chart" sheetId="10" r:id="rId26"/>
    <sheet name="DR5 Chart (2)" sheetId="51" r:id="rId27"/>
    <sheet name="DR6 Chart" sheetId="12" r:id="rId28"/>
    <sheet name="DR6 Chart (2)" sheetId="54" r:id="rId29"/>
    <sheet name="DR7 Chart" sheetId="16" r:id="rId30"/>
    <sheet name="DR8 Chart" sheetId="17" r:id="rId31"/>
    <sheet name="DR9 Chart" sheetId="18" r:id="rId32"/>
    <sheet name="DR10 Chart" sheetId="22" r:id="rId33"/>
    <sheet name="DR10 Chart (2)" sheetId="53" r:id="rId34"/>
    <sheet name="DR11 Chart" sheetId="23" r:id="rId35"/>
    <sheet name="DR12 Chart" sheetId="27" r:id="rId36"/>
    <sheet name="DR12 Chart (2)" sheetId="52" r:id="rId37"/>
    <sheet name="DR13 Chart" sheetId="28" r:id="rId38"/>
    <sheet name="DR14 Chart" sheetId="29" r:id="rId39"/>
    <sheet name="DR15 Chart" sheetId="33" r:id="rId40"/>
    <sheet name="DR16 Chart" sheetId="34" r:id="rId41"/>
    <sheet name="DR17 Chart" sheetId="35" r:id="rId42"/>
    <sheet name="DR18 Chart" sheetId="49" r:id="rId43"/>
    <sheet name="DR19 Chart" sheetId="50" r:id="rId4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48" l="1"/>
  <c r="K23" i="48"/>
  <c r="K22" i="48"/>
  <c r="K21" i="48"/>
  <c r="K20" i="48"/>
  <c r="K19" i="48"/>
  <c r="K18" i="48"/>
  <c r="K17" i="48"/>
  <c r="K16" i="48"/>
  <c r="K15" i="48"/>
  <c r="K14" i="48"/>
  <c r="K13" i="48"/>
  <c r="K12" i="48"/>
  <c r="K11" i="48"/>
  <c r="K10" i="48"/>
  <c r="K28" i="47"/>
  <c r="K27" i="47"/>
  <c r="K26" i="47"/>
  <c r="K25" i="47"/>
  <c r="K24" i="47"/>
  <c r="K23" i="47"/>
  <c r="K22" i="47"/>
  <c r="K21" i="47"/>
  <c r="K20" i="47"/>
  <c r="K19" i="47"/>
  <c r="K18" i="47"/>
  <c r="K17" i="47"/>
  <c r="K16" i="47"/>
  <c r="K15" i="47"/>
  <c r="K14" i="47"/>
  <c r="K13" i="47"/>
  <c r="K12" i="47"/>
  <c r="K11" i="47"/>
  <c r="K10" i="47"/>
  <c r="K21" i="32"/>
  <c r="K20" i="32"/>
  <c r="K19" i="32"/>
  <c r="K18" i="32"/>
  <c r="K17" i="32"/>
  <c r="K16" i="32"/>
  <c r="K15" i="32"/>
  <c r="K14" i="32"/>
  <c r="K13" i="32"/>
  <c r="K12" i="32"/>
  <c r="K11" i="32"/>
  <c r="K10" i="32"/>
  <c r="K21" i="31"/>
  <c r="K20" i="31"/>
  <c r="K19" i="31"/>
  <c r="K18" i="31"/>
  <c r="K17" i="31"/>
  <c r="K16" i="31"/>
  <c r="K15" i="31"/>
  <c r="K14" i="31"/>
  <c r="K13" i="31"/>
  <c r="K12" i="31"/>
  <c r="K11" i="31"/>
  <c r="K10" i="31"/>
  <c r="K21" i="30"/>
  <c r="K20" i="30"/>
  <c r="K19" i="30"/>
  <c r="K18" i="30"/>
  <c r="K17" i="30"/>
  <c r="K16" i="30"/>
  <c r="K15" i="30"/>
  <c r="K14" i="30"/>
  <c r="K13" i="30"/>
  <c r="K12" i="30"/>
  <c r="K11" i="30"/>
  <c r="K10" i="30"/>
  <c r="K21" i="26"/>
  <c r="K20" i="26"/>
  <c r="K19" i="26"/>
  <c r="K18" i="26"/>
  <c r="K17" i="26"/>
  <c r="K16" i="26"/>
  <c r="K15" i="26"/>
  <c r="K14" i="26"/>
  <c r="K13" i="26"/>
  <c r="K12" i="26"/>
  <c r="K11" i="26"/>
  <c r="K10" i="26"/>
  <c r="K21" i="25"/>
  <c r="K20" i="25"/>
  <c r="K19" i="25"/>
  <c r="K18" i="25"/>
  <c r="K17" i="25"/>
  <c r="K16" i="25"/>
  <c r="K15" i="25"/>
  <c r="K14" i="25"/>
  <c r="K13" i="25"/>
  <c r="K12" i="25"/>
  <c r="K11" i="25"/>
  <c r="K10" i="25"/>
  <c r="K21" i="21"/>
  <c r="K20" i="21"/>
  <c r="K19" i="21"/>
  <c r="K18" i="21"/>
  <c r="K17" i="21"/>
  <c r="K16" i="21"/>
  <c r="K15" i="21"/>
  <c r="K14" i="21"/>
  <c r="K13" i="21"/>
  <c r="K12" i="21"/>
  <c r="K11" i="21"/>
  <c r="K10" i="21"/>
  <c r="K21" i="15"/>
  <c r="K20" i="15"/>
  <c r="K19" i="15"/>
  <c r="K18" i="15"/>
  <c r="K17" i="15"/>
  <c r="K16" i="15"/>
  <c r="K15" i="15"/>
  <c r="K14" i="15"/>
  <c r="K13" i="15"/>
  <c r="K12" i="15"/>
  <c r="K11" i="15"/>
  <c r="K10" i="15"/>
  <c r="K22" i="14"/>
  <c r="K21" i="14"/>
  <c r="K20" i="14"/>
  <c r="K19" i="14"/>
  <c r="K18" i="14"/>
  <c r="K17" i="14"/>
  <c r="K16" i="14"/>
  <c r="K15" i="14"/>
  <c r="K14" i="14"/>
  <c r="K13" i="14"/>
  <c r="K12" i="14"/>
  <c r="K11" i="14"/>
  <c r="K10" i="14"/>
  <c r="K23" i="13"/>
  <c r="K22" i="13"/>
  <c r="K21" i="13"/>
  <c r="K20" i="13"/>
  <c r="K19" i="13"/>
  <c r="K18" i="13"/>
  <c r="K17" i="13"/>
  <c r="K16" i="13"/>
  <c r="K15" i="13"/>
  <c r="K14" i="13"/>
  <c r="K13" i="13"/>
  <c r="K12" i="13"/>
  <c r="K11" i="13"/>
  <c r="K10" i="13"/>
  <c r="K18" i="11"/>
  <c r="K17" i="11"/>
  <c r="K16" i="11"/>
  <c r="K15" i="11"/>
  <c r="K14" i="11"/>
  <c r="K13" i="11"/>
  <c r="K12" i="11"/>
  <c r="K11" i="11"/>
  <c r="K10" i="11"/>
  <c r="K24" i="7"/>
  <c r="K23" i="7"/>
  <c r="K22" i="7"/>
  <c r="K21" i="7"/>
  <c r="K20" i="7"/>
  <c r="K19" i="7"/>
  <c r="K18" i="7"/>
  <c r="K17" i="7"/>
  <c r="K16" i="7"/>
  <c r="K15" i="7"/>
  <c r="K14" i="7"/>
  <c r="K13" i="7"/>
  <c r="K12" i="7"/>
  <c r="K11" i="7"/>
  <c r="K10" i="7"/>
  <c r="K20" i="3"/>
  <c r="K19" i="3"/>
  <c r="K18" i="3"/>
  <c r="K17" i="3"/>
  <c r="K16" i="3"/>
  <c r="K15" i="3"/>
  <c r="K14" i="3"/>
  <c r="K13" i="3"/>
  <c r="K12" i="3"/>
  <c r="K11" i="3"/>
  <c r="K10" i="3"/>
  <c r="K28" i="2"/>
  <c r="K27" i="2"/>
  <c r="K26" i="2"/>
  <c r="K25" i="2"/>
  <c r="K24" i="2"/>
  <c r="K23" i="2"/>
  <c r="K22" i="2"/>
  <c r="K21" i="2"/>
  <c r="K20" i="2"/>
  <c r="K19" i="2"/>
  <c r="K18" i="2"/>
  <c r="K17" i="2"/>
  <c r="K16" i="2"/>
  <c r="K15" i="2"/>
  <c r="K14" i="2"/>
  <c r="K13" i="2"/>
  <c r="K12" i="2"/>
  <c r="K11" i="2"/>
  <c r="K10" i="2"/>
  <c r="K14" i="1"/>
  <c r="K13" i="1"/>
  <c r="K12" i="1"/>
  <c r="K11" i="1"/>
  <c r="K10" i="1"/>
  <c r="K29" i="24"/>
  <c r="K28" i="24"/>
  <c r="K27" i="24"/>
  <c r="K26" i="24"/>
  <c r="K25" i="24"/>
  <c r="K24" i="24"/>
  <c r="K23" i="24"/>
  <c r="K22" i="24"/>
  <c r="K21" i="24"/>
  <c r="K20" i="24"/>
  <c r="K19" i="24"/>
  <c r="K18" i="24"/>
  <c r="K17" i="24"/>
  <c r="K16" i="24"/>
  <c r="K15" i="24"/>
  <c r="K14" i="24"/>
  <c r="K13" i="24"/>
  <c r="K12" i="24"/>
  <c r="K11" i="24"/>
  <c r="K10" i="24"/>
  <c r="K25" i="19"/>
  <c r="K24" i="19"/>
  <c r="K23" i="19"/>
  <c r="K22" i="19"/>
  <c r="K21" i="19"/>
  <c r="K20" i="19"/>
  <c r="K19" i="19"/>
  <c r="K18" i="19"/>
  <c r="K17" i="19"/>
  <c r="K16" i="19"/>
  <c r="K15" i="19"/>
  <c r="K14" i="19"/>
  <c r="K13" i="19"/>
  <c r="K12" i="19"/>
  <c r="K11" i="19"/>
  <c r="K10" i="19"/>
  <c r="K20" i="9"/>
  <c r="K19" i="9"/>
  <c r="K18" i="9"/>
  <c r="K17" i="9"/>
  <c r="K16" i="9"/>
  <c r="K15" i="9"/>
  <c r="K14" i="9"/>
  <c r="K13" i="9"/>
  <c r="K12" i="9"/>
  <c r="K11" i="9"/>
  <c r="K10" i="9"/>
  <c r="B22" i="9"/>
  <c r="J21" i="48"/>
  <c r="J19" i="48"/>
  <c r="H19" i="48"/>
  <c r="J17" i="48"/>
  <c r="H17" i="48"/>
  <c r="G17" i="48"/>
  <c r="I24" i="48"/>
  <c r="H24" i="48"/>
  <c r="G24" i="48"/>
  <c r="I23" i="48"/>
  <c r="H23" i="48"/>
  <c r="G23" i="48"/>
  <c r="I22" i="48"/>
  <c r="H22" i="48"/>
  <c r="G22" i="48"/>
  <c r="I21" i="48"/>
  <c r="H21" i="48"/>
  <c r="G21" i="48"/>
  <c r="I19" i="48"/>
  <c r="G19" i="48"/>
  <c r="I17" i="48"/>
  <c r="I15" i="48"/>
  <c r="H15" i="48"/>
  <c r="G15" i="48"/>
  <c r="I14" i="48"/>
  <c r="H14" i="48"/>
  <c r="G14" i="48"/>
  <c r="I13" i="48"/>
  <c r="H13" i="48"/>
  <c r="G13" i="48"/>
  <c r="I12" i="48"/>
  <c r="H12" i="48"/>
  <c r="J12" i="48" s="1"/>
  <c r="J13" i="48" s="1"/>
  <c r="G12" i="48"/>
  <c r="J11" i="48"/>
  <c r="I11" i="48"/>
  <c r="H11" i="48"/>
  <c r="G11" i="48"/>
  <c r="E24" i="48"/>
  <c r="F24" i="48" s="1"/>
  <c r="E23" i="48"/>
  <c r="F23" i="48"/>
  <c r="E22" i="48"/>
  <c r="F22" i="48" s="1"/>
  <c r="E21" i="48"/>
  <c r="F21" i="48" s="1"/>
  <c r="E20" i="48"/>
  <c r="F20" i="48" s="1"/>
  <c r="E19" i="48"/>
  <c r="F19" i="48"/>
  <c r="E18" i="48"/>
  <c r="F18" i="48" s="1"/>
  <c r="E17" i="48"/>
  <c r="F17" i="48"/>
  <c r="E16" i="48"/>
  <c r="F16" i="48"/>
  <c r="E15" i="48"/>
  <c r="F15" i="48" s="1"/>
  <c r="B6" i="48"/>
  <c r="H25" i="47"/>
  <c r="H22" i="47"/>
  <c r="J22" i="47" s="1"/>
  <c r="I18" i="47"/>
  <c r="I16" i="47"/>
  <c r="J18" i="47"/>
  <c r="H18" i="47"/>
  <c r="J16" i="47"/>
  <c r="H16" i="47"/>
  <c r="G16" i="47"/>
  <c r="I28" i="47"/>
  <c r="H28" i="47"/>
  <c r="G28" i="47"/>
  <c r="I27" i="47"/>
  <c r="H27" i="47"/>
  <c r="G27" i="47"/>
  <c r="G26" i="47"/>
  <c r="I25" i="47"/>
  <c r="G25" i="47"/>
  <c r="G24" i="47"/>
  <c r="I23" i="47"/>
  <c r="H23" i="47"/>
  <c r="G23" i="47"/>
  <c r="I22" i="47"/>
  <c r="G22" i="47"/>
  <c r="G21" i="47"/>
  <c r="G20" i="47"/>
  <c r="G19" i="47"/>
  <c r="G18" i="47"/>
  <c r="G17" i="47"/>
  <c r="G15" i="47"/>
  <c r="I14" i="47"/>
  <c r="H14" i="47"/>
  <c r="J14" i="47" s="1"/>
  <c r="G14" i="47"/>
  <c r="I13" i="47"/>
  <c r="H13" i="47"/>
  <c r="G13" i="47"/>
  <c r="I12" i="47"/>
  <c r="H12" i="47"/>
  <c r="G12" i="47"/>
  <c r="J11" i="47"/>
  <c r="J12" i="47" s="1"/>
  <c r="J13" i="47" s="1"/>
  <c r="I11" i="47"/>
  <c r="H11" i="47"/>
  <c r="G11" i="47"/>
  <c r="F28" i="47"/>
  <c r="E28" i="47"/>
  <c r="E27" i="47"/>
  <c r="F27" i="47" s="1"/>
  <c r="F26" i="47"/>
  <c r="E26" i="47"/>
  <c r="E25" i="47"/>
  <c r="F25" i="47" s="1"/>
  <c r="E24" i="47"/>
  <c r="F24" i="47" s="1"/>
  <c r="E23" i="47"/>
  <c r="F23" i="47" s="1"/>
  <c r="E22" i="47"/>
  <c r="F22" i="47" s="1"/>
  <c r="E21" i="47"/>
  <c r="F21" i="47" s="1"/>
  <c r="F20" i="47"/>
  <c r="E20" i="47"/>
  <c r="E19" i="47"/>
  <c r="F19" i="47" s="1"/>
  <c r="F18" i="47"/>
  <c r="E18" i="47"/>
  <c r="E17" i="47"/>
  <c r="F17" i="47" s="1"/>
  <c r="E16" i="47"/>
  <c r="F16" i="47" s="1"/>
  <c r="F15" i="47"/>
  <c r="E15" i="47"/>
  <c r="E14" i="47"/>
  <c r="F14" i="47" s="1"/>
  <c r="E13" i="47"/>
  <c r="F13" i="47" s="1"/>
  <c r="F12" i="47"/>
  <c r="E12" i="47"/>
  <c r="E11" i="47"/>
  <c r="F11" i="47" s="1"/>
  <c r="E14" i="48"/>
  <c r="F14" i="48" s="1"/>
  <c r="E13" i="48"/>
  <c r="F13" i="48" s="1"/>
  <c r="E12" i="48"/>
  <c r="F12" i="48" s="1"/>
  <c r="E11" i="48"/>
  <c r="F11" i="48" s="1"/>
  <c r="G10" i="48"/>
  <c r="E10" i="48"/>
  <c r="F10" i="48" s="1"/>
  <c r="I10" i="48"/>
  <c r="H10" i="48"/>
  <c r="J10" i="48" s="1"/>
  <c r="H10" i="47"/>
  <c r="J10" i="47" s="1"/>
  <c r="G10" i="47"/>
  <c r="E10" i="47"/>
  <c r="F10" i="47" s="1"/>
  <c r="I10" i="47"/>
  <c r="B6" i="47"/>
  <c r="F21" i="32"/>
  <c r="F20" i="32"/>
  <c r="F19" i="32"/>
  <c r="F18" i="32"/>
  <c r="F17" i="32"/>
  <c r="F16" i="32"/>
  <c r="F15" i="32"/>
  <c r="F14" i="32"/>
  <c r="F13" i="32"/>
  <c r="F12" i="32"/>
  <c r="F11" i="32"/>
  <c r="F10" i="32"/>
  <c r="F21" i="31"/>
  <c r="F20" i="31"/>
  <c r="F19" i="31"/>
  <c r="F18" i="31"/>
  <c r="F17" i="31"/>
  <c r="F16" i="31"/>
  <c r="F15" i="31"/>
  <c r="F14" i="31"/>
  <c r="F13" i="31"/>
  <c r="F12" i="31"/>
  <c r="F11" i="31"/>
  <c r="F10" i="31"/>
  <c r="F21" i="30"/>
  <c r="F20" i="30"/>
  <c r="F19" i="30"/>
  <c r="F18" i="30"/>
  <c r="F17" i="30"/>
  <c r="F16" i="30"/>
  <c r="F15" i="30"/>
  <c r="F14" i="30"/>
  <c r="F13" i="30"/>
  <c r="F12" i="30"/>
  <c r="F11" i="30"/>
  <c r="F10" i="30"/>
  <c r="F21" i="26"/>
  <c r="F20" i="26"/>
  <c r="F19" i="26"/>
  <c r="F18" i="26"/>
  <c r="F17" i="26"/>
  <c r="F16" i="26"/>
  <c r="F15" i="26"/>
  <c r="F14" i="26"/>
  <c r="F13" i="26"/>
  <c r="F12" i="26"/>
  <c r="F11" i="26"/>
  <c r="F10" i="26"/>
  <c r="F21" i="25"/>
  <c r="F20" i="25"/>
  <c r="F19" i="25"/>
  <c r="F18" i="25"/>
  <c r="F17" i="25"/>
  <c r="F16" i="25"/>
  <c r="F15" i="25"/>
  <c r="F14" i="25"/>
  <c r="F13" i="25"/>
  <c r="F12" i="25"/>
  <c r="F11" i="25"/>
  <c r="F10" i="25"/>
  <c r="F29" i="24"/>
  <c r="F28" i="24"/>
  <c r="F27" i="24"/>
  <c r="F26" i="24"/>
  <c r="F25" i="24"/>
  <c r="F24" i="24"/>
  <c r="F23" i="24"/>
  <c r="F22" i="24"/>
  <c r="F21" i="24"/>
  <c r="F20" i="24"/>
  <c r="F19" i="24"/>
  <c r="F18" i="24"/>
  <c r="F17" i="24"/>
  <c r="F16" i="24"/>
  <c r="F15" i="24"/>
  <c r="F14" i="24"/>
  <c r="F13" i="24"/>
  <c r="F12" i="24"/>
  <c r="F11" i="24"/>
  <c r="F10" i="24"/>
  <c r="F21" i="21"/>
  <c r="F20" i="21"/>
  <c r="F19" i="21"/>
  <c r="F18" i="21"/>
  <c r="F17" i="21"/>
  <c r="F16" i="21"/>
  <c r="F15" i="21"/>
  <c r="F14" i="21"/>
  <c r="F13" i="21"/>
  <c r="F12" i="21"/>
  <c r="F11" i="21"/>
  <c r="F10" i="21"/>
  <c r="F25" i="19"/>
  <c r="F24" i="19"/>
  <c r="F23" i="19"/>
  <c r="F22" i="19"/>
  <c r="F21" i="19"/>
  <c r="F20" i="19"/>
  <c r="F19" i="19"/>
  <c r="F18" i="19"/>
  <c r="F17" i="19"/>
  <c r="F16" i="19"/>
  <c r="F15" i="19"/>
  <c r="F14" i="19"/>
  <c r="F13" i="19"/>
  <c r="F12" i="19"/>
  <c r="F11" i="19"/>
  <c r="F10" i="19"/>
  <c r="F21" i="15"/>
  <c r="F20" i="15"/>
  <c r="F19" i="15"/>
  <c r="F18" i="15"/>
  <c r="F17" i="15"/>
  <c r="F16" i="15"/>
  <c r="F15" i="15"/>
  <c r="F14" i="15"/>
  <c r="F13" i="15"/>
  <c r="F12" i="15"/>
  <c r="F11" i="15"/>
  <c r="F10" i="15"/>
  <c r="F22" i="14"/>
  <c r="F21" i="14"/>
  <c r="F20" i="14"/>
  <c r="F19" i="14"/>
  <c r="F18" i="14"/>
  <c r="F17" i="14"/>
  <c r="F16" i="14"/>
  <c r="F15" i="14"/>
  <c r="F14" i="14"/>
  <c r="F13" i="14"/>
  <c r="F12" i="14"/>
  <c r="F11" i="14"/>
  <c r="F10" i="14"/>
  <c r="F23" i="13"/>
  <c r="F22" i="13"/>
  <c r="F21" i="13"/>
  <c r="F20" i="13"/>
  <c r="F19" i="13"/>
  <c r="F18" i="13"/>
  <c r="F17" i="13"/>
  <c r="F16" i="13"/>
  <c r="F15" i="13"/>
  <c r="F14" i="13"/>
  <c r="F13" i="13"/>
  <c r="F12" i="13"/>
  <c r="F11" i="13"/>
  <c r="F10" i="13"/>
  <c r="F18" i="11"/>
  <c r="F17" i="11"/>
  <c r="F16" i="11"/>
  <c r="F15" i="11"/>
  <c r="F14" i="11"/>
  <c r="F13" i="11"/>
  <c r="F12" i="11"/>
  <c r="F11" i="11"/>
  <c r="F10" i="11"/>
  <c r="F20" i="9"/>
  <c r="F19" i="9"/>
  <c r="F18" i="9"/>
  <c r="F17" i="9"/>
  <c r="F16" i="9"/>
  <c r="F15" i="9"/>
  <c r="F14" i="9"/>
  <c r="F13" i="9"/>
  <c r="F12" i="9"/>
  <c r="F11" i="9"/>
  <c r="F10" i="9"/>
  <c r="F24" i="7"/>
  <c r="F23" i="7"/>
  <c r="F22" i="7"/>
  <c r="F21" i="7"/>
  <c r="F20" i="7"/>
  <c r="F19" i="7"/>
  <c r="F18" i="7"/>
  <c r="F17" i="7"/>
  <c r="F16" i="7"/>
  <c r="F15" i="7"/>
  <c r="F14" i="7"/>
  <c r="F13" i="7"/>
  <c r="F12" i="7"/>
  <c r="F11" i="7"/>
  <c r="F10" i="7"/>
  <c r="F20" i="3"/>
  <c r="F19" i="3"/>
  <c r="F18" i="3"/>
  <c r="F17" i="3"/>
  <c r="F16" i="3"/>
  <c r="F15" i="3"/>
  <c r="F14" i="3"/>
  <c r="F13" i="3"/>
  <c r="F12" i="3"/>
  <c r="F11" i="3"/>
  <c r="F10" i="3"/>
  <c r="F28" i="2"/>
  <c r="F27" i="2"/>
  <c r="F26" i="2"/>
  <c r="F25" i="2"/>
  <c r="F24" i="2"/>
  <c r="F23" i="2"/>
  <c r="F22" i="2"/>
  <c r="F21" i="2"/>
  <c r="F20" i="2"/>
  <c r="F19" i="2"/>
  <c r="F18" i="2"/>
  <c r="F17" i="2"/>
  <c r="F16" i="2"/>
  <c r="F15" i="2"/>
  <c r="F14" i="2"/>
  <c r="F13" i="2"/>
  <c r="F12" i="2"/>
  <c r="F11" i="2"/>
  <c r="F10" i="2"/>
  <c r="F14" i="1"/>
  <c r="F13" i="1"/>
  <c r="F12" i="1"/>
  <c r="F11" i="1"/>
  <c r="F10" i="1"/>
  <c r="J14" i="48" l="1"/>
  <c r="J15" i="48" s="1"/>
  <c r="J22" i="48"/>
  <c r="J23" i="48" s="1"/>
  <c r="J24" i="48" s="1"/>
  <c r="J23" i="47"/>
  <c r="I21" i="32"/>
  <c r="H21" i="32"/>
  <c r="G21" i="32"/>
  <c r="E21" i="32"/>
  <c r="I20" i="32"/>
  <c r="H20" i="32"/>
  <c r="G20" i="32"/>
  <c r="E20" i="32"/>
  <c r="I19" i="32"/>
  <c r="H19" i="32"/>
  <c r="G19" i="32"/>
  <c r="E19" i="32"/>
  <c r="I18" i="32"/>
  <c r="H18" i="32"/>
  <c r="G18" i="32"/>
  <c r="E18" i="32"/>
  <c r="I17" i="32"/>
  <c r="H17" i="32"/>
  <c r="G17" i="32"/>
  <c r="E17" i="32"/>
  <c r="I16" i="32"/>
  <c r="H16" i="32"/>
  <c r="G16" i="32"/>
  <c r="E16" i="32"/>
  <c r="I15" i="32"/>
  <c r="H15" i="32"/>
  <c r="G15" i="32"/>
  <c r="E15" i="32"/>
  <c r="I14" i="32"/>
  <c r="H14" i="32"/>
  <c r="G14" i="32"/>
  <c r="E14" i="32"/>
  <c r="I13" i="32"/>
  <c r="H13" i="32"/>
  <c r="G13" i="32"/>
  <c r="E13" i="32"/>
  <c r="I12" i="32"/>
  <c r="H12" i="32"/>
  <c r="G12" i="32"/>
  <c r="E12" i="32"/>
  <c r="I11" i="32"/>
  <c r="H11" i="32"/>
  <c r="G11" i="32"/>
  <c r="E11" i="32"/>
  <c r="I10" i="32"/>
  <c r="H10" i="32"/>
  <c r="J10" i="32" s="1"/>
  <c r="G10" i="32"/>
  <c r="E10" i="32"/>
  <c r="B6" i="32"/>
  <c r="I21" i="31"/>
  <c r="H21" i="31"/>
  <c r="G21" i="31"/>
  <c r="E21" i="31"/>
  <c r="I20" i="31"/>
  <c r="H20" i="31"/>
  <c r="G20" i="31"/>
  <c r="E20" i="31"/>
  <c r="I19" i="31"/>
  <c r="H19" i="31"/>
  <c r="G19" i="31"/>
  <c r="E19" i="31"/>
  <c r="I18" i="31"/>
  <c r="H18" i="31"/>
  <c r="G18" i="31"/>
  <c r="E18" i="31"/>
  <c r="I17" i="31"/>
  <c r="H17" i="31"/>
  <c r="G17" i="31"/>
  <c r="E17" i="31"/>
  <c r="I16" i="31"/>
  <c r="H16" i="31"/>
  <c r="G16" i="31"/>
  <c r="E16" i="31"/>
  <c r="I15" i="31"/>
  <c r="H15" i="31"/>
  <c r="G15" i="31"/>
  <c r="E15" i="31"/>
  <c r="I14" i="31"/>
  <c r="H14" i="31"/>
  <c r="G14" i="31"/>
  <c r="E14" i="31"/>
  <c r="I13" i="31"/>
  <c r="H13" i="31"/>
  <c r="G13" i="31"/>
  <c r="E13" i="31"/>
  <c r="I12" i="31"/>
  <c r="H12" i="31"/>
  <c r="G12" i="31"/>
  <c r="E12" i="31"/>
  <c r="I11" i="31"/>
  <c r="H11" i="31"/>
  <c r="G11" i="31"/>
  <c r="E11" i="31"/>
  <c r="I10" i="31"/>
  <c r="H10" i="31"/>
  <c r="J10" i="31" s="1"/>
  <c r="G10" i="31"/>
  <c r="E10" i="31"/>
  <c r="B6" i="31"/>
  <c r="I21" i="30"/>
  <c r="H21" i="30"/>
  <c r="G21" i="30"/>
  <c r="E21" i="30"/>
  <c r="I20" i="30"/>
  <c r="H20" i="30"/>
  <c r="G20" i="30"/>
  <c r="E20" i="30"/>
  <c r="I19" i="30"/>
  <c r="H19" i="30"/>
  <c r="G19" i="30"/>
  <c r="E19" i="30"/>
  <c r="I18" i="30"/>
  <c r="H18" i="30"/>
  <c r="G18" i="30"/>
  <c r="E18" i="30"/>
  <c r="I17" i="30"/>
  <c r="H17" i="30"/>
  <c r="G17" i="30"/>
  <c r="E17" i="30"/>
  <c r="I16" i="30"/>
  <c r="H16" i="30"/>
  <c r="G16" i="30"/>
  <c r="E16" i="30"/>
  <c r="I15" i="30"/>
  <c r="H15" i="30"/>
  <c r="G15" i="30"/>
  <c r="E15" i="30"/>
  <c r="I14" i="30"/>
  <c r="H14" i="30"/>
  <c r="G14" i="30"/>
  <c r="E14" i="30"/>
  <c r="I13" i="30"/>
  <c r="H13" i="30"/>
  <c r="G13" i="30"/>
  <c r="E13" i="30"/>
  <c r="I12" i="30"/>
  <c r="H12" i="30"/>
  <c r="G12" i="30"/>
  <c r="E12" i="30"/>
  <c r="I11" i="30"/>
  <c r="H11" i="30"/>
  <c r="G11" i="30"/>
  <c r="E11" i="30"/>
  <c r="I10" i="30"/>
  <c r="H10" i="30"/>
  <c r="J10" i="30" s="1"/>
  <c r="G10" i="30"/>
  <c r="E10" i="30"/>
  <c r="B6" i="30"/>
  <c r="I21" i="25"/>
  <c r="H21" i="25"/>
  <c r="G21" i="25"/>
  <c r="E21" i="25"/>
  <c r="I20" i="25"/>
  <c r="H20" i="25"/>
  <c r="G20" i="25"/>
  <c r="E20" i="25"/>
  <c r="I19" i="25"/>
  <c r="H19" i="25"/>
  <c r="G19" i="25"/>
  <c r="E19" i="25"/>
  <c r="I18" i="25"/>
  <c r="H18" i="25"/>
  <c r="G18" i="25"/>
  <c r="E18" i="25"/>
  <c r="I17" i="25"/>
  <c r="H17" i="25"/>
  <c r="G17" i="25"/>
  <c r="E17" i="25"/>
  <c r="I16" i="25"/>
  <c r="H16" i="25"/>
  <c r="G16" i="25"/>
  <c r="E16" i="25"/>
  <c r="I15" i="25"/>
  <c r="H15" i="25"/>
  <c r="G15" i="25"/>
  <c r="E15" i="25"/>
  <c r="I14" i="25"/>
  <c r="H14" i="25"/>
  <c r="G14" i="25"/>
  <c r="E14" i="25"/>
  <c r="I13" i="25"/>
  <c r="H13" i="25"/>
  <c r="G13" i="25"/>
  <c r="E13" i="25"/>
  <c r="I12" i="25"/>
  <c r="H12" i="25"/>
  <c r="G12" i="25"/>
  <c r="E12" i="25"/>
  <c r="I11" i="25"/>
  <c r="H11" i="25"/>
  <c r="G11" i="25"/>
  <c r="E11" i="25"/>
  <c r="I29" i="24"/>
  <c r="H29" i="24"/>
  <c r="I28" i="24"/>
  <c r="H28" i="24"/>
  <c r="I27" i="24"/>
  <c r="H27" i="24"/>
  <c r="I26" i="24"/>
  <c r="H26" i="24"/>
  <c r="I25" i="24"/>
  <c r="H25" i="24"/>
  <c r="I24" i="24"/>
  <c r="H24" i="24"/>
  <c r="I23" i="24"/>
  <c r="H23" i="24"/>
  <c r="I22" i="24"/>
  <c r="H22" i="24"/>
  <c r="I21" i="24"/>
  <c r="H21" i="24"/>
  <c r="I20" i="24"/>
  <c r="H20" i="24"/>
  <c r="I19" i="24"/>
  <c r="H19" i="24"/>
  <c r="I18" i="24"/>
  <c r="H18" i="24"/>
  <c r="I17" i="24"/>
  <c r="H17" i="24"/>
  <c r="I16" i="24"/>
  <c r="H16" i="24"/>
  <c r="I15" i="24"/>
  <c r="H15" i="24"/>
  <c r="I14" i="24"/>
  <c r="H14" i="24"/>
  <c r="I13" i="24"/>
  <c r="H13" i="24"/>
  <c r="I12" i="24"/>
  <c r="H12" i="24"/>
  <c r="I11" i="24"/>
  <c r="H11" i="24"/>
  <c r="I10" i="24"/>
  <c r="H10" i="24"/>
  <c r="J10" i="24" s="1"/>
  <c r="G10" i="24"/>
  <c r="G29" i="24"/>
  <c r="G28" i="24"/>
  <c r="G27" i="24"/>
  <c r="G26" i="24"/>
  <c r="G25" i="24"/>
  <c r="G24" i="24"/>
  <c r="G23" i="24"/>
  <c r="G22" i="24"/>
  <c r="G21" i="24"/>
  <c r="G20" i="24"/>
  <c r="G19" i="24"/>
  <c r="G18" i="24"/>
  <c r="G17" i="24"/>
  <c r="G16" i="24"/>
  <c r="G15" i="24"/>
  <c r="G14" i="24"/>
  <c r="G13" i="24"/>
  <c r="G12" i="24"/>
  <c r="G11" i="24"/>
  <c r="E27" i="24"/>
  <c r="E29" i="24"/>
  <c r="E28" i="24"/>
  <c r="E26" i="24"/>
  <c r="E25" i="24"/>
  <c r="E24" i="24"/>
  <c r="E23" i="24"/>
  <c r="E22" i="24"/>
  <c r="I21" i="26"/>
  <c r="H21" i="26"/>
  <c r="G21" i="26"/>
  <c r="E21" i="26"/>
  <c r="I20" i="26"/>
  <c r="H20" i="26"/>
  <c r="G20" i="26"/>
  <c r="E20" i="26"/>
  <c r="I19" i="26"/>
  <c r="H19" i="26"/>
  <c r="G19" i="26"/>
  <c r="E19" i="26"/>
  <c r="I18" i="26"/>
  <c r="H18" i="26"/>
  <c r="G18" i="26"/>
  <c r="E18" i="26"/>
  <c r="I17" i="26"/>
  <c r="H17" i="26"/>
  <c r="G17" i="26"/>
  <c r="E17" i="26"/>
  <c r="I16" i="26"/>
  <c r="H16" i="26"/>
  <c r="G16" i="26"/>
  <c r="E16" i="26"/>
  <c r="I15" i="26"/>
  <c r="H15" i="26"/>
  <c r="G15" i="26"/>
  <c r="E15" i="26"/>
  <c r="I14" i="26"/>
  <c r="H14" i="26"/>
  <c r="G14" i="26"/>
  <c r="E14" i="26"/>
  <c r="I13" i="26"/>
  <c r="H13" i="26"/>
  <c r="G13" i="26"/>
  <c r="E13" i="26"/>
  <c r="I12" i="26"/>
  <c r="H12" i="26"/>
  <c r="G12" i="26"/>
  <c r="E12" i="26"/>
  <c r="I11" i="26"/>
  <c r="H11" i="26"/>
  <c r="G11" i="26"/>
  <c r="E11" i="26"/>
  <c r="I10" i="26"/>
  <c r="H10" i="26"/>
  <c r="J10" i="26" s="1"/>
  <c r="J11" i="26" s="1"/>
  <c r="G10" i="26"/>
  <c r="E10" i="26"/>
  <c r="B6" i="26"/>
  <c r="I10" i="25"/>
  <c r="H10" i="25"/>
  <c r="J10" i="25" s="1"/>
  <c r="G10" i="25"/>
  <c r="E10" i="25"/>
  <c r="B6" i="25"/>
  <c r="E21" i="24"/>
  <c r="E20" i="24"/>
  <c r="E19" i="24"/>
  <c r="E18" i="24"/>
  <c r="E17" i="24"/>
  <c r="E16" i="24"/>
  <c r="E15" i="24"/>
  <c r="E14" i="24"/>
  <c r="E13" i="24"/>
  <c r="E12" i="24"/>
  <c r="E11" i="24"/>
  <c r="E10" i="24"/>
  <c r="B6" i="24"/>
  <c r="E14" i="1"/>
  <c r="E13" i="1"/>
  <c r="E12" i="1"/>
  <c r="E11" i="1"/>
  <c r="E28" i="2"/>
  <c r="E27" i="2"/>
  <c r="E26" i="2"/>
  <c r="E25" i="2"/>
  <c r="E24" i="2"/>
  <c r="E23" i="2"/>
  <c r="E22" i="2"/>
  <c r="E21" i="2"/>
  <c r="E20" i="2"/>
  <c r="E19" i="2"/>
  <c r="E18" i="2"/>
  <c r="E17" i="2"/>
  <c r="E16" i="2"/>
  <c r="E15" i="2"/>
  <c r="E14" i="2"/>
  <c r="E13" i="2"/>
  <c r="E12" i="2"/>
  <c r="E11" i="2"/>
  <c r="E20" i="3"/>
  <c r="E19" i="3"/>
  <c r="E18" i="3"/>
  <c r="E17" i="3"/>
  <c r="E16" i="3"/>
  <c r="E15" i="3"/>
  <c r="E14" i="3"/>
  <c r="E13" i="3"/>
  <c r="E12" i="3"/>
  <c r="E11" i="3"/>
  <c r="E24" i="7"/>
  <c r="E23" i="7"/>
  <c r="E22" i="7"/>
  <c r="E21" i="7"/>
  <c r="E20" i="7"/>
  <c r="E19" i="7"/>
  <c r="E18" i="7"/>
  <c r="E17" i="7"/>
  <c r="E16" i="7"/>
  <c r="E15" i="7"/>
  <c r="E14" i="7"/>
  <c r="E13" i="7"/>
  <c r="E12" i="7"/>
  <c r="E11" i="7"/>
  <c r="E20" i="9"/>
  <c r="E19" i="9"/>
  <c r="E18" i="9"/>
  <c r="E17" i="9"/>
  <c r="E16" i="9"/>
  <c r="E15" i="9"/>
  <c r="E14" i="9"/>
  <c r="E13" i="9"/>
  <c r="E12" i="9"/>
  <c r="E11" i="9"/>
  <c r="E18" i="11"/>
  <c r="E17" i="11"/>
  <c r="E16" i="11"/>
  <c r="E15" i="11"/>
  <c r="E14" i="11"/>
  <c r="E13" i="11"/>
  <c r="E12" i="11"/>
  <c r="E11" i="11"/>
  <c r="E23" i="13"/>
  <c r="E22" i="13"/>
  <c r="E21" i="13"/>
  <c r="E20" i="13"/>
  <c r="E19" i="13"/>
  <c r="E18" i="13"/>
  <c r="E17" i="13"/>
  <c r="E16" i="13"/>
  <c r="E15" i="13"/>
  <c r="E14" i="13"/>
  <c r="E13" i="13"/>
  <c r="E12" i="13"/>
  <c r="E11" i="13"/>
  <c r="E22" i="14"/>
  <c r="E21" i="14"/>
  <c r="E20" i="14"/>
  <c r="E19" i="14"/>
  <c r="E18" i="14"/>
  <c r="E17" i="14"/>
  <c r="E16" i="14"/>
  <c r="E15" i="14"/>
  <c r="E14" i="14"/>
  <c r="E13" i="14"/>
  <c r="E12" i="14"/>
  <c r="E11" i="14"/>
  <c r="E21" i="15"/>
  <c r="E20" i="15"/>
  <c r="E19" i="15"/>
  <c r="E18" i="15"/>
  <c r="E17" i="15"/>
  <c r="E16" i="15"/>
  <c r="E15" i="15"/>
  <c r="E14" i="15"/>
  <c r="E13" i="15"/>
  <c r="E12" i="15"/>
  <c r="E11" i="15"/>
  <c r="E25" i="19"/>
  <c r="E24" i="19"/>
  <c r="E23" i="19"/>
  <c r="E22" i="19"/>
  <c r="E21" i="19"/>
  <c r="E20" i="19"/>
  <c r="E19" i="19"/>
  <c r="E18" i="19"/>
  <c r="E17" i="19"/>
  <c r="E16" i="19"/>
  <c r="E15" i="19"/>
  <c r="E14" i="19"/>
  <c r="E13" i="19"/>
  <c r="E12" i="19"/>
  <c r="E11" i="19"/>
  <c r="E21" i="21"/>
  <c r="E20" i="21"/>
  <c r="E19" i="21"/>
  <c r="E18" i="21"/>
  <c r="E17" i="21"/>
  <c r="E16" i="21"/>
  <c r="E15" i="21"/>
  <c r="E14" i="21"/>
  <c r="E13" i="21"/>
  <c r="E12" i="21"/>
  <c r="E11" i="21"/>
  <c r="E10" i="1"/>
  <c r="E10" i="2"/>
  <c r="E10" i="3"/>
  <c r="E10" i="7"/>
  <c r="E10" i="9"/>
  <c r="E10" i="11"/>
  <c r="E10" i="13"/>
  <c r="E10" i="14"/>
  <c r="E10" i="15"/>
  <c r="E10" i="19"/>
  <c r="E10" i="21"/>
  <c r="J24" i="2"/>
  <c r="J19" i="2"/>
  <c r="J18" i="2"/>
  <c r="J14" i="2"/>
  <c r="J18" i="3"/>
  <c r="J16" i="3"/>
  <c r="J11" i="3"/>
  <c r="J20" i="7"/>
  <c r="J18" i="7"/>
  <c r="J15" i="7"/>
  <c r="J17" i="9"/>
  <c r="J11" i="13"/>
  <c r="J12" i="13" s="1"/>
  <c r="J13" i="13" s="1"/>
  <c r="J14" i="13" s="1"/>
  <c r="J15" i="13" s="1"/>
  <c r="J16" i="13" s="1"/>
  <c r="J17" i="13" s="1"/>
  <c r="J18" i="13" s="1"/>
  <c r="J19" i="13" s="1"/>
  <c r="J20" i="13" s="1"/>
  <c r="J21" i="13" s="1"/>
  <c r="J22" i="13" s="1"/>
  <c r="J23" i="13" s="1"/>
  <c r="J11" i="21"/>
  <c r="J12" i="21" s="1"/>
  <c r="J13" i="21" s="1"/>
  <c r="J14" i="21" s="1"/>
  <c r="J15" i="21" s="1"/>
  <c r="J16" i="21" s="1"/>
  <c r="J17" i="21" s="1"/>
  <c r="J18" i="21" s="1"/>
  <c r="J19" i="21" s="1"/>
  <c r="J20" i="21" s="1"/>
  <c r="J21" i="21" s="1"/>
  <c r="J10" i="13"/>
  <c r="J10" i="14"/>
  <c r="J11" i="14" s="1"/>
  <c r="J12" i="14" s="1"/>
  <c r="J13" i="14" s="1"/>
  <c r="J14" i="14" s="1"/>
  <c r="J15" i="14" s="1"/>
  <c r="J16" i="14" s="1"/>
  <c r="J17" i="14" s="1"/>
  <c r="J18" i="14" s="1"/>
  <c r="J19" i="14" s="1"/>
  <c r="J20" i="14" s="1"/>
  <c r="J21" i="14" s="1"/>
  <c r="J22" i="14" s="1"/>
  <c r="J10" i="15"/>
  <c r="J11" i="15" s="1"/>
  <c r="J12" i="15" s="1"/>
  <c r="J13" i="15" s="1"/>
  <c r="J14" i="15" s="1"/>
  <c r="J15" i="15" s="1"/>
  <c r="J16" i="15" s="1"/>
  <c r="J17" i="15" s="1"/>
  <c r="J18" i="15" s="1"/>
  <c r="J19" i="15" s="1"/>
  <c r="J20" i="15" s="1"/>
  <c r="J21" i="15" s="1"/>
  <c r="J10" i="19"/>
  <c r="J11" i="19" s="1"/>
  <c r="J12" i="19" s="1"/>
  <c r="J13" i="19" s="1"/>
  <c r="J14" i="19" s="1"/>
  <c r="J15" i="19" s="1"/>
  <c r="J16" i="19" s="1"/>
  <c r="J10" i="21"/>
  <c r="I21" i="21"/>
  <c r="H21" i="21"/>
  <c r="G21" i="21"/>
  <c r="I20" i="21"/>
  <c r="H20" i="21"/>
  <c r="G20" i="21"/>
  <c r="I19" i="21"/>
  <c r="H19" i="21"/>
  <c r="G19" i="21"/>
  <c r="I18" i="21"/>
  <c r="H18" i="21"/>
  <c r="G18" i="21"/>
  <c r="I17" i="21"/>
  <c r="H17" i="21"/>
  <c r="G17" i="21"/>
  <c r="I16" i="21"/>
  <c r="H16" i="21"/>
  <c r="G16" i="21"/>
  <c r="I15" i="21"/>
  <c r="H15" i="21"/>
  <c r="G15" i="21"/>
  <c r="I14" i="21"/>
  <c r="H14" i="21"/>
  <c r="G14" i="21"/>
  <c r="I13" i="21"/>
  <c r="H13" i="21"/>
  <c r="G13" i="21"/>
  <c r="I12" i="21"/>
  <c r="H12" i="21"/>
  <c r="G12" i="21"/>
  <c r="I11" i="21"/>
  <c r="H11" i="21"/>
  <c r="G11" i="21"/>
  <c r="I10" i="21"/>
  <c r="H10" i="21"/>
  <c r="G10" i="21"/>
  <c r="B6" i="21"/>
  <c r="I25" i="19"/>
  <c r="H25" i="19"/>
  <c r="G25" i="19"/>
  <c r="I24" i="19"/>
  <c r="H24" i="19"/>
  <c r="G24" i="19"/>
  <c r="I23" i="19"/>
  <c r="H23" i="19"/>
  <c r="G23" i="19"/>
  <c r="G22" i="19"/>
  <c r="I21" i="19"/>
  <c r="H21" i="19"/>
  <c r="G21" i="19"/>
  <c r="G20" i="19"/>
  <c r="I19" i="19"/>
  <c r="H19" i="19"/>
  <c r="G19" i="19"/>
  <c r="I18" i="19"/>
  <c r="H18" i="19"/>
  <c r="G18" i="19"/>
  <c r="G17" i="19"/>
  <c r="I16" i="19"/>
  <c r="H16" i="19"/>
  <c r="G16" i="19"/>
  <c r="I15" i="19"/>
  <c r="H15" i="19"/>
  <c r="G15" i="19"/>
  <c r="I14" i="19"/>
  <c r="H14" i="19"/>
  <c r="G14" i="19"/>
  <c r="I13" i="19"/>
  <c r="H13" i="19"/>
  <c r="G13" i="19"/>
  <c r="I12" i="19"/>
  <c r="H12" i="19"/>
  <c r="G12" i="19"/>
  <c r="I11" i="19"/>
  <c r="H11" i="19"/>
  <c r="G11" i="19"/>
  <c r="I10" i="19"/>
  <c r="H10" i="19"/>
  <c r="G10" i="19"/>
  <c r="B6" i="19"/>
  <c r="I21" i="15"/>
  <c r="H21" i="15"/>
  <c r="G21" i="15"/>
  <c r="I20" i="15"/>
  <c r="H20" i="15"/>
  <c r="G20" i="15"/>
  <c r="I19" i="15"/>
  <c r="H19" i="15"/>
  <c r="G19" i="15"/>
  <c r="I22" i="14"/>
  <c r="H22" i="14"/>
  <c r="G22" i="14"/>
  <c r="I21" i="14"/>
  <c r="H21" i="14"/>
  <c r="G21" i="14"/>
  <c r="I20" i="14"/>
  <c r="H20" i="14"/>
  <c r="G20" i="14"/>
  <c r="I19" i="14"/>
  <c r="H19" i="14"/>
  <c r="G19" i="14"/>
  <c r="I23" i="13"/>
  <c r="H23" i="13"/>
  <c r="G23" i="13"/>
  <c r="I22" i="13"/>
  <c r="H22" i="13"/>
  <c r="G22" i="13"/>
  <c r="I21" i="13"/>
  <c r="H21" i="13"/>
  <c r="G21" i="13"/>
  <c r="I20" i="13"/>
  <c r="H20" i="13"/>
  <c r="G20" i="13"/>
  <c r="I19" i="13"/>
  <c r="H19" i="13"/>
  <c r="G19" i="13"/>
  <c r="I18" i="15"/>
  <c r="H18" i="15"/>
  <c r="G18" i="15"/>
  <c r="I17" i="15"/>
  <c r="H17" i="15"/>
  <c r="G17" i="15"/>
  <c r="I16" i="15"/>
  <c r="H16" i="15"/>
  <c r="G16" i="15"/>
  <c r="I15" i="15"/>
  <c r="H15" i="15"/>
  <c r="G15" i="15"/>
  <c r="I14" i="15"/>
  <c r="H14" i="15"/>
  <c r="G14" i="15"/>
  <c r="I13" i="15"/>
  <c r="H13" i="15"/>
  <c r="G13" i="15"/>
  <c r="I12" i="15"/>
  <c r="H12" i="15"/>
  <c r="G12" i="15"/>
  <c r="I11" i="15"/>
  <c r="H11" i="15"/>
  <c r="G11" i="15"/>
  <c r="I10" i="15"/>
  <c r="H10" i="15"/>
  <c r="G10" i="15"/>
  <c r="B6" i="15"/>
  <c r="I18" i="14"/>
  <c r="H18" i="14"/>
  <c r="G18" i="14"/>
  <c r="I17" i="14"/>
  <c r="H17" i="14"/>
  <c r="G17" i="14"/>
  <c r="I16" i="14"/>
  <c r="H16" i="14"/>
  <c r="G16" i="14"/>
  <c r="I15" i="14"/>
  <c r="H15" i="14"/>
  <c r="G15" i="14"/>
  <c r="I14" i="14"/>
  <c r="H14" i="14"/>
  <c r="G14" i="14"/>
  <c r="I13" i="14"/>
  <c r="H13" i="14"/>
  <c r="G13" i="14"/>
  <c r="I12" i="14"/>
  <c r="H12" i="14"/>
  <c r="G12" i="14"/>
  <c r="I11" i="14"/>
  <c r="H11" i="14"/>
  <c r="G11" i="14"/>
  <c r="I10" i="14"/>
  <c r="H10" i="14"/>
  <c r="G10" i="14"/>
  <c r="B6" i="14"/>
  <c r="I18" i="13"/>
  <c r="H18" i="13"/>
  <c r="G18" i="13"/>
  <c r="I17" i="13"/>
  <c r="H17" i="13"/>
  <c r="G17" i="13"/>
  <c r="I16" i="13"/>
  <c r="H16" i="13"/>
  <c r="G16" i="13"/>
  <c r="I15" i="13"/>
  <c r="H15" i="13"/>
  <c r="G15" i="13"/>
  <c r="I14" i="13"/>
  <c r="H14" i="13"/>
  <c r="G14" i="13"/>
  <c r="I13" i="13"/>
  <c r="H13" i="13"/>
  <c r="G13" i="13"/>
  <c r="I12" i="13"/>
  <c r="H12" i="13"/>
  <c r="G12" i="13"/>
  <c r="I11" i="13"/>
  <c r="H11" i="13"/>
  <c r="G11" i="13"/>
  <c r="I10" i="13"/>
  <c r="H10" i="13"/>
  <c r="G10" i="13"/>
  <c r="B6" i="13"/>
  <c r="J25" i="47" l="1"/>
  <c r="J27" i="47" s="1"/>
  <c r="J28" i="47" s="1"/>
  <c r="J11" i="25"/>
  <c r="J17" i="19"/>
  <c r="J18" i="19"/>
  <c r="J11" i="32"/>
  <c r="J12" i="32" s="1"/>
  <c r="J13" i="32" s="1"/>
  <c r="J14" i="32" s="1"/>
  <c r="J15" i="32" s="1"/>
  <c r="J16" i="32" s="1"/>
  <c r="J17" i="32" s="1"/>
  <c r="J18" i="32" s="1"/>
  <c r="J19" i="32" s="1"/>
  <c r="J20" i="32" s="1"/>
  <c r="J21" i="32" s="1"/>
  <c r="J11" i="31"/>
  <c r="J12" i="31" s="1"/>
  <c r="J13" i="31" s="1"/>
  <c r="J14" i="31" s="1"/>
  <c r="J15" i="31" s="1"/>
  <c r="J16" i="31" s="1"/>
  <c r="J17" i="31" s="1"/>
  <c r="J18" i="31" s="1"/>
  <c r="J19" i="31" s="1"/>
  <c r="J20" i="31" s="1"/>
  <c r="J21" i="31" s="1"/>
  <c r="J11" i="30"/>
  <c r="J12" i="30" s="1"/>
  <c r="J13" i="30" s="1"/>
  <c r="J14" i="30" s="1"/>
  <c r="J15" i="30" s="1"/>
  <c r="J16" i="30" s="1"/>
  <c r="J17" i="30" s="1"/>
  <c r="J18" i="30" s="1"/>
  <c r="J19" i="30" s="1"/>
  <c r="J20" i="30" s="1"/>
  <c r="J21" i="30" s="1"/>
  <c r="J12" i="25"/>
  <c r="J13" i="25" s="1"/>
  <c r="J14" i="25" s="1"/>
  <c r="J15" i="25" s="1"/>
  <c r="J16" i="25" s="1"/>
  <c r="J17" i="25" s="1"/>
  <c r="J18" i="25" s="1"/>
  <c r="J19" i="25" s="1"/>
  <c r="J20" i="25" s="1"/>
  <c r="J21" i="25" s="1"/>
  <c r="J12" i="26"/>
  <c r="J13" i="26" s="1"/>
  <c r="J14" i="26" s="1"/>
  <c r="J15" i="26" s="1"/>
  <c r="J16" i="26" s="1"/>
  <c r="J17" i="26" s="1"/>
  <c r="J18" i="26" s="1"/>
  <c r="J19" i="26" s="1"/>
  <c r="J20" i="26" s="1"/>
  <c r="J21" i="26" s="1"/>
  <c r="J11" i="24"/>
  <c r="J12" i="24" s="1"/>
  <c r="J13" i="24" s="1"/>
  <c r="J14" i="24" s="1"/>
  <c r="J15" i="24" s="1"/>
  <c r="J16" i="24" s="1"/>
  <c r="J19" i="24" s="1"/>
  <c r="J22" i="24" s="1"/>
  <c r="J25" i="24" s="1"/>
  <c r="J26" i="24" s="1"/>
  <c r="J29" i="24" s="1"/>
  <c r="I18" i="11"/>
  <c r="H18" i="11"/>
  <c r="G18" i="11"/>
  <c r="I17" i="11"/>
  <c r="H17" i="11"/>
  <c r="G17" i="11"/>
  <c r="I16" i="11"/>
  <c r="H16" i="11"/>
  <c r="G16" i="11"/>
  <c r="I15" i="11"/>
  <c r="H15" i="11"/>
  <c r="G15" i="11"/>
  <c r="I14" i="11"/>
  <c r="H14" i="11"/>
  <c r="G14" i="11"/>
  <c r="I13" i="11"/>
  <c r="H13" i="11"/>
  <c r="G13" i="11"/>
  <c r="I12" i="11"/>
  <c r="H12" i="11"/>
  <c r="G12" i="11"/>
  <c r="I11" i="11"/>
  <c r="H11" i="11"/>
  <c r="J11" i="11" s="1"/>
  <c r="J12" i="11" s="1"/>
  <c r="J13" i="11" s="1"/>
  <c r="J14" i="11" s="1"/>
  <c r="J15" i="11" s="1"/>
  <c r="J16" i="11" s="1"/>
  <c r="J17" i="11" s="1"/>
  <c r="J18" i="11" s="1"/>
  <c r="G11" i="11"/>
  <c r="I10" i="11"/>
  <c r="H10" i="11"/>
  <c r="J10" i="11" s="1"/>
  <c r="G10" i="11"/>
  <c r="B6" i="11"/>
  <c r="I20" i="9"/>
  <c r="H20" i="9"/>
  <c r="G20" i="9"/>
  <c r="I19" i="9"/>
  <c r="H19" i="9"/>
  <c r="G19" i="9"/>
  <c r="I18" i="9"/>
  <c r="H18" i="9"/>
  <c r="G18" i="9"/>
  <c r="G17" i="9"/>
  <c r="I16" i="9"/>
  <c r="H16" i="9"/>
  <c r="G16" i="9"/>
  <c r="I15" i="9"/>
  <c r="H15" i="9"/>
  <c r="G15" i="9"/>
  <c r="I14" i="9"/>
  <c r="H14" i="9"/>
  <c r="G14" i="9"/>
  <c r="I13" i="9"/>
  <c r="H13" i="9"/>
  <c r="G13" i="9"/>
  <c r="I12" i="9"/>
  <c r="H12" i="9"/>
  <c r="G12" i="9"/>
  <c r="I11" i="9"/>
  <c r="H11" i="9"/>
  <c r="J11" i="9" s="1"/>
  <c r="G11" i="9"/>
  <c r="I10" i="9"/>
  <c r="H10" i="9"/>
  <c r="J10" i="9" s="1"/>
  <c r="G10" i="9"/>
  <c r="B6" i="9"/>
  <c r="I24" i="7"/>
  <c r="H24" i="7"/>
  <c r="G24" i="7"/>
  <c r="I23" i="7"/>
  <c r="H23" i="7"/>
  <c r="G23" i="7"/>
  <c r="I22" i="7"/>
  <c r="H22" i="7"/>
  <c r="G22" i="7"/>
  <c r="I21" i="7"/>
  <c r="H21" i="7"/>
  <c r="G21" i="7"/>
  <c r="G20" i="7"/>
  <c r="I19" i="7"/>
  <c r="H19" i="7"/>
  <c r="G19" i="7"/>
  <c r="G18" i="7"/>
  <c r="H17" i="7"/>
  <c r="G17" i="7"/>
  <c r="I16" i="7"/>
  <c r="H16" i="7"/>
  <c r="G16" i="7"/>
  <c r="G15" i="7"/>
  <c r="I14" i="7"/>
  <c r="H14" i="7"/>
  <c r="G14" i="7"/>
  <c r="I12" i="7"/>
  <c r="H12" i="7"/>
  <c r="G12" i="7"/>
  <c r="I11" i="7"/>
  <c r="H11" i="7"/>
  <c r="G11" i="7"/>
  <c r="G13" i="7"/>
  <c r="H13" i="7"/>
  <c r="I13" i="7"/>
  <c r="I10" i="7"/>
  <c r="H10" i="7"/>
  <c r="J10" i="7" s="1"/>
  <c r="G10" i="7"/>
  <c r="B6" i="7"/>
  <c r="G14" i="1"/>
  <c r="H11" i="1"/>
  <c r="G11" i="1"/>
  <c r="G10" i="1"/>
  <c r="G28" i="2"/>
  <c r="G27" i="2"/>
  <c r="G26" i="2"/>
  <c r="G25" i="2"/>
  <c r="G24" i="2"/>
  <c r="G23" i="2"/>
  <c r="G22" i="2"/>
  <c r="G21" i="2"/>
  <c r="G20" i="2"/>
  <c r="G19" i="2"/>
  <c r="G18" i="2"/>
  <c r="G17" i="2"/>
  <c r="G16" i="2"/>
  <c r="I15" i="2"/>
  <c r="G15" i="2"/>
  <c r="G14" i="2"/>
  <c r="G13" i="2"/>
  <c r="G12" i="2"/>
  <c r="G11" i="2"/>
  <c r="G10" i="2"/>
  <c r="G20" i="3"/>
  <c r="G19" i="3"/>
  <c r="G18" i="3"/>
  <c r="G17" i="3"/>
  <c r="G16" i="3"/>
  <c r="G15" i="3"/>
  <c r="G14" i="3"/>
  <c r="G13" i="3"/>
  <c r="G12" i="3"/>
  <c r="G11" i="3"/>
  <c r="G10" i="3"/>
  <c r="B6" i="1"/>
  <c r="B6" i="2"/>
  <c r="B6" i="3"/>
  <c r="C20" i="3"/>
  <c r="C19" i="3"/>
  <c r="C18" i="3"/>
  <c r="C17" i="3"/>
  <c r="C16" i="3"/>
  <c r="C15" i="3"/>
  <c r="C14" i="3"/>
  <c r="C13" i="3"/>
  <c r="C12" i="3"/>
  <c r="C11" i="3"/>
  <c r="I12" i="3" s="1"/>
  <c r="C10" i="3"/>
  <c r="C9" i="3"/>
  <c r="B16" i="3"/>
  <c r="B20" i="3"/>
  <c r="B19" i="3"/>
  <c r="B18" i="3"/>
  <c r="B17" i="3"/>
  <c r="B14" i="3"/>
  <c r="H15" i="3" s="1"/>
  <c r="B13" i="3"/>
  <c r="B12" i="3"/>
  <c r="B11" i="3"/>
  <c r="B10" i="3"/>
  <c r="B9" i="3"/>
  <c r="C28" i="2"/>
  <c r="I28" i="2" s="1"/>
  <c r="C26" i="2"/>
  <c r="I27" i="2" s="1"/>
  <c r="C25" i="2"/>
  <c r="I25" i="2" s="1"/>
  <c r="C24" i="2"/>
  <c r="C23" i="2"/>
  <c r="C22" i="2"/>
  <c r="C21" i="2"/>
  <c r="C20" i="2"/>
  <c r="C19" i="2"/>
  <c r="C17" i="2"/>
  <c r="C16" i="2"/>
  <c r="C15" i="2"/>
  <c r="C14" i="2"/>
  <c r="C13" i="2"/>
  <c r="C12" i="2"/>
  <c r="I12" i="2" s="1"/>
  <c r="C10" i="2"/>
  <c r="I10" i="2" s="1"/>
  <c r="B28" i="2"/>
  <c r="H28" i="2" s="1"/>
  <c r="B27" i="2"/>
  <c r="B26" i="2"/>
  <c r="H26" i="2" s="1"/>
  <c r="B25" i="2"/>
  <c r="B24" i="2"/>
  <c r="B23" i="2"/>
  <c r="B22" i="2"/>
  <c r="B21" i="2"/>
  <c r="H21" i="2" s="1"/>
  <c r="B19" i="2"/>
  <c r="H20" i="2" s="1"/>
  <c r="B16" i="2"/>
  <c r="H17" i="2" s="1"/>
  <c r="B15" i="2"/>
  <c r="B14" i="2"/>
  <c r="B12" i="2"/>
  <c r="H13" i="2" s="1"/>
  <c r="B11" i="2"/>
  <c r="B10" i="2"/>
  <c r="B9" i="2"/>
  <c r="C14" i="1"/>
  <c r="I14" i="1" s="1"/>
  <c r="C12" i="1"/>
  <c r="B13" i="1"/>
  <c r="H14" i="1" s="1"/>
  <c r="B12" i="1"/>
  <c r="C11" i="1"/>
  <c r="C10" i="1"/>
  <c r="C9" i="1"/>
  <c r="B11" i="1"/>
  <c r="B10" i="1"/>
  <c r="B9" i="1"/>
  <c r="J11" i="7" l="1"/>
  <c r="J12" i="7" s="1"/>
  <c r="J13" i="7" s="1"/>
  <c r="J14" i="7" s="1"/>
  <c r="J16" i="7" s="1"/>
  <c r="J17" i="7" s="1"/>
  <c r="J19" i="7" s="1"/>
  <c r="J21" i="7" s="1"/>
  <c r="J22" i="7" s="1"/>
  <c r="J23" i="7" s="1"/>
  <c r="J24" i="7" s="1"/>
  <c r="H25" i="2"/>
  <c r="J12" i="9"/>
  <c r="J13" i="9" s="1"/>
  <c r="J14" i="9" s="1"/>
  <c r="J15" i="9" s="1"/>
  <c r="J16" i="9" s="1"/>
  <c r="J18" i="9" s="1"/>
  <c r="J19" i="9" s="1"/>
  <c r="J20" i="9" s="1"/>
  <c r="J19" i="19"/>
  <c r="H10" i="2"/>
  <c r="J10" i="2" s="1"/>
  <c r="I11" i="2"/>
  <c r="H22" i="2"/>
  <c r="I22" i="2"/>
  <c r="I21" i="2"/>
  <c r="I10" i="1"/>
  <c r="H23" i="2"/>
  <c r="I23" i="2"/>
  <c r="H15" i="2"/>
  <c r="H12" i="1"/>
  <c r="I16" i="2"/>
  <c r="I20" i="2"/>
  <c r="I12" i="1"/>
  <c r="H27" i="2"/>
  <c r="I26" i="2"/>
  <c r="H11" i="2"/>
  <c r="I17" i="2"/>
  <c r="I13" i="2"/>
  <c r="H10" i="1"/>
  <c r="J10" i="1" s="1"/>
  <c r="J11" i="1" s="1"/>
  <c r="I11" i="1"/>
  <c r="H13" i="1"/>
  <c r="H20" i="3"/>
  <c r="I13" i="1"/>
  <c r="H16" i="2"/>
  <c r="H12" i="2"/>
  <c r="G12" i="1"/>
  <c r="G13" i="1"/>
  <c r="I20" i="3"/>
  <c r="H19" i="3"/>
  <c r="H10" i="3"/>
  <c r="J10" i="3" s="1"/>
  <c r="I10" i="3"/>
  <c r="I14" i="3"/>
  <c r="H12" i="3"/>
  <c r="H13" i="3"/>
  <c r="I19" i="3"/>
  <c r="H17" i="3"/>
  <c r="I15" i="3"/>
  <c r="I17" i="3"/>
  <c r="I13" i="3"/>
  <c r="H14" i="3"/>
  <c r="J12" i="3" l="1"/>
  <c r="J13" i="3" s="1"/>
  <c r="J14" i="3" s="1"/>
  <c r="J15" i="3" s="1"/>
  <c r="J17" i="3" s="1"/>
  <c r="J19" i="3" s="1"/>
  <c r="J20" i="3" s="1"/>
  <c r="J11" i="2"/>
  <c r="J12" i="2" s="1"/>
  <c r="J13" i="2" s="1"/>
  <c r="J20" i="19"/>
  <c r="J22" i="19" s="1"/>
  <c r="J21" i="19"/>
  <c r="J23" i="19" s="1"/>
  <c r="J15" i="2"/>
  <c r="J16" i="2" s="1"/>
  <c r="J17" i="2" s="1"/>
  <c r="J20" i="2" s="1"/>
  <c r="J21" i="2" s="1"/>
  <c r="J22" i="2" s="1"/>
  <c r="J23" i="2" s="1"/>
  <c r="J25" i="2" s="1"/>
  <c r="J26" i="2" s="1"/>
  <c r="J27" i="2" s="1"/>
  <c r="J28" i="2" s="1"/>
  <c r="J12" i="1"/>
  <c r="J13" i="1" s="1"/>
  <c r="J14" i="1" s="1"/>
  <c r="J24" i="19" l="1"/>
  <c r="J25" i="19" s="1"/>
</calcChain>
</file>

<file path=xl/sharedStrings.xml><?xml version="1.0" encoding="utf-8"?>
<sst xmlns="http://schemas.openxmlformats.org/spreadsheetml/2006/main" count="915" uniqueCount="107">
  <si>
    <t>Date</t>
  </si>
  <si>
    <t>Weather</t>
  </si>
  <si>
    <t>Comments</t>
  </si>
  <si>
    <t>Time</t>
  </si>
  <si>
    <t>60-70 degrees</t>
  </si>
  <si>
    <t>Description</t>
  </si>
  <si>
    <t>Designation</t>
  </si>
  <si>
    <t>Staff</t>
  </si>
  <si>
    <t>Lee Rhea, Catherine Clark, Sharma Acharya</t>
  </si>
  <si>
    <t>DR-1</t>
  </si>
  <si>
    <t>Inner DTW (in)</t>
  </si>
  <si>
    <t>Outer DTW (in)</t>
  </si>
  <si>
    <t>DR-2</t>
  </si>
  <si>
    <t>Dry</t>
  </si>
  <si>
    <t>---</t>
  </si>
  <si>
    <t>DR-3</t>
  </si>
  <si>
    <t>Transition location between pond and sinkhole, north of DR-1. Heavy detritus of dead weeds scraped away.</t>
  </si>
  <si>
    <t>Close to dock on same side of sinkhole, near Pond 3. Thin, live, turf-like grass 2" tall.</t>
  </si>
  <si>
    <t>dIR (cm)</t>
  </si>
  <si>
    <t>dOR (cm)</t>
  </si>
  <si>
    <t>Refilled at 11:10</t>
  </si>
  <si>
    <t>Refilled at 11:59</t>
  </si>
  <si>
    <t>Refilled at 12:55</t>
  </si>
  <si>
    <t>Area of inner ring (cm^2)</t>
  </si>
  <si>
    <t>dt (min)</t>
  </si>
  <si>
    <t>Elapsed (min)</t>
  </si>
  <si>
    <t>DR-4</t>
  </si>
  <si>
    <t>Lee Rhea, Sharma Acharya</t>
  </si>
  <si>
    <t>Between explorations Pond 2 and Pond 3, over area with dead tall weeds (cleared by scraping with foot)</t>
  </si>
  <si>
    <t>60-70 degrees, overcast</t>
  </si>
  <si>
    <t>Refill</t>
  </si>
  <si>
    <t>DR-5</t>
  </si>
  <si>
    <t>DR-6</t>
  </si>
  <si>
    <t>Between explorations Pond 2 and Pond 3, over area with live, sparse, short turf-like grass</t>
  </si>
  <si>
    <t>40-50 degrees, clear sky</t>
  </si>
  <si>
    <t>North of north side of upstream weir, on low turf-like grass</t>
  </si>
  <si>
    <t>DR-7</t>
  </si>
  <si>
    <t>DR-8</t>
  </si>
  <si>
    <t>DR-9</t>
  </si>
  <si>
    <t>35-40 degrees, overcast</t>
  </si>
  <si>
    <t>North side of pond, on detrirus from tall weeds</t>
  </si>
  <si>
    <t>DR-10</t>
  </si>
  <si>
    <t>DR-11</t>
  </si>
  <si>
    <t>North side of pond, on short turf-like grass</t>
  </si>
  <si>
    <t>Cum. Infil. (cm)</t>
  </si>
  <si>
    <t>added water</t>
  </si>
  <si>
    <t>DR-12</t>
  </si>
  <si>
    <t>50 degrees, sunny</t>
  </si>
  <si>
    <t>West side of pond, on short turf-like grass</t>
  </si>
  <si>
    <t>DR-13</t>
  </si>
  <si>
    <t>West side of pond near "Pond 8" sample, on short turf-like grass</t>
  </si>
  <si>
    <t>DR-14</t>
  </si>
  <si>
    <t>Southwest side of pond, on short turf-like grass</t>
  </si>
  <si>
    <t>DR-17</t>
  </si>
  <si>
    <t>DR-16</t>
  </si>
  <si>
    <t>DR-15</t>
  </si>
  <si>
    <t>turf-like short grass</t>
  </si>
  <si>
    <t>turf-like grass, near sample POND 7</t>
  </si>
  <si>
    <t>Location</t>
  </si>
  <si>
    <t>Infiltrated (cm)</t>
  </si>
  <si>
    <t>DR1</t>
  </si>
  <si>
    <t>DR2</t>
  </si>
  <si>
    <t>DR3</t>
  </si>
  <si>
    <t>DR4</t>
  </si>
  <si>
    <t>DR5</t>
  </si>
  <si>
    <t>DR6</t>
  </si>
  <si>
    <t>DR7</t>
  </si>
  <si>
    <t>DR8</t>
  </si>
  <si>
    <t>DR9</t>
  </si>
  <si>
    <t>DR10</t>
  </si>
  <si>
    <t>DR11</t>
  </si>
  <si>
    <t>DR12</t>
  </si>
  <si>
    <t>DR13</t>
  </si>
  <si>
    <t>DR14</t>
  </si>
  <si>
    <t>DR15</t>
  </si>
  <si>
    <t>DR16</t>
  </si>
  <si>
    <t>DR17</t>
  </si>
  <si>
    <t>turf-like grass</t>
  </si>
  <si>
    <t>transition location between pond and sinkhole, near Pond 4. tall dead weeds</t>
  </si>
  <si>
    <t>Weeds</t>
  </si>
  <si>
    <t>Grass</t>
  </si>
  <si>
    <t>Vegetation</t>
  </si>
  <si>
    <t>Same side of pond bench as sinkhole, near dock. Tall dead weeds</t>
  </si>
  <si>
    <t>50-60 degrees</t>
  </si>
  <si>
    <t>DR-18</t>
  </si>
  <si>
    <t>sqrt(min)</t>
  </si>
  <si>
    <t>dry</t>
  </si>
  <si>
    <t>Same side of pond bench as sinkhole, near wier. Turf-like grass.</t>
  </si>
  <si>
    <t>DR-19</t>
  </si>
  <si>
    <t>1/sqrt(Elapsed Minutes)</t>
  </si>
  <si>
    <t>1/sqrt(Elapsed)</t>
  </si>
  <si>
    <t>square-root of time</t>
  </si>
  <si>
    <t>change in time</t>
  </si>
  <si>
    <t>change in depth (inner ring)</t>
  </si>
  <si>
    <t>change in depth (outer ring)</t>
  </si>
  <si>
    <t>cumulative infiltration</t>
  </si>
  <si>
    <t>elapsed minutes</t>
  </si>
  <si>
    <t>depth to water (inches) inside the outer ring of the infiltrometer</t>
  </si>
  <si>
    <t>depth to water (inches) inside the inner ring of the infiltrometer</t>
  </si>
  <si>
    <t>Parameter</t>
  </si>
  <si>
    <t xml:space="preserve">This file contains time and water level measurement data from a double-ring infiltrometer to estimate soil infiltration rate. </t>
  </si>
  <si>
    <t>an ID identifying locations on a site map</t>
  </si>
  <si>
    <t>the broad class of vegetation types at each location</t>
  </si>
  <si>
    <t>comments</t>
  </si>
  <si>
    <t>Notes:</t>
  </si>
  <si>
    <t xml:space="preserve">There are notations of "refilled" and "added water" on the individual tabs. These document times when water was added either between the rings or inside the inner ring. Additions between the rings maintained the water pressure in the underlying soil needed to confine the water entering the soil from the inner ring to one-dimensional flow. Additions into the inner ring were made to provide additional water for infiltration into the soil because the previously added amount was depleted from the ring. </t>
  </si>
  <si>
    <t>"N/A" indicates data not available / not recorded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</si>
</sst>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400]h:mm:ss\ AM/PM"/>
  </numFmts>
  <fonts count="4" x14ac:knownFonts="1">
    <font>
      <sz val="14"/>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20" fontId="0" fillId="0" borderId="0" xfId="0" applyNumberFormat="1" applyAlignment="1">
      <alignment horizontal="left" vertical="center"/>
    </xf>
    <xf numFmtId="2" fontId="0" fillId="0" borderId="0" xfId="0" applyNumberFormat="1" applyAlignment="1">
      <alignment horizontal="left" vertical="center"/>
    </xf>
    <xf numFmtId="2" fontId="1" fillId="0" borderId="0" xfId="0" applyNumberFormat="1" applyFont="1" applyAlignment="1">
      <alignment horizontal="center" vertical="center"/>
    </xf>
    <xf numFmtId="2" fontId="0" fillId="0" borderId="0" xfId="0" applyNumberFormat="1" applyAlignment="1">
      <alignment horizontal="center" vertical="center"/>
    </xf>
    <xf numFmtId="2" fontId="0" fillId="0" borderId="0" xfId="0" quotePrefix="1" applyNumberFormat="1" applyAlignment="1">
      <alignment horizontal="center" vertical="center"/>
    </xf>
    <xf numFmtId="14" fontId="0" fillId="0" borderId="0" xfId="0" applyNumberFormat="1" applyAlignment="1">
      <alignment horizontal="left" vertical="center"/>
    </xf>
    <xf numFmtId="0" fontId="0" fillId="0" borderId="0" xfId="0" quotePrefix="1" applyAlignment="1">
      <alignment horizontal="center" vertical="center"/>
    </xf>
    <xf numFmtId="164" fontId="1" fillId="0" borderId="0" xfId="0" applyNumberFormat="1" applyFont="1" applyAlignment="1">
      <alignment horizontal="center" vertical="center"/>
    </xf>
    <xf numFmtId="164" fontId="0" fillId="0" borderId="0" xfId="0" applyNumberFormat="1" applyAlignment="1">
      <alignment horizontal="center" vertical="center"/>
    </xf>
    <xf numFmtId="164" fontId="0" fillId="0" borderId="0" xfId="0" quotePrefix="1" applyNumberFormat="1" applyAlignment="1">
      <alignment horizontal="center" vertical="center"/>
    </xf>
    <xf numFmtId="20" fontId="0" fillId="0" borderId="0" xfId="0" applyNumberFormat="1" applyAlignment="1">
      <alignment horizontal="center" vertical="center"/>
    </xf>
    <xf numFmtId="22" fontId="0" fillId="0" borderId="0" xfId="0" applyNumberFormat="1" applyAlignment="1">
      <alignment horizontal="center" vertical="center"/>
    </xf>
    <xf numFmtId="0" fontId="1" fillId="0" borderId="0" xfId="0" applyFont="1" applyAlignment="1">
      <alignment vertical="center"/>
    </xf>
    <xf numFmtId="0" fontId="0" fillId="0" borderId="0" xfId="0" applyAlignment="1">
      <alignment vertical="center"/>
    </xf>
    <xf numFmtId="165" fontId="0" fillId="0" borderId="0" xfId="0" applyNumberFormat="1" applyAlignment="1">
      <alignment horizontal="center" vertical="center"/>
    </xf>
    <xf numFmtId="11" fontId="0" fillId="0" borderId="0" xfId="0" applyNumberFormat="1" applyAlignment="1">
      <alignment horizontal="center" vertical="center"/>
    </xf>
    <xf numFmtId="0" fontId="2" fillId="0" borderId="0" xfId="0" applyFont="1"/>
    <xf numFmtId="2" fontId="2" fillId="0" borderId="0" xfId="0" applyNumberFormat="1" applyFont="1" applyAlignment="1">
      <alignment horizontal="left" vertical="center"/>
    </xf>
    <xf numFmtId="0" fontId="2" fillId="0" borderId="0" xfId="0" applyFont="1" applyAlignment="1">
      <alignment horizontal="left" vertical="center"/>
    </xf>
    <xf numFmtId="164" fontId="2" fillId="0" borderId="0" xfId="0" applyNumberFormat="1" applyFont="1" applyAlignment="1">
      <alignment horizontal="left" vertical="center"/>
    </xf>
    <xf numFmtId="0" fontId="3" fillId="0" borderId="0" xfId="0" applyFont="1"/>
    <xf numFmtId="0" fontId="0" fillId="0" borderId="1" xfId="0" applyBorder="1"/>
    <xf numFmtId="0" fontId="0" fillId="0" borderId="2" xfId="0" applyBorder="1"/>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5.xml"/><Relationship Id="rId39" Type="http://schemas.openxmlformats.org/officeDocument/2006/relationships/chartsheet" Target="chartsheets/sheet18.xml"/><Relationship Id="rId21" Type="http://schemas.openxmlformats.org/officeDocument/2006/relationships/worksheet" Target="worksheets/sheet21.xml"/><Relationship Id="rId34" Type="http://schemas.openxmlformats.org/officeDocument/2006/relationships/chartsheet" Target="chartsheets/sheet13.xml"/><Relationship Id="rId42" Type="http://schemas.openxmlformats.org/officeDocument/2006/relationships/chartsheet" Target="chartsheets/sheet2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chartsheet" Target="chartsheets/sheet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hartsheet" Target="chartsheets/sheet3.xml"/><Relationship Id="rId32" Type="http://schemas.openxmlformats.org/officeDocument/2006/relationships/chartsheet" Target="chartsheets/sheet11.xml"/><Relationship Id="rId37" Type="http://schemas.openxmlformats.org/officeDocument/2006/relationships/chartsheet" Target="chartsheets/sheet16.xml"/><Relationship Id="rId40" Type="http://schemas.openxmlformats.org/officeDocument/2006/relationships/chartsheet" Target="chartsheets/sheet19.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hartsheet" Target="chartsheets/sheet2.xml"/><Relationship Id="rId28" Type="http://schemas.openxmlformats.org/officeDocument/2006/relationships/chartsheet" Target="chartsheets/sheet7.xml"/><Relationship Id="rId36" Type="http://schemas.openxmlformats.org/officeDocument/2006/relationships/chartsheet" Target="chartsheets/sheet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hartsheet" Target="chartsheets/sheet10.xml"/><Relationship Id="rId44" Type="http://schemas.openxmlformats.org/officeDocument/2006/relationships/chartsheet" Target="chartsheets/sheet2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hartsheet" Target="chartsheets/sheet1.xml"/><Relationship Id="rId27" Type="http://schemas.openxmlformats.org/officeDocument/2006/relationships/chartsheet" Target="chartsheets/sheet6.xml"/><Relationship Id="rId30" Type="http://schemas.openxmlformats.org/officeDocument/2006/relationships/chartsheet" Target="chartsheets/sheet9.xml"/><Relationship Id="rId35" Type="http://schemas.openxmlformats.org/officeDocument/2006/relationships/chartsheet" Target="chartsheets/sheet14.xml"/><Relationship Id="rId43" Type="http://schemas.openxmlformats.org/officeDocument/2006/relationships/chartsheet" Target="chartsheets/sheet22.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hartsheet" Target="chartsheets/sheet4.xml"/><Relationship Id="rId33" Type="http://schemas.openxmlformats.org/officeDocument/2006/relationships/chartsheet" Target="chartsheets/sheet12.xml"/><Relationship Id="rId38" Type="http://schemas.openxmlformats.org/officeDocument/2006/relationships/chartsheet" Target="chartsheets/sheet17.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chartsheet" Target="chartsheets/sheet2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'DR1'!$E$10:$E$14</c:f>
              <c:numCache>
                <c:formatCode>0.0</c:formatCode>
                <c:ptCount val="5"/>
                <c:pt idx="0">
                  <c:v>24.999999997671694</c:v>
                </c:pt>
                <c:pt idx="1">
                  <c:v>46.000000003259629</c:v>
                </c:pt>
                <c:pt idx="2">
                  <c:v>1412.999999995809</c:v>
                </c:pt>
                <c:pt idx="3">
                  <c:v>1524.9999999941792</c:v>
                </c:pt>
                <c:pt idx="4">
                  <c:v>1627.9999999946449</c:v>
                </c:pt>
              </c:numCache>
            </c:numRef>
          </c:xVal>
          <c:yVal>
            <c:numRef>
              <c:f>'DR1'!$J$10:$J$14</c:f>
              <c:numCache>
                <c:formatCode>0.00</c:formatCode>
                <c:ptCount val="5"/>
                <c:pt idx="0">
                  <c:v>0.60960000000000059</c:v>
                </c:pt>
                <c:pt idx="1">
                  <c:v>1.2192000000000012</c:v>
                </c:pt>
                <c:pt idx="2">
                  <c:v>10.287000000000001</c:v>
                </c:pt>
                <c:pt idx="3">
                  <c:v>10.604500000000002</c:v>
                </c:pt>
                <c:pt idx="4">
                  <c:v>10.922000000000002</c:v>
                </c:pt>
              </c:numCache>
            </c:numRef>
          </c:yVal>
          <c:smooth val="0"/>
          <c:extLst>
            <c:ext xmlns:c16="http://schemas.microsoft.com/office/drawing/2014/chart" uri="{C3380CC4-5D6E-409C-BE32-E72D297353CC}">
              <c16:uniqueId val="{00000000-9C12-494D-A2BF-53A0B6118C7C}"/>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DR-8</a:t>
            </a:r>
          </a:p>
          <a:p>
            <a:pPr>
              <a:defRPr/>
            </a:pPr>
            <a:endParaRPr lang="en-US"/>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'DR8'!$J$9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6.9920158486708753E-2"/>
                  <c:y val="0.11207240185358369"/>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'DR8'!$E$10:$E$22</c:f>
              <c:numCache>
                <c:formatCode>0.0</c:formatCode>
                <c:ptCount val="13"/>
                <c:pt idx="0">
                  <c:v>0.99999999999991651</c:v>
                </c:pt>
                <c:pt idx="1">
                  <c:v>1.9999999999999929</c:v>
                </c:pt>
                <c:pt idx="2">
                  <c:v>2.9999999999999094</c:v>
                </c:pt>
                <c:pt idx="3">
                  <c:v>3.9999999999999858</c:v>
                </c:pt>
                <c:pt idx="4">
                  <c:v>9.000000000000048</c:v>
                </c:pt>
                <c:pt idx="5">
                  <c:v>19.000000000000014</c:v>
                </c:pt>
                <c:pt idx="6">
                  <c:v>39.000000000000021</c:v>
                </c:pt>
                <c:pt idx="7">
                  <c:v>69</c:v>
                </c:pt>
                <c:pt idx="8">
                  <c:v>98.999999999999972</c:v>
                </c:pt>
                <c:pt idx="9">
                  <c:v>129.00000000000003</c:v>
                </c:pt>
                <c:pt idx="10">
                  <c:v>159.00000000000009</c:v>
                </c:pt>
                <c:pt idx="11">
                  <c:v>202.99999999999991</c:v>
                </c:pt>
                <c:pt idx="12">
                  <c:v>224</c:v>
                </c:pt>
              </c:numCache>
            </c:numRef>
          </c:xVal>
          <c:yVal>
            <c:numRef>
              <c:f>'DR8'!$J$10:$J$22</c:f>
              <c:numCache>
                <c:formatCode>0.0</c:formatCode>
                <c:ptCount val="13"/>
                <c:pt idx="0">
                  <c:v>0.25399999999999912</c:v>
                </c:pt>
                <c:pt idx="1">
                  <c:v>0.50799999999999823</c:v>
                </c:pt>
                <c:pt idx="2">
                  <c:v>0.50799999999999823</c:v>
                </c:pt>
                <c:pt idx="3">
                  <c:v>0.50799999999999823</c:v>
                </c:pt>
                <c:pt idx="4">
                  <c:v>0.76199999999999735</c:v>
                </c:pt>
                <c:pt idx="5">
                  <c:v>0.76199999999999735</c:v>
                </c:pt>
                <c:pt idx="6">
                  <c:v>1.27</c:v>
                </c:pt>
                <c:pt idx="7">
                  <c:v>2.0319999999999974</c:v>
                </c:pt>
                <c:pt idx="8">
                  <c:v>2.0319999999999974</c:v>
                </c:pt>
                <c:pt idx="9">
                  <c:v>2.7939999999999992</c:v>
                </c:pt>
                <c:pt idx="10">
                  <c:v>3.3019999999999974</c:v>
                </c:pt>
                <c:pt idx="11">
                  <c:v>3.81</c:v>
                </c:pt>
                <c:pt idx="12">
                  <c:v>3.81</c:v>
                </c:pt>
              </c:numCache>
            </c:numRef>
          </c:yVal>
          <c:smooth val="0"/>
          <c:extLst>
            <c:ext xmlns:c16="http://schemas.microsoft.com/office/drawing/2014/chart" uri="{C3380CC4-5D6E-409C-BE32-E72D297353CC}">
              <c16:uniqueId val="{00000001-2788-4B69-AF99-2D7F7377BC69}"/>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DR-9</a:t>
            </a:r>
          </a:p>
          <a:p>
            <a:pPr>
              <a:defRPr/>
            </a:pPr>
            <a:endParaRPr lang="en-US"/>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'DR9'!$J$9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3.7991867348213713E-2"/>
                  <c:y val="0.13109676097054562"/>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'DR9'!$E$11:$E$20</c:f>
              <c:numCache>
                <c:formatCode>0.0</c:formatCode>
                <c:ptCount val="10"/>
                <c:pt idx="0">
                  <c:v>1.9999999999999929</c:v>
                </c:pt>
                <c:pt idx="1">
                  <c:v>2.9999999999999893</c:v>
                </c:pt>
                <c:pt idx="2">
                  <c:v>3.9999999999999858</c:v>
                </c:pt>
                <c:pt idx="3">
                  <c:v>8.999999999999968</c:v>
                </c:pt>
                <c:pt idx="4">
                  <c:v>19.000000000000014</c:v>
                </c:pt>
                <c:pt idx="5">
                  <c:v>38.999999999999943</c:v>
                </c:pt>
                <c:pt idx="6">
                  <c:v>68.999999999999915</c:v>
                </c:pt>
                <c:pt idx="7">
                  <c:v>98.999999999999886</c:v>
                </c:pt>
                <c:pt idx="8">
                  <c:v>128.99999999999994</c:v>
                </c:pt>
                <c:pt idx="9">
                  <c:v>182.00000000000009</c:v>
                </c:pt>
              </c:numCache>
            </c:numRef>
          </c:xVal>
          <c:yVal>
            <c:numRef>
              <c:f>'DR9'!$J$11:$J$20</c:f>
              <c:numCache>
                <c:formatCode>0.0</c:formatCode>
                <c:ptCount val="10"/>
                <c:pt idx="0">
                  <c:v>0.25399999999999912</c:v>
                </c:pt>
                <c:pt idx="1">
                  <c:v>0.25399999999999912</c:v>
                </c:pt>
                <c:pt idx="2">
                  <c:v>0.25399999999999912</c:v>
                </c:pt>
                <c:pt idx="3">
                  <c:v>0.50799999999999823</c:v>
                </c:pt>
                <c:pt idx="4">
                  <c:v>0.76199999999999735</c:v>
                </c:pt>
                <c:pt idx="5">
                  <c:v>1.27</c:v>
                </c:pt>
                <c:pt idx="6">
                  <c:v>1.5239999999999991</c:v>
                </c:pt>
                <c:pt idx="7">
                  <c:v>1.5239999999999991</c:v>
                </c:pt>
                <c:pt idx="8">
                  <c:v>2.2860000000000009</c:v>
                </c:pt>
                <c:pt idx="9">
                  <c:v>2.7939999999999992</c:v>
                </c:pt>
              </c:numCache>
            </c:numRef>
          </c:yVal>
          <c:smooth val="0"/>
          <c:extLst>
            <c:ext xmlns:c16="http://schemas.microsoft.com/office/drawing/2014/chart" uri="{C3380CC4-5D6E-409C-BE32-E72D297353CC}">
              <c16:uniqueId val="{00000001-7BE6-4784-847C-6FD1D1ECDFFD}"/>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DR-10</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'DR10'!$J$9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'DR10'!$E$10:$E$25</c:f>
              <c:numCache>
                <c:formatCode>0.0</c:formatCode>
                <c:ptCount val="16"/>
                <c:pt idx="0">
                  <c:v>0.99999999999983658</c:v>
                </c:pt>
                <c:pt idx="1">
                  <c:v>1.9999999999999929</c:v>
                </c:pt>
                <c:pt idx="2">
                  <c:v>2.9999999999998295</c:v>
                </c:pt>
                <c:pt idx="3">
                  <c:v>3.9999999999999858</c:v>
                </c:pt>
                <c:pt idx="4">
                  <c:v>8.9999999999998082</c:v>
                </c:pt>
                <c:pt idx="5">
                  <c:v>18.999999999999932</c:v>
                </c:pt>
                <c:pt idx="6">
                  <c:v>28.999999999999897</c:v>
                </c:pt>
                <c:pt idx="7">
                  <c:v>29.999999999999893</c:v>
                </c:pt>
                <c:pt idx="8">
                  <c:v>49.999999999999822</c:v>
                </c:pt>
                <c:pt idx="9">
                  <c:v>79.999999999999872</c:v>
                </c:pt>
                <c:pt idx="10">
                  <c:v>80.999999999999872</c:v>
                </c:pt>
                <c:pt idx="11">
                  <c:v>110.99999999999993</c:v>
                </c:pt>
                <c:pt idx="12">
                  <c:v>110.99999999999993</c:v>
                </c:pt>
                <c:pt idx="13">
                  <c:v>140.99999999999997</c:v>
                </c:pt>
                <c:pt idx="14">
                  <c:v>155.99999999999991</c:v>
                </c:pt>
                <c:pt idx="15">
                  <c:v>170.99999999999989</c:v>
                </c:pt>
              </c:numCache>
            </c:numRef>
          </c:xVal>
          <c:yVal>
            <c:numRef>
              <c:f>'DR10'!$J$10:$J$25</c:f>
              <c:numCache>
                <c:formatCode>0.0</c:formatCode>
                <c:ptCount val="16"/>
                <c:pt idx="0">
                  <c:v>1.0160000000000009</c:v>
                </c:pt>
                <c:pt idx="1">
                  <c:v>1.0160000000000009</c:v>
                </c:pt>
                <c:pt idx="2">
                  <c:v>1.27</c:v>
                </c:pt>
                <c:pt idx="3">
                  <c:v>1.7779999999999982</c:v>
                </c:pt>
                <c:pt idx="4">
                  <c:v>3.5560000000000009</c:v>
                </c:pt>
                <c:pt idx="5">
                  <c:v>6.6039999999999992</c:v>
                </c:pt>
                <c:pt idx="6">
                  <c:v>8.636000000000001</c:v>
                </c:pt>
                <c:pt idx="7">
                  <c:v>#N/A</c:v>
                </c:pt>
                <c:pt idx="8">
                  <c:v>15.24</c:v>
                </c:pt>
                <c:pt idx="9">
                  <c:v>21.59</c:v>
                </c:pt>
                <c:pt idx="10">
                  <c:v>#N/A</c:v>
                </c:pt>
                <c:pt idx="11">
                  <c:v>29.21</c:v>
                </c:pt>
                <c:pt idx="12">
                  <c:v>#N/A</c:v>
                </c:pt>
                <c:pt idx="13">
                  <c:v>36.321999999999996</c:v>
                </c:pt>
                <c:pt idx="14">
                  <c:v>39.116</c:v>
                </c:pt>
                <c:pt idx="15">
                  <c:v>41.91</c:v>
                </c:pt>
              </c:numCache>
            </c:numRef>
          </c:yVal>
          <c:smooth val="0"/>
          <c:extLst>
            <c:ext xmlns:c16="http://schemas.microsoft.com/office/drawing/2014/chart" uri="{C3380CC4-5D6E-409C-BE32-E72D297353CC}">
              <c16:uniqueId val="{00000001-3D0C-4354-ADC6-050AFD3AA927}"/>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84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DR-10</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384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20587113579805819"/>
          <c:y val="0.12637782752111265"/>
          <c:w val="0.74488422108019714"/>
          <c:h val="0.65315693295377508"/>
        </c:manualLayout>
      </c:layout>
      <c:scatterChart>
        <c:scatterStyle val="lineMarker"/>
        <c:varyColors val="0"/>
        <c:ser>
          <c:idx val="0"/>
          <c:order val="0"/>
          <c:tx>
            <c:strRef>
              <c:f>'DR10'!$J$9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6448703265942769"/>
                  <c:y val="-0.27805910075632317"/>
                </c:manualLayout>
              </c:layout>
              <c:numFmt formatCode="General" sourceLinked="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rendlineLbl>
          </c:trendline>
          <c:xVal>
            <c:numRef>
              <c:f>'DR10'!$K$10:$K$25</c:f>
              <c:numCache>
                <c:formatCode>General</c:formatCode>
                <c:ptCount val="16"/>
                <c:pt idx="0">
                  <c:v>1.0000000000000817</c:v>
                </c:pt>
                <c:pt idx="1">
                  <c:v>0.70710678118654879</c:v>
                </c:pt>
                <c:pt idx="2">
                  <c:v>0.57735026918964216</c:v>
                </c:pt>
                <c:pt idx="3">
                  <c:v>0.50000000000000089</c:v>
                </c:pt>
                <c:pt idx="4">
                  <c:v>0.33333333333333687</c:v>
                </c:pt>
                <c:pt idx="5">
                  <c:v>0.22941573387056216</c:v>
                </c:pt>
                <c:pt idx="6">
                  <c:v>0.18569533817705217</c:v>
                </c:pt>
                <c:pt idx="7">
                  <c:v>0.18257418583505569</c:v>
                </c:pt>
                <c:pt idx="8">
                  <c:v>0.14142135623730975</c:v>
                </c:pt>
                <c:pt idx="9">
                  <c:v>0.11180339887498957</c:v>
                </c:pt>
                <c:pt idx="10">
                  <c:v>0.1111111111111112</c:v>
                </c:pt>
                <c:pt idx="11">
                  <c:v>9.491579957524994E-2</c:v>
                </c:pt>
                <c:pt idx="12">
                  <c:v>9.491579957524994E-2</c:v>
                </c:pt>
                <c:pt idx="13">
                  <c:v>8.4215192106651904E-2</c:v>
                </c:pt>
                <c:pt idx="14">
                  <c:v>8.0064076902543593E-2</c:v>
                </c:pt>
                <c:pt idx="15">
                  <c:v>7.6471911290187281E-2</c:v>
                </c:pt>
              </c:numCache>
            </c:numRef>
          </c:xVal>
          <c:yVal>
            <c:numRef>
              <c:f>'DR10'!$J$10:$J$25</c:f>
              <c:numCache>
                <c:formatCode>0.0</c:formatCode>
                <c:ptCount val="16"/>
                <c:pt idx="0">
                  <c:v>1.0160000000000009</c:v>
                </c:pt>
                <c:pt idx="1">
                  <c:v>1.0160000000000009</c:v>
                </c:pt>
                <c:pt idx="2">
                  <c:v>1.27</c:v>
                </c:pt>
                <c:pt idx="3">
                  <c:v>1.7779999999999982</c:v>
                </c:pt>
                <c:pt idx="4">
                  <c:v>3.5560000000000009</c:v>
                </c:pt>
                <c:pt idx="5">
                  <c:v>6.6039999999999992</c:v>
                </c:pt>
                <c:pt idx="6">
                  <c:v>8.636000000000001</c:v>
                </c:pt>
                <c:pt idx="7">
                  <c:v>#N/A</c:v>
                </c:pt>
                <c:pt idx="8">
                  <c:v>15.24</c:v>
                </c:pt>
                <c:pt idx="9">
                  <c:v>21.59</c:v>
                </c:pt>
                <c:pt idx="10">
                  <c:v>#N/A</c:v>
                </c:pt>
                <c:pt idx="11">
                  <c:v>29.21</c:v>
                </c:pt>
                <c:pt idx="12">
                  <c:v>#N/A</c:v>
                </c:pt>
                <c:pt idx="13">
                  <c:v>36.321999999999996</c:v>
                </c:pt>
                <c:pt idx="14">
                  <c:v>39.116</c:v>
                </c:pt>
                <c:pt idx="15">
                  <c:v>41.91</c:v>
                </c:pt>
              </c:numCache>
            </c:numRef>
          </c:yVal>
          <c:smooth val="0"/>
          <c:extLst>
            <c:ext xmlns:c16="http://schemas.microsoft.com/office/drawing/2014/chart" uri="{C3380CC4-5D6E-409C-BE32-E72D297353CC}">
              <c16:uniqueId val="{00000001-1B77-48B5-AE18-2DE683371108}"/>
            </c:ext>
          </c:extLst>
        </c:ser>
        <c:dLbls>
          <c:showLegendKey val="0"/>
          <c:showVal val="0"/>
          <c:showCatName val="0"/>
          <c:showSerName val="0"/>
          <c:showPercent val="0"/>
          <c:showBubbleSize val="0"/>
        </c:dLbls>
        <c:axId val="1331951247"/>
        <c:axId val="1331952079"/>
      </c:scatterChart>
      <c:valAx>
        <c:axId val="1331951247"/>
        <c:scaling>
          <c:logBase val="10"/>
          <c:orientation val="maxMin"/>
        </c:scaling>
        <c:delete val="0"/>
        <c:axPos val="b"/>
        <c:title>
          <c:tx>
            <c:rich>
              <a:bodyPr rot="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1 / sqrt(Elapsed minutes)</a:t>
                </a:r>
              </a:p>
            </c:rich>
          </c:tx>
          <c:layout>
            <c:manualLayout>
              <c:xMode val="edge"/>
              <c:yMode val="edge"/>
              <c:x val="0.35595992664080728"/>
              <c:y val="0.91245361434576377"/>
            </c:manualLayout>
          </c:layout>
          <c:overlay val="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0.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31952079"/>
        <c:crossesAt val="0"/>
        <c:crossBetween val="midCat"/>
      </c:valAx>
      <c:valAx>
        <c:axId val="1331952079"/>
        <c:scaling>
          <c:logBase val="10"/>
          <c:orientation val="minMax"/>
        </c:scaling>
        <c:delete val="0"/>
        <c:axPos val="l"/>
        <c:title>
          <c:tx>
            <c:rich>
              <a:bodyPr rot="-540000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Cumulative Infiltration (cm)</a:t>
                </a:r>
              </a:p>
            </c:rich>
          </c:tx>
          <c:layout>
            <c:manualLayout>
              <c:xMode val="edge"/>
              <c:yMode val="edge"/>
              <c:x val="1.8577989380181292E-2"/>
              <c:y val="0.16100518919141615"/>
            </c:manualLayout>
          </c:layout>
          <c:overlay val="0"/>
          <c:spPr>
            <a:noFill/>
            <a:ln>
              <a:noFill/>
            </a:ln>
            <a:effectLst/>
          </c:spPr>
          <c:txPr>
            <a:bodyPr rot="-540000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1331951247"/>
        <c:crosses val="max"/>
        <c:crossBetween val="midCat"/>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3200">
          <a:latin typeface="Times New Roman" panose="02020603050405020304" pitchFamily="18" charset="0"/>
          <a:cs typeface="Times New Roman" panose="02020603050405020304" pitchFamily="18" charset="0"/>
        </a:defRPr>
      </a:pPr>
      <a:endParaRPr lang="en-US"/>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DR-11</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'DR11'!$J$9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'DR11'!$E$10:$E$21</c:f>
              <c:numCache>
                <c:formatCode>0.0</c:formatCode>
                <c:ptCount val="12"/>
                <c:pt idx="0">
                  <c:v>0.99999999999999645</c:v>
                </c:pt>
                <c:pt idx="1">
                  <c:v>1.9999999999999929</c:v>
                </c:pt>
                <c:pt idx="2">
                  <c:v>2.9999999999999893</c:v>
                </c:pt>
                <c:pt idx="3">
                  <c:v>3.9999999999999858</c:v>
                </c:pt>
                <c:pt idx="4">
                  <c:v>8.999999999999968</c:v>
                </c:pt>
                <c:pt idx="5">
                  <c:v>18.999999999999932</c:v>
                </c:pt>
                <c:pt idx="6">
                  <c:v>39.000000000000021</c:v>
                </c:pt>
                <c:pt idx="7">
                  <c:v>69.000000000000071</c:v>
                </c:pt>
                <c:pt idx="8">
                  <c:v>98.999999999999972</c:v>
                </c:pt>
                <c:pt idx="9">
                  <c:v>129.00000000000003</c:v>
                </c:pt>
                <c:pt idx="10">
                  <c:v>159.00000000000009</c:v>
                </c:pt>
                <c:pt idx="11">
                  <c:v>188.99999999999997</c:v>
                </c:pt>
              </c:numCache>
            </c:numRef>
          </c:xVal>
          <c:yVal>
            <c:numRef>
              <c:f>'DR11'!$J$10:$J$21</c:f>
              <c:numCache>
                <c:formatCode>0.0</c:formatCode>
                <c:ptCount val="12"/>
                <c:pt idx="0">
                  <c:v>0.25399999999999912</c:v>
                </c:pt>
                <c:pt idx="1">
                  <c:v>0.25399999999999912</c:v>
                </c:pt>
                <c:pt idx="2">
                  <c:v>0.25399999999999912</c:v>
                </c:pt>
                <c:pt idx="3">
                  <c:v>0.25399999999999912</c:v>
                </c:pt>
                <c:pt idx="4">
                  <c:v>0.25399999999999912</c:v>
                </c:pt>
                <c:pt idx="5">
                  <c:v>0.76199999999999735</c:v>
                </c:pt>
                <c:pt idx="6">
                  <c:v>1.5239999999999991</c:v>
                </c:pt>
                <c:pt idx="7">
                  <c:v>1.5239999999999991</c:v>
                </c:pt>
                <c:pt idx="8">
                  <c:v>3.3019999999999974</c:v>
                </c:pt>
                <c:pt idx="9">
                  <c:v>3.5559999999999965</c:v>
                </c:pt>
                <c:pt idx="10">
                  <c:v>5.08</c:v>
                </c:pt>
                <c:pt idx="11">
                  <c:v>5.3339999999999996</c:v>
                </c:pt>
              </c:numCache>
            </c:numRef>
          </c:yVal>
          <c:smooth val="0"/>
          <c:extLst>
            <c:ext xmlns:c16="http://schemas.microsoft.com/office/drawing/2014/chart" uri="{C3380CC4-5D6E-409C-BE32-E72D297353CC}">
              <c16:uniqueId val="{00000001-1E37-4AAA-A940-BB7C40AF65A3}"/>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DR-12</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'DR12'!$J$9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1422619302649666"/>
                  <c:y val="7.5887234073380355E-2"/>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poly"/>
            <c:order val="2"/>
            <c:dispRSqr val="1"/>
            <c:dispEq val="1"/>
            <c:trendlineLbl>
              <c:layout>
                <c:manualLayout>
                  <c:x val="0.11091452901927004"/>
                  <c:y val="0.21122570683298286"/>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'DR12'!$E$11:$E$29</c:f>
              <c:numCache>
                <c:formatCode>0.0</c:formatCode>
                <c:ptCount val="19"/>
                <c:pt idx="0">
                  <c:v>1.9999999999999929</c:v>
                </c:pt>
                <c:pt idx="1">
                  <c:v>3.0000000000000693</c:v>
                </c:pt>
                <c:pt idx="2">
                  <c:v>3.9999999999999858</c:v>
                </c:pt>
                <c:pt idx="3">
                  <c:v>9.000000000000048</c:v>
                </c:pt>
                <c:pt idx="4">
                  <c:v>19.000000000000014</c:v>
                </c:pt>
                <c:pt idx="5">
                  <c:v>39.000000000000021</c:v>
                </c:pt>
                <c:pt idx="6">
                  <c:v>39.000000000000021</c:v>
                </c:pt>
                <c:pt idx="7">
                  <c:v>39.000000000000021</c:v>
                </c:pt>
                <c:pt idx="8">
                  <c:v>69.000000000000071</c:v>
                </c:pt>
                <c:pt idx="9">
                  <c:v>69.000000000000071</c:v>
                </c:pt>
                <c:pt idx="10">
                  <c:v>69.000000000000071</c:v>
                </c:pt>
                <c:pt idx="11">
                  <c:v>99.000000000000043</c:v>
                </c:pt>
                <c:pt idx="12">
                  <c:v>99.000000000000043</c:v>
                </c:pt>
                <c:pt idx="13">
                  <c:v>99.000000000000043</c:v>
                </c:pt>
                <c:pt idx="14">
                  <c:v>135.00000000000009</c:v>
                </c:pt>
                <c:pt idx="15">
                  <c:v>164.99999999999997</c:v>
                </c:pt>
                <c:pt idx="16">
                  <c:v>164.99999999999997</c:v>
                </c:pt>
                <c:pt idx="17">
                  <c:v>164.99999999999997</c:v>
                </c:pt>
                <c:pt idx="18">
                  <c:v>195.00000000000003</c:v>
                </c:pt>
              </c:numCache>
            </c:numRef>
          </c:xVal>
          <c:yVal>
            <c:numRef>
              <c:f>'DR12'!$J$11:$J$29</c:f>
              <c:numCache>
                <c:formatCode>0.0</c:formatCode>
                <c:ptCount val="19"/>
                <c:pt idx="0">
                  <c:v>0.25400000000000134</c:v>
                </c:pt>
                <c:pt idx="1">
                  <c:v>0.50800000000000045</c:v>
                </c:pt>
                <c:pt idx="2">
                  <c:v>1.0159999999999987</c:v>
                </c:pt>
                <c:pt idx="3">
                  <c:v>2.5400000000000023</c:v>
                </c:pt>
                <c:pt idx="4">
                  <c:v>5.0800000000000018</c:v>
                </c:pt>
                <c:pt idx="5">
                  <c:v>9.1440000000000019</c:v>
                </c:pt>
                <c:pt idx="6">
                  <c:v>#N/A</c:v>
                </c:pt>
                <c:pt idx="7">
                  <c:v>#N/A</c:v>
                </c:pt>
                <c:pt idx="8">
                  <c:v>14.732000000000005</c:v>
                </c:pt>
                <c:pt idx="9">
                  <c:v>#N/A</c:v>
                </c:pt>
                <c:pt idx="10">
                  <c:v>#N/A</c:v>
                </c:pt>
                <c:pt idx="11">
                  <c:v>19.304000000000002</c:v>
                </c:pt>
                <c:pt idx="12">
                  <c:v>#N/A</c:v>
                </c:pt>
                <c:pt idx="13">
                  <c:v>#N/A</c:v>
                </c:pt>
                <c:pt idx="14">
                  <c:v>24.384</c:v>
                </c:pt>
                <c:pt idx="15">
                  <c:v>28.448</c:v>
                </c:pt>
                <c:pt idx="16">
                  <c:v>#N/A</c:v>
                </c:pt>
                <c:pt idx="17">
                  <c:v>#N/A</c:v>
                </c:pt>
                <c:pt idx="18">
                  <c:v>32.512</c:v>
                </c:pt>
              </c:numCache>
            </c:numRef>
          </c:yVal>
          <c:smooth val="0"/>
          <c:extLst>
            <c:ext xmlns:c16="http://schemas.microsoft.com/office/drawing/2014/chart" uri="{C3380CC4-5D6E-409C-BE32-E72D297353CC}">
              <c16:uniqueId val="{00000001-9398-4D67-BBEC-F85FD280A2AC}"/>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DR-12</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'DR12'!$J$9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69869377984025494"/>
                  <c:y val="-0.49216204356153831"/>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'DR12'!$K$11:$K$29</c:f>
              <c:numCache>
                <c:formatCode>General</c:formatCode>
                <c:ptCount val="19"/>
                <c:pt idx="0">
                  <c:v>0.70710678118654879</c:v>
                </c:pt>
                <c:pt idx="1">
                  <c:v>0.57735026918961907</c:v>
                </c:pt>
                <c:pt idx="2">
                  <c:v>0.50000000000000089</c:v>
                </c:pt>
                <c:pt idx="3">
                  <c:v>0.33333333333333243</c:v>
                </c:pt>
                <c:pt idx="4">
                  <c:v>0.22941573387056169</c:v>
                </c:pt>
                <c:pt idx="5">
                  <c:v>0.16012815380508708</c:v>
                </c:pt>
                <c:pt idx="6">
                  <c:v>0.16012815380508708</c:v>
                </c:pt>
                <c:pt idx="7">
                  <c:v>0.16012815380508708</c:v>
                </c:pt>
                <c:pt idx="8">
                  <c:v>0.12038585308576914</c:v>
                </c:pt>
                <c:pt idx="9">
                  <c:v>0.12038585308576914</c:v>
                </c:pt>
                <c:pt idx="10">
                  <c:v>0.12038585308576914</c:v>
                </c:pt>
                <c:pt idx="11">
                  <c:v>0.1005037815259212</c:v>
                </c:pt>
                <c:pt idx="12">
                  <c:v>0.1005037815259212</c:v>
                </c:pt>
                <c:pt idx="13">
                  <c:v>0.1005037815259212</c:v>
                </c:pt>
                <c:pt idx="14">
                  <c:v>8.6066296582387014E-2</c:v>
                </c:pt>
                <c:pt idx="15">
                  <c:v>7.784989441615231E-2</c:v>
                </c:pt>
                <c:pt idx="16">
                  <c:v>7.784989441615231E-2</c:v>
                </c:pt>
                <c:pt idx="17">
                  <c:v>7.784989441615231E-2</c:v>
                </c:pt>
                <c:pt idx="18">
                  <c:v>7.1611487403943283E-2</c:v>
                </c:pt>
              </c:numCache>
            </c:numRef>
          </c:xVal>
          <c:yVal>
            <c:numRef>
              <c:f>'DR12'!$J$11:$J$29</c:f>
              <c:numCache>
                <c:formatCode>0.0</c:formatCode>
                <c:ptCount val="19"/>
                <c:pt idx="0">
                  <c:v>0.25400000000000134</c:v>
                </c:pt>
                <c:pt idx="1">
                  <c:v>0.50800000000000045</c:v>
                </c:pt>
                <c:pt idx="2">
                  <c:v>1.0159999999999987</c:v>
                </c:pt>
                <c:pt idx="3">
                  <c:v>2.5400000000000023</c:v>
                </c:pt>
                <c:pt idx="4">
                  <c:v>5.0800000000000018</c:v>
                </c:pt>
                <c:pt idx="5">
                  <c:v>9.1440000000000019</c:v>
                </c:pt>
                <c:pt idx="6">
                  <c:v>#N/A</c:v>
                </c:pt>
                <c:pt idx="7">
                  <c:v>#N/A</c:v>
                </c:pt>
                <c:pt idx="8">
                  <c:v>14.732000000000005</c:v>
                </c:pt>
                <c:pt idx="9">
                  <c:v>#N/A</c:v>
                </c:pt>
                <c:pt idx="10">
                  <c:v>#N/A</c:v>
                </c:pt>
                <c:pt idx="11">
                  <c:v>19.304000000000002</c:v>
                </c:pt>
                <c:pt idx="12">
                  <c:v>#N/A</c:v>
                </c:pt>
                <c:pt idx="13">
                  <c:v>#N/A</c:v>
                </c:pt>
                <c:pt idx="14">
                  <c:v>24.384</c:v>
                </c:pt>
                <c:pt idx="15">
                  <c:v>28.448</c:v>
                </c:pt>
                <c:pt idx="16">
                  <c:v>#N/A</c:v>
                </c:pt>
                <c:pt idx="17">
                  <c:v>#N/A</c:v>
                </c:pt>
                <c:pt idx="18">
                  <c:v>32.512</c:v>
                </c:pt>
              </c:numCache>
            </c:numRef>
          </c:yVal>
          <c:smooth val="0"/>
          <c:extLst>
            <c:ext xmlns:c16="http://schemas.microsoft.com/office/drawing/2014/chart" uri="{C3380CC4-5D6E-409C-BE32-E72D297353CC}">
              <c16:uniqueId val="{00000002-89CA-440F-9F26-3EF5F065A8F1}"/>
            </c:ext>
          </c:extLst>
        </c:ser>
        <c:dLbls>
          <c:showLegendKey val="0"/>
          <c:showVal val="0"/>
          <c:showCatName val="0"/>
          <c:showSerName val="0"/>
          <c:showPercent val="0"/>
          <c:showBubbleSize val="0"/>
        </c:dLbls>
        <c:axId val="1331951247"/>
        <c:axId val="1331952079"/>
      </c:scatterChart>
      <c:valAx>
        <c:axId val="1331951247"/>
        <c:scaling>
          <c:logBase val="10"/>
          <c:orientation val="maxMin"/>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1/sqrt(Elapsed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000000000000002E-2"/>
        <c:crossBetween val="midCat"/>
      </c:valAx>
      <c:valAx>
        <c:axId val="1331952079"/>
        <c:scaling>
          <c:logBase val="10"/>
          <c:orientation val="minMax"/>
        </c:scaling>
        <c:delete val="0"/>
        <c:axPos val="r"/>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DR-13</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'DR13'!$J$9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'DR13'!$E$10:$E$21</c:f>
              <c:numCache>
                <c:formatCode>0.0</c:formatCode>
                <c:ptCount val="12"/>
                <c:pt idx="0">
                  <c:v>1.0000000000000764</c:v>
                </c:pt>
                <c:pt idx="1">
                  <c:v>1.9999999999999929</c:v>
                </c:pt>
                <c:pt idx="2">
                  <c:v>3.0000000000000693</c:v>
                </c:pt>
                <c:pt idx="3">
                  <c:v>3.9999999999999858</c:v>
                </c:pt>
                <c:pt idx="4">
                  <c:v>9.000000000000048</c:v>
                </c:pt>
                <c:pt idx="5">
                  <c:v>19.000000000000014</c:v>
                </c:pt>
                <c:pt idx="6">
                  <c:v>39.000000000000021</c:v>
                </c:pt>
                <c:pt idx="7">
                  <c:v>69</c:v>
                </c:pt>
                <c:pt idx="8">
                  <c:v>98.999999999999972</c:v>
                </c:pt>
                <c:pt idx="9">
                  <c:v>129.00000000000003</c:v>
                </c:pt>
                <c:pt idx="10">
                  <c:v>159.00000000000009</c:v>
                </c:pt>
                <c:pt idx="11">
                  <c:v>188.99999999999997</c:v>
                </c:pt>
              </c:numCache>
            </c:numRef>
          </c:xVal>
          <c:yVal>
            <c:numRef>
              <c:f>'DR13'!$J$10:$J$21</c:f>
              <c:numCache>
                <c:formatCode>0.0</c:formatCode>
                <c:ptCount val="12"/>
                <c:pt idx="0">
                  <c:v>0.50799999999999823</c:v>
                </c:pt>
                <c:pt idx="1">
                  <c:v>1.0160000000000009</c:v>
                </c:pt>
                <c:pt idx="2">
                  <c:v>1.27</c:v>
                </c:pt>
                <c:pt idx="3">
                  <c:v>1.27</c:v>
                </c:pt>
                <c:pt idx="4">
                  <c:v>1.27</c:v>
                </c:pt>
                <c:pt idx="5">
                  <c:v>1.27</c:v>
                </c:pt>
                <c:pt idx="6">
                  <c:v>1.5239999999999991</c:v>
                </c:pt>
                <c:pt idx="7">
                  <c:v>1.5239999999999991</c:v>
                </c:pt>
                <c:pt idx="8">
                  <c:v>1.5239999999999991</c:v>
                </c:pt>
                <c:pt idx="9">
                  <c:v>1.5239999999999991</c:v>
                </c:pt>
                <c:pt idx="10">
                  <c:v>1.5239999999999991</c:v>
                </c:pt>
                <c:pt idx="11">
                  <c:v>1.7779999999999982</c:v>
                </c:pt>
              </c:numCache>
            </c:numRef>
          </c:yVal>
          <c:smooth val="0"/>
          <c:extLst>
            <c:ext xmlns:c16="http://schemas.microsoft.com/office/drawing/2014/chart" uri="{C3380CC4-5D6E-409C-BE32-E72D297353CC}">
              <c16:uniqueId val="{00000001-A254-42BF-A7BA-D7484305D6B9}"/>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DR-14</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'DR14'!$J$9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'DR14'!$E$10:$E$21</c:f>
              <c:numCache>
                <c:formatCode>0.0</c:formatCode>
                <c:ptCount val="12"/>
                <c:pt idx="0">
                  <c:v>1.0000000000000764</c:v>
                </c:pt>
                <c:pt idx="1">
                  <c:v>1.9999999999999929</c:v>
                </c:pt>
                <c:pt idx="2">
                  <c:v>3.0000000000000693</c:v>
                </c:pt>
                <c:pt idx="3">
                  <c:v>3.9999999999999858</c:v>
                </c:pt>
                <c:pt idx="4">
                  <c:v>9.000000000000048</c:v>
                </c:pt>
                <c:pt idx="5">
                  <c:v>19.000000000000014</c:v>
                </c:pt>
                <c:pt idx="6">
                  <c:v>39.000000000000021</c:v>
                </c:pt>
                <c:pt idx="7">
                  <c:v>69</c:v>
                </c:pt>
                <c:pt idx="8">
                  <c:v>99.000000000000043</c:v>
                </c:pt>
                <c:pt idx="9">
                  <c:v>129.00000000000011</c:v>
                </c:pt>
                <c:pt idx="10">
                  <c:v>159</c:v>
                </c:pt>
                <c:pt idx="11">
                  <c:v>189.00000000000006</c:v>
                </c:pt>
              </c:numCache>
            </c:numRef>
          </c:xVal>
          <c:yVal>
            <c:numRef>
              <c:f>'DR14'!$J$10:$J$21</c:f>
              <c:numCache>
                <c:formatCode>0.0</c:formatCode>
                <c:ptCount val="12"/>
                <c:pt idx="0">
                  <c:v>0.25399999999999912</c:v>
                </c:pt>
                <c:pt idx="1">
                  <c:v>0.25399999999999912</c:v>
                </c:pt>
                <c:pt idx="2">
                  <c:v>0.25399999999999912</c:v>
                </c:pt>
                <c:pt idx="3">
                  <c:v>0.25399999999999912</c:v>
                </c:pt>
                <c:pt idx="4">
                  <c:v>0.25399999999999912</c:v>
                </c:pt>
                <c:pt idx="5">
                  <c:v>0.25399999999999912</c:v>
                </c:pt>
                <c:pt idx="6">
                  <c:v>0.25399999999999912</c:v>
                </c:pt>
                <c:pt idx="7">
                  <c:v>0.25399999999999912</c:v>
                </c:pt>
                <c:pt idx="8">
                  <c:v>0.25399999999999912</c:v>
                </c:pt>
                <c:pt idx="9">
                  <c:v>0.38100000000000089</c:v>
                </c:pt>
                <c:pt idx="10">
                  <c:v>0.38100000000000089</c:v>
                </c:pt>
                <c:pt idx="11">
                  <c:v>0.50799999999999823</c:v>
                </c:pt>
              </c:numCache>
            </c:numRef>
          </c:yVal>
          <c:smooth val="0"/>
          <c:extLst>
            <c:ext xmlns:c16="http://schemas.microsoft.com/office/drawing/2014/chart" uri="{C3380CC4-5D6E-409C-BE32-E72D297353CC}">
              <c16:uniqueId val="{00000001-49FC-4868-8127-FF44BCEDEEB1}"/>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DR-15</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'DR15'!$J$9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'DR15'!$E$10:$E$21</c:f>
              <c:numCache>
                <c:formatCode>0.0</c:formatCode>
                <c:ptCount val="12"/>
                <c:pt idx="0">
                  <c:v>1.0000000000000764</c:v>
                </c:pt>
                <c:pt idx="1">
                  <c:v>1.9999999999999929</c:v>
                </c:pt>
                <c:pt idx="2">
                  <c:v>3.0000000000000693</c:v>
                </c:pt>
                <c:pt idx="3">
                  <c:v>4.0000000000001457</c:v>
                </c:pt>
                <c:pt idx="4">
                  <c:v>9.000000000000048</c:v>
                </c:pt>
                <c:pt idx="5">
                  <c:v>19.000000000000092</c:v>
                </c:pt>
                <c:pt idx="6">
                  <c:v>39.000000000000021</c:v>
                </c:pt>
                <c:pt idx="7">
                  <c:v>69.000000000000071</c:v>
                </c:pt>
                <c:pt idx="8">
                  <c:v>99.000000000000043</c:v>
                </c:pt>
                <c:pt idx="9">
                  <c:v>129.00000000000011</c:v>
                </c:pt>
                <c:pt idx="10">
                  <c:v>159</c:v>
                </c:pt>
                <c:pt idx="11">
                  <c:v>189.00000000000006</c:v>
                </c:pt>
              </c:numCache>
            </c:numRef>
          </c:xVal>
          <c:yVal>
            <c:numRef>
              <c:f>'DR15'!$J$10:$J$21</c:f>
              <c:numCache>
                <c:formatCode>0.0</c:formatCode>
                <c:ptCount val="12"/>
                <c:pt idx="0">
                  <c:v>0.50800000000000267</c:v>
                </c:pt>
                <c:pt idx="1">
                  <c:v>0.50800000000000267</c:v>
                </c:pt>
                <c:pt idx="2">
                  <c:v>0.63500000000000001</c:v>
                </c:pt>
                <c:pt idx="3">
                  <c:v>0.63500000000000001</c:v>
                </c:pt>
                <c:pt idx="4">
                  <c:v>0.63500000000000001</c:v>
                </c:pt>
                <c:pt idx="5">
                  <c:v>0.63500000000000001</c:v>
                </c:pt>
                <c:pt idx="6">
                  <c:v>1.0160000000000009</c:v>
                </c:pt>
                <c:pt idx="7">
                  <c:v>1.27</c:v>
                </c:pt>
                <c:pt idx="8">
                  <c:v>1.7780000000000027</c:v>
                </c:pt>
                <c:pt idx="9">
                  <c:v>2.0320000000000018</c:v>
                </c:pt>
                <c:pt idx="10">
                  <c:v>2.2860000000000009</c:v>
                </c:pt>
                <c:pt idx="11">
                  <c:v>2.2860000000000009</c:v>
                </c:pt>
              </c:numCache>
            </c:numRef>
          </c:yVal>
          <c:smooth val="0"/>
          <c:extLst>
            <c:ext xmlns:c16="http://schemas.microsoft.com/office/drawing/2014/chart" uri="{C3380CC4-5D6E-409C-BE32-E72D297353CC}">
              <c16:uniqueId val="{00000001-8BD9-4536-8170-A67508A0E303}"/>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DR-2</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'DR2'!$J$9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9.4826779874977854E-2"/>
                  <c:y val="0.12209633625857881"/>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'DR2'!$E$11:$E$28</c:f>
              <c:numCache>
                <c:formatCode>0.0</c:formatCode>
                <c:ptCount val="18"/>
                <c:pt idx="0">
                  <c:v>1.9999999999999929</c:v>
                </c:pt>
                <c:pt idx="1">
                  <c:v>2.9999999999999094</c:v>
                </c:pt>
                <c:pt idx="2">
                  <c:v>3.9999999999999858</c:v>
                </c:pt>
                <c:pt idx="3">
                  <c:v>5.9999999999999787</c:v>
                </c:pt>
                <c:pt idx="4">
                  <c:v>11.000000000000041</c:v>
                </c:pt>
                <c:pt idx="5">
                  <c:v>17.999999999999936</c:v>
                </c:pt>
                <c:pt idx="6">
                  <c:v>23</c:v>
                </c:pt>
                <c:pt idx="7">
                  <c:v>28.999999999999979</c:v>
                </c:pt>
                <c:pt idx="8">
                  <c:v>57.999999999999957</c:v>
                </c:pt>
                <c:pt idx="9">
                  <c:v>67.999999999999915</c:v>
                </c:pt>
                <c:pt idx="10">
                  <c:v>77.999999999999886</c:v>
                </c:pt>
                <c:pt idx="11">
                  <c:v>90</c:v>
                </c:pt>
                <c:pt idx="12">
                  <c:v>99.999999999999972</c:v>
                </c:pt>
                <c:pt idx="13">
                  <c:v>155.99999999999991</c:v>
                </c:pt>
                <c:pt idx="14">
                  <c:v>171.99999999999986</c:v>
                </c:pt>
                <c:pt idx="15">
                  <c:v>187.99999999999997</c:v>
                </c:pt>
                <c:pt idx="16">
                  <c:v>202.99999999999991</c:v>
                </c:pt>
                <c:pt idx="17">
                  <c:v>214.99999999999989</c:v>
                </c:pt>
              </c:numCache>
            </c:numRef>
          </c:xVal>
          <c:yVal>
            <c:numRef>
              <c:f>'DR2'!$J$11:$J$28</c:f>
              <c:numCache>
                <c:formatCode>0.0</c:formatCode>
                <c:ptCount val="18"/>
                <c:pt idx="0">
                  <c:v>3.1749999999999998</c:v>
                </c:pt>
                <c:pt idx="1">
                  <c:v>3.1749999999999998</c:v>
                </c:pt>
                <c:pt idx="2">
                  <c:v>4.1274999999999995</c:v>
                </c:pt>
                <c:pt idx="3">
                  <c:v>#N/A</c:v>
                </c:pt>
                <c:pt idx="4">
                  <c:v>9.3662500000000009</c:v>
                </c:pt>
                <c:pt idx="5">
                  <c:v>11.90625</c:v>
                </c:pt>
                <c:pt idx="6">
                  <c:v>12.065</c:v>
                </c:pt>
                <c:pt idx="7">
                  <c:v>#N/A</c:v>
                </c:pt>
                <c:pt idx="8">
                  <c:v>#N/A</c:v>
                </c:pt>
                <c:pt idx="9">
                  <c:v>17.303750000000001</c:v>
                </c:pt>
                <c:pt idx="10">
                  <c:v>20.558125</c:v>
                </c:pt>
                <c:pt idx="11">
                  <c:v>23.971250000000001</c:v>
                </c:pt>
                <c:pt idx="12">
                  <c:v>25.241250000000001</c:v>
                </c:pt>
                <c:pt idx="13">
                  <c:v>#N/A</c:v>
                </c:pt>
                <c:pt idx="14">
                  <c:v>31.194375000000001</c:v>
                </c:pt>
                <c:pt idx="15">
                  <c:v>35.401250000000005</c:v>
                </c:pt>
                <c:pt idx="16">
                  <c:v>39.449375000000003</c:v>
                </c:pt>
                <c:pt idx="17">
                  <c:v>41.354375000000005</c:v>
                </c:pt>
              </c:numCache>
            </c:numRef>
          </c:yVal>
          <c:smooth val="0"/>
          <c:extLst>
            <c:ext xmlns:c16="http://schemas.microsoft.com/office/drawing/2014/chart" uri="{C3380CC4-5D6E-409C-BE32-E72D297353CC}">
              <c16:uniqueId val="{00000000-D4A2-440E-869C-9760C6C8F932}"/>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DR-16</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'DR16'!$J$9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'DR16'!$E$10:$E$21</c:f>
              <c:numCache>
                <c:formatCode>0.0</c:formatCode>
                <c:ptCount val="12"/>
                <c:pt idx="0">
                  <c:v>0.99999999999999645</c:v>
                </c:pt>
                <c:pt idx="1">
                  <c:v>1.9999999999999929</c:v>
                </c:pt>
                <c:pt idx="2">
                  <c:v>2.9999999999999893</c:v>
                </c:pt>
                <c:pt idx="3">
                  <c:v>3.9999999999999858</c:v>
                </c:pt>
                <c:pt idx="4">
                  <c:v>8.999999999999968</c:v>
                </c:pt>
                <c:pt idx="5">
                  <c:v>18.999999999999932</c:v>
                </c:pt>
                <c:pt idx="6">
                  <c:v>39.000000000000021</c:v>
                </c:pt>
                <c:pt idx="7">
                  <c:v>69</c:v>
                </c:pt>
                <c:pt idx="8">
                  <c:v>98.999999999999972</c:v>
                </c:pt>
                <c:pt idx="9">
                  <c:v>128.99999999999994</c:v>
                </c:pt>
                <c:pt idx="10">
                  <c:v>159</c:v>
                </c:pt>
                <c:pt idx="11">
                  <c:v>189.00000000000006</c:v>
                </c:pt>
              </c:numCache>
            </c:numRef>
          </c:xVal>
          <c:yVal>
            <c:numRef>
              <c:f>'DR16'!$J$10:$J$21</c:f>
              <c:numCache>
                <c:formatCode>0.0</c:formatCode>
                <c:ptCount val="12"/>
                <c:pt idx="0">
                  <c:v>0.25399999999999912</c:v>
                </c:pt>
                <c:pt idx="1">
                  <c:v>0.25399999999999912</c:v>
                </c:pt>
                <c:pt idx="2">
                  <c:v>0.25399999999999912</c:v>
                </c:pt>
                <c:pt idx="3">
                  <c:v>0.25399999999999912</c:v>
                </c:pt>
                <c:pt idx="4">
                  <c:v>0.25399999999999912</c:v>
                </c:pt>
                <c:pt idx="5">
                  <c:v>0.25399999999999912</c:v>
                </c:pt>
                <c:pt idx="6">
                  <c:v>0.38100000000000089</c:v>
                </c:pt>
                <c:pt idx="7">
                  <c:v>0.50800000000000267</c:v>
                </c:pt>
                <c:pt idx="8">
                  <c:v>0.50800000000000267</c:v>
                </c:pt>
                <c:pt idx="9">
                  <c:v>0.63500000000000001</c:v>
                </c:pt>
                <c:pt idx="10">
                  <c:v>0.63500000000000001</c:v>
                </c:pt>
                <c:pt idx="11">
                  <c:v>0.76200000000000179</c:v>
                </c:pt>
              </c:numCache>
            </c:numRef>
          </c:yVal>
          <c:smooth val="0"/>
          <c:extLst>
            <c:ext xmlns:c16="http://schemas.microsoft.com/office/drawing/2014/chart" uri="{C3380CC4-5D6E-409C-BE32-E72D297353CC}">
              <c16:uniqueId val="{00000001-ED1F-4AC5-A26B-6A84D455C955}"/>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DR-17</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'DR17'!$J$9</c:f>
              <c:strCache>
                <c:ptCount val="1"/>
                <c:pt idx="0">
                  <c:v>0.0</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'DR17'!$E$10:$E$21</c:f>
              <c:numCache>
                <c:formatCode>0.0</c:formatCode>
                <c:ptCount val="12"/>
                <c:pt idx="0">
                  <c:v>1.0000000000000764</c:v>
                </c:pt>
                <c:pt idx="1">
                  <c:v>1.9999999999999929</c:v>
                </c:pt>
                <c:pt idx="2">
                  <c:v>3.0000000000000693</c:v>
                </c:pt>
                <c:pt idx="3">
                  <c:v>3.9999999999999858</c:v>
                </c:pt>
                <c:pt idx="4">
                  <c:v>9.000000000000048</c:v>
                </c:pt>
                <c:pt idx="5">
                  <c:v>19.000000000000014</c:v>
                </c:pt>
                <c:pt idx="6">
                  <c:v>39.000000000000021</c:v>
                </c:pt>
                <c:pt idx="7">
                  <c:v>69</c:v>
                </c:pt>
                <c:pt idx="8">
                  <c:v>99.000000000000043</c:v>
                </c:pt>
                <c:pt idx="9">
                  <c:v>129.00000000000003</c:v>
                </c:pt>
                <c:pt idx="10">
                  <c:v>159.00000000000009</c:v>
                </c:pt>
                <c:pt idx="11">
                  <c:v>188.99999999999997</c:v>
                </c:pt>
              </c:numCache>
            </c:numRef>
          </c:xVal>
          <c:yVal>
            <c:numRef>
              <c:f>'DR17'!$J$10:$J$21</c:f>
              <c:numCache>
                <c:formatCode>0.0</c:formatCode>
                <c:ptCount val="12"/>
                <c:pt idx="0">
                  <c:v>0.50799999999999823</c:v>
                </c:pt>
                <c:pt idx="1">
                  <c:v>0.50799999999999823</c:v>
                </c:pt>
                <c:pt idx="2">
                  <c:v>0.50799999999999823</c:v>
                </c:pt>
                <c:pt idx="3">
                  <c:v>0.50799999999999823</c:v>
                </c:pt>
                <c:pt idx="4">
                  <c:v>0.50799999999999823</c:v>
                </c:pt>
                <c:pt idx="5">
                  <c:v>0.50799999999999823</c:v>
                </c:pt>
                <c:pt idx="6">
                  <c:v>0.50799999999999823</c:v>
                </c:pt>
                <c:pt idx="7">
                  <c:v>0.63500000000000001</c:v>
                </c:pt>
                <c:pt idx="8">
                  <c:v>0.63500000000000001</c:v>
                </c:pt>
                <c:pt idx="9">
                  <c:v>0.76199999999999735</c:v>
                </c:pt>
                <c:pt idx="10">
                  <c:v>0.76199999999999735</c:v>
                </c:pt>
                <c:pt idx="11">
                  <c:v>0.88899999999999912</c:v>
                </c:pt>
              </c:numCache>
            </c:numRef>
          </c:yVal>
          <c:smooth val="0"/>
          <c:extLst>
            <c:ext xmlns:c16="http://schemas.microsoft.com/office/drawing/2014/chart" uri="{C3380CC4-5D6E-409C-BE32-E72D297353CC}">
              <c16:uniqueId val="{00000001-DA51-43A3-8A60-A3E1AE399BA0}"/>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DR-18</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'DR18'!$J$9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5.0258794976964595E-2"/>
                  <c:y val="0.17767366766863127"/>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'DR18'!$E$10:$E$28</c:f>
              <c:numCache>
                <c:formatCode>0.0</c:formatCode>
                <c:ptCount val="19"/>
                <c:pt idx="0">
                  <c:v>0.99999999999991651</c:v>
                </c:pt>
                <c:pt idx="1">
                  <c:v>1.9999999999999929</c:v>
                </c:pt>
                <c:pt idx="2">
                  <c:v>2.9999999999999094</c:v>
                </c:pt>
                <c:pt idx="3">
                  <c:v>3.9999999999999858</c:v>
                </c:pt>
                <c:pt idx="4">
                  <c:v>8.9999999999998881</c:v>
                </c:pt>
                <c:pt idx="5">
                  <c:v>8.9999999999998881</c:v>
                </c:pt>
                <c:pt idx="6">
                  <c:v>18.999999999999932</c:v>
                </c:pt>
                <c:pt idx="7">
                  <c:v>18.999999999999932</c:v>
                </c:pt>
                <c:pt idx="8">
                  <c:v>38.999999999999858</c:v>
                </c:pt>
                <c:pt idx="9">
                  <c:v>38.999999999999858</c:v>
                </c:pt>
                <c:pt idx="10">
                  <c:v>62.999999999999936</c:v>
                </c:pt>
                <c:pt idx="11">
                  <c:v>62.999999999999936</c:v>
                </c:pt>
                <c:pt idx="12">
                  <c:v>68.999999999999915</c:v>
                </c:pt>
                <c:pt idx="13">
                  <c:v>98.999999999999886</c:v>
                </c:pt>
                <c:pt idx="14">
                  <c:v>98.999999999999886</c:v>
                </c:pt>
                <c:pt idx="15">
                  <c:v>128.99999999999994</c:v>
                </c:pt>
                <c:pt idx="16">
                  <c:v>128.99999999999994</c:v>
                </c:pt>
                <c:pt idx="17">
                  <c:v>158.99999999999983</c:v>
                </c:pt>
                <c:pt idx="18">
                  <c:v>188.99999999999989</c:v>
                </c:pt>
              </c:numCache>
            </c:numRef>
          </c:xVal>
          <c:yVal>
            <c:numRef>
              <c:f>'DR18'!$J$10:$J$28</c:f>
              <c:numCache>
                <c:formatCode>0.00</c:formatCode>
                <c:ptCount val="19"/>
                <c:pt idx="0">
                  <c:v>0.50800000000000045</c:v>
                </c:pt>
                <c:pt idx="1">
                  <c:v>0.50800000000000045</c:v>
                </c:pt>
                <c:pt idx="2">
                  <c:v>1.0160000000000009</c:v>
                </c:pt>
                <c:pt idx="3">
                  <c:v>1.3969999999999996</c:v>
                </c:pt>
                <c:pt idx="4">
                  <c:v>2.54</c:v>
                </c:pt>
                <c:pt idx="6">
                  <c:v>5.206999999999999</c:v>
                </c:pt>
                <c:pt idx="8">
                  <c:v>8.0772000000000013</c:v>
                </c:pt>
                <c:pt idx="12">
                  <c:v>12.192</c:v>
                </c:pt>
                <c:pt idx="13">
                  <c:v>14.478000000000002</c:v>
                </c:pt>
                <c:pt idx="15">
                  <c:v>16.764000000000003</c:v>
                </c:pt>
                <c:pt idx="17">
                  <c:v>21.844000000000005</c:v>
                </c:pt>
                <c:pt idx="18">
                  <c:v>26.162000000000003</c:v>
                </c:pt>
              </c:numCache>
            </c:numRef>
          </c:yVal>
          <c:smooth val="0"/>
          <c:extLst>
            <c:ext xmlns:c16="http://schemas.microsoft.com/office/drawing/2014/chart" uri="{C3380CC4-5D6E-409C-BE32-E72D297353CC}">
              <c16:uniqueId val="{00000001-29AC-47EF-87D6-E5E686BDE744}"/>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DR-19</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'DR19'!$J$9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5.0258794976964595E-2"/>
                  <c:y val="0.17767366766863127"/>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'DR19'!$E$10:$E$24</c:f>
              <c:numCache>
                <c:formatCode>0.0</c:formatCode>
                <c:ptCount val="15"/>
                <c:pt idx="0">
                  <c:v>0.99999999999999645</c:v>
                </c:pt>
                <c:pt idx="1">
                  <c:v>2.0000000000000728</c:v>
                </c:pt>
                <c:pt idx="2">
                  <c:v>2.9999999999999893</c:v>
                </c:pt>
                <c:pt idx="3">
                  <c:v>4.0000000000000657</c:v>
                </c:pt>
                <c:pt idx="4">
                  <c:v>8.999999999999968</c:v>
                </c:pt>
                <c:pt idx="5">
                  <c:v>19.000000000000092</c:v>
                </c:pt>
                <c:pt idx="6">
                  <c:v>19.000000000000092</c:v>
                </c:pt>
                <c:pt idx="7">
                  <c:v>39.000000000000021</c:v>
                </c:pt>
                <c:pt idx="8">
                  <c:v>39.000000000000021</c:v>
                </c:pt>
                <c:pt idx="9">
                  <c:v>69</c:v>
                </c:pt>
                <c:pt idx="10">
                  <c:v>69</c:v>
                </c:pt>
                <c:pt idx="11">
                  <c:v>99.000000000000043</c:v>
                </c:pt>
                <c:pt idx="12">
                  <c:v>128.99999999999994</c:v>
                </c:pt>
                <c:pt idx="13">
                  <c:v>159</c:v>
                </c:pt>
                <c:pt idx="14">
                  <c:v>189.00000000000006</c:v>
                </c:pt>
              </c:numCache>
            </c:numRef>
          </c:xVal>
          <c:yVal>
            <c:numRef>
              <c:f>'DR19'!$J$10:$J$24</c:f>
              <c:numCache>
                <c:formatCode>0.00</c:formatCode>
                <c:ptCount val="15"/>
                <c:pt idx="0">
                  <c:v>0.38100000000000089</c:v>
                </c:pt>
                <c:pt idx="1">
                  <c:v>0.50799999999999823</c:v>
                </c:pt>
                <c:pt idx="2">
                  <c:v>0.63500000000000001</c:v>
                </c:pt>
                <c:pt idx="3">
                  <c:v>0.81280000000000074</c:v>
                </c:pt>
                <c:pt idx="4">
                  <c:v>1.3207999999999989</c:v>
                </c:pt>
                <c:pt idx="5">
                  <c:v>2.0319999999999974</c:v>
                </c:pt>
                <c:pt idx="7">
                  <c:v>3.2257999999999991</c:v>
                </c:pt>
                <c:pt idx="9">
                  <c:v>4.5719999999999974</c:v>
                </c:pt>
                <c:pt idx="11">
                  <c:v>5.9689999999999994</c:v>
                </c:pt>
                <c:pt idx="12">
                  <c:v>7.365999999999997</c:v>
                </c:pt>
                <c:pt idx="13">
                  <c:v>8.3311999999999991</c:v>
                </c:pt>
                <c:pt idx="14">
                  <c:v>9.2201999999999984</c:v>
                </c:pt>
              </c:numCache>
            </c:numRef>
          </c:yVal>
          <c:smooth val="0"/>
          <c:extLst>
            <c:ext xmlns:c16="http://schemas.microsoft.com/office/drawing/2014/chart" uri="{C3380CC4-5D6E-409C-BE32-E72D297353CC}">
              <c16:uniqueId val="{00000001-CBC4-42E9-A38B-630F6856872F}"/>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DR-3</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'DR3'!$J$9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5.1580121077526707E-2"/>
                  <c:y val="0.12095618592422751"/>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'DR3'!$E$10:$E$20</c:f>
              <c:numCache>
                <c:formatCode>0.0</c:formatCode>
                <c:ptCount val="11"/>
                <c:pt idx="0">
                  <c:v>1.9999999999999929</c:v>
                </c:pt>
                <c:pt idx="1">
                  <c:v>2.9999999999999893</c:v>
                </c:pt>
                <c:pt idx="2">
                  <c:v>3.9999999999999858</c:v>
                </c:pt>
                <c:pt idx="3">
                  <c:v>4.9999999999999822</c:v>
                </c:pt>
                <c:pt idx="4">
                  <c:v>9.9999999999999645</c:v>
                </c:pt>
                <c:pt idx="5">
                  <c:v>15.000000000000107</c:v>
                </c:pt>
                <c:pt idx="6">
                  <c:v>25.000000000000071</c:v>
                </c:pt>
                <c:pt idx="7">
                  <c:v>45</c:v>
                </c:pt>
                <c:pt idx="8">
                  <c:v>91</c:v>
                </c:pt>
                <c:pt idx="9">
                  <c:v>121.00000000000006</c:v>
                </c:pt>
                <c:pt idx="10">
                  <c:v>150.99999999999994</c:v>
                </c:pt>
              </c:numCache>
            </c:numRef>
          </c:xVal>
          <c:yVal>
            <c:numRef>
              <c:f>'DR3'!$J$10:$J$20</c:f>
              <c:numCache>
                <c:formatCode>0.00</c:formatCode>
                <c:ptCount val="11"/>
                <c:pt idx="0">
                  <c:v>0.15875</c:v>
                </c:pt>
                <c:pt idx="1">
                  <c:v>#N/A</c:v>
                </c:pt>
                <c:pt idx="2">
                  <c:v>0.15875</c:v>
                </c:pt>
                <c:pt idx="3">
                  <c:v>0.15875</c:v>
                </c:pt>
                <c:pt idx="4">
                  <c:v>0.47625000000000001</c:v>
                </c:pt>
                <c:pt idx="5">
                  <c:v>0.47625000000000001</c:v>
                </c:pt>
                <c:pt idx="6">
                  <c:v>#N/A</c:v>
                </c:pt>
                <c:pt idx="7">
                  <c:v>0.71437499999999998</c:v>
                </c:pt>
                <c:pt idx="8">
                  <c:v>#N/A</c:v>
                </c:pt>
                <c:pt idx="9">
                  <c:v>1.349375</c:v>
                </c:pt>
                <c:pt idx="10">
                  <c:v>1.42875</c:v>
                </c:pt>
              </c:numCache>
            </c:numRef>
          </c:yVal>
          <c:smooth val="0"/>
          <c:extLst>
            <c:ext xmlns:c16="http://schemas.microsoft.com/office/drawing/2014/chart" uri="{C3380CC4-5D6E-409C-BE32-E72D297353CC}">
              <c16:uniqueId val="{00000000-8C04-4012-BA55-9C02D6C4ED95}"/>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
        <c:crossBetween val="midCat"/>
      </c:valAx>
      <c:valAx>
        <c:axId val="1331952079"/>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a:p>
                <a:pPr>
                  <a:defRPr/>
                </a:pPr>
                <a:r>
                  <a:rPr lang="en-US"/>
                  <a:t>)</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DR-4</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'DR4'!$J$9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5.3986498236816886E-2"/>
                  <c:y val="0.1278513504933517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'DR4'!$E$10:$E$24</c:f>
              <c:numCache>
                <c:formatCode>0.0</c:formatCode>
                <c:ptCount val="15"/>
                <c:pt idx="0">
                  <c:v>0.99999999999991651</c:v>
                </c:pt>
                <c:pt idx="1">
                  <c:v>1.9999999999999929</c:v>
                </c:pt>
                <c:pt idx="2">
                  <c:v>3.0000000000000693</c:v>
                </c:pt>
                <c:pt idx="3">
                  <c:v>3.9999999999999858</c:v>
                </c:pt>
                <c:pt idx="4">
                  <c:v>9.000000000000048</c:v>
                </c:pt>
                <c:pt idx="5">
                  <c:v>20.000000000000007</c:v>
                </c:pt>
                <c:pt idx="6">
                  <c:v>23</c:v>
                </c:pt>
                <c:pt idx="7">
                  <c:v>67.000000000000085</c:v>
                </c:pt>
                <c:pt idx="8">
                  <c:v>67.999999999999915</c:v>
                </c:pt>
                <c:pt idx="9">
                  <c:v>97.999999999999972</c:v>
                </c:pt>
                <c:pt idx="10">
                  <c:v>99.999999999999972</c:v>
                </c:pt>
                <c:pt idx="11">
                  <c:v>146.99999999999994</c:v>
                </c:pt>
                <c:pt idx="12">
                  <c:v>177</c:v>
                </c:pt>
                <c:pt idx="13">
                  <c:v>206.99999999999991</c:v>
                </c:pt>
                <c:pt idx="14">
                  <c:v>236.99999999999994</c:v>
                </c:pt>
              </c:numCache>
            </c:numRef>
          </c:xVal>
          <c:yVal>
            <c:numRef>
              <c:f>'DR4'!$J$10:$J$24</c:f>
              <c:numCache>
                <c:formatCode>0.0</c:formatCode>
                <c:ptCount val="15"/>
                <c:pt idx="0">
                  <c:v>0.10160000000000009</c:v>
                </c:pt>
                <c:pt idx="1">
                  <c:v>0.20320000000000019</c:v>
                </c:pt>
                <c:pt idx="2">
                  <c:v>0.27940000000000026</c:v>
                </c:pt>
                <c:pt idx="3">
                  <c:v>0.35560000000000003</c:v>
                </c:pt>
                <c:pt idx="4">
                  <c:v>0.63500000000000001</c:v>
                </c:pt>
                <c:pt idx="5">
                  <c:v>#N/A</c:v>
                </c:pt>
                <c:pt idx="6">
                  <c:v>0.99060000000000004</c:v>
                </c:pt>
                <c:pt idx="7">
                  <c:v>1.7271999999999998</c:v>
                </c:pt>
                <c:pt idx="8">
                  <c:v>#N/A</c:v>
                </c:pt>
                <c:pt idx="9">
                  <c:v>2.3367999999999998</c:v>
                </c:pt>
                <c:pt idx="10">
                  <c:v>#N/A</c:v>
                </c:pt>
                <c:pt idx="11">
                  <c:v>3.1496</c:v>
                </c:pt>
                <c:pt idx="12">
                  <c:v>3.4544000000000001</c:v>
                </c:pt>
                <c:pt idx="13">
                  <c:v>3.7084000000000001</c:v>
                </c:pt>
                <c:pt idx="14">
                  <c:v>3.9370000000000003</c:v>
                </c:pt>
              </c:numCache>
            </c:numRef>
          </c:yVal>
          <c:smooth val="0"/>
          <c:extLst>
            <c:ext xmlns:c16="http://schemas.microsoft.com/office/drawing/2014/chart" uri="{C3380CC4-5D6E-409C-BE32-E72D297353CC}">
              <c16:uniqueId val="{00000000-A5A7-4F37-9029-380637341D72}"/>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
        <c:crossBetween val="midCat"/>
      </c:valAx>
      <c:valAx>
        <c:axId val="1331952079"/>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840" b="0" i="0" u="none" strike="noStrike" kern="1200" spc="0" baseline="0">
                <a:solidFill>
                  <a:schemeClr val="tx1">
                    <a:lumMod val="65000"/>
                    <a:lumOff val="35000"/>
                  </a:schemeClr>
                </a:solidFill>
                <a:latin typeface="+mn-lt"/>
                <a:ea typeface="+mn-ea"/>
                <a:cs typeface="+mn-cs"/>
              </a:defRPr>
            </a:pPr>
            <a:r>
              <a:rPr lang="en-US"/>
              <a:t>DR-5</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38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072919739263741"/>
          <c:y val="0.12637782752111265"/>
          <c:w val="0.80233630472223261"/>
          <c:h val="0.67576562794251593"/>
        </c:manualLayout>
      </c:layout>
      <c:scatterChart>
        <c:scatterStyle val="lineMarker"/>
        <c:varyColors val="0"/>
        <c:ser>
          <c:idx val="0"/>
          <c:order val="0"/>
          <c:tx>
            <c:strRef>
              <c:f>'DR5'!$J$9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2010218217286679"/>
                  <c:y val="0.15638388546826765"/>
                </c:manualLayout>
              </c:layout>
              <c:numFmt formatCode="General" sourceLinked="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rendlineLbl>
          </c:trendline>
          <c:xVal>
            <c:numRef>
              <c:f>'DR5'!$E$10:$E$20</c:f>
              <c:numCache>
                <c:formatCode>0.0</c:formatCode>
                <c:ptCount val="11"/>
                <c:pt idx="0">
                  <c:v>1.0000000000000764</c:v>
                </c:pt>
                <c:pt idx="1">
                  <c:v>1.9999999999999929</c:v>
                </c:pt>
                <c:pt idx="2">
                  <c:v>3.0000000000000693</c:v>
                </c:pt>
                <c:pt idx="3">
                  <c:v>3.9999999999999858</c:v>
                </c:pt>
                <c:pt idx="4">
                  <c:v>9.000000000000048</c:v>
                </c:pt>
                <c:pt idx="5">
                  <c:v>19.000000000000014</c:v>
                </c:pt>
                <c:pt idx="6">
                  <c:v>39.000000000000021</c:v>
                </c:pt>
                <c:pt idx="7">
                  <c:v>40.000000000000099</c:v>
                </c:pt>
                <c:pt idx="8">
                  <c:v>79.000000000000043</c:v>
                </c:pt>
                <c:pt idx="9">
                  <c:v>109.00000000000001</c:v>
                </c:pt>
                <c:pt idx="10">
                  <c:v>119.00000000000006</c:v>
                </c:pt>
              </c:numCache>
            </c:numRef>
          </c:xVal>
          <c:yVal>
            <c:numRef>
              <c:f>'DR5'!$J$10:$J$20</c:f>
              <c:numCache>
                <c:formatCode>0.0</c:formatCode>
                <c:ptCount val="11"/>
                <c:pt idx="0">
                  <c:v>0.12699999999999984</c:v>
                </c:pt>
                <c:pt idx="1">
                  <c:v>0.15239999999999987</c:v>
                </c:pt>
                <c:pt idx="2">
                  <c:v>0.24129999999999996</c:v>
                </c:pt>
                <c:pt idx="3">
                  <c:v>0.30480000000000002</c:v>
                </c:pt>
                <c:pt idx="4">
                  <c:v>0.54609999999999992</c:v>
                </c:pt>
                <c:pt idx="5">
                  <c:v>0.86360000000000015</c:v>
                </c:pt>
                <c:pt idx="6">
                  <c:v>1.4224000000000001</c:v>
                </c:pt>
                <c:pt idx="7">
                  <c:v>#N/A</c:v>
                </c:pt>
                <c:pt idx="8">
                  <c:v>2.4638</c:v>
                </c:pt>
                <c:pt idx="9">
                  <c:v>2.8956000000000004</c:v>
                </c:pt>
                <c:pt idx="10">
                  <c:v>3.048</c:v>
                </c:pt>
              </c:numCache>
            </c:numRef>
          </c:yVal>
          <c:smooth val="0"/>
          <c:extLst>
            <c:ext xmlns:c16="http://schemas.microsoft.com/office/drawing/2014/chart" uri="{C3380CC4-5D6E-409C-BE32-E72D297353CC}">
              <c16:uniqueId val="{00000000-8009-42AE-A393-B15128CB7D24}"/>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37940975669878096"/>
              <c:y val="0.9221430550552242"/>
            </c:manualLayout>
          </c:layout>
          <c:overlay val="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crossAx val="1331952079"/>
        <c:crossesAt val="-10"/>
        <c:crossBetween val="midCat"/>
      </c:valAx>
      <c:valAx>
        <c:axId val="1331952079"/>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5060514871485237E-2"/>
              <c:y val="0.18361388418015695"/>
            </c:manualLayout>
          </c:layout>
          <c:overlay val="0"/>
          <c:spPr>
            <a:noFill/>
            <a:ln>
              <a:noFill/>
            </a:ln>
            <a:effectLst/>
          </c:spPr>
          <c:txPr>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3200"/>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840" b="0" i="0" u="none" strike="noStrike" kern="1200" spc="0" baseline="0">
                <a:solidFill>
                  <a:schemeClr val="tx1">
                    <a:lumMod val="65000"/>
                    <a:lumOff val="35000"/>
                  </a:schemeClr>
                </a:solidFill>
                <a:latin typeface="+mn-lt"/>
                <a:ea typeface="+mn-ea"/>
                <a:cs typeface="+mn-cs"/>
              </a:defRPr>
            </a:pPr>
            <a:r>
              <a:rPr lang="en-US"/>
              <a:t>DR-5</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38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072919739263741"/>
          <c:y val="0.12960758655232785"/>
          <c:w val="0.60066776622365881"/>
          <c:h val="0.62570351761030418"/>
        </c:manualLayout>
      </c:layout>
      <c:scatterChart>
        <c:scatterStyle val="lineMarker"/>
        <c:varyColors val="0"/>
        <c:ser>
          <c:idx val="0"/>
          <c:order val="0"/>
          <c:tx>
            <c:strRef>
              <c:f>'DR5'!$J$9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38692219595656607"/>
                  <c:y val="-0.1188278930260314"/>
                </c:manualLayout>
              </c:layout>
              <c:numFmt formatCode="General" sourceLinked="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rendlineLbl>
          </c:trendline>
          <c:xVal>
            <c:numRef>
              <c:f>'DR5'!$K$10:$K$20</c:f>
              <c:numCache>
                <c:formatCode>General</c:formatCode>
                <c:ptCount val="11"/>
                <c:pt idx="0">
                  <c:v>0.99999999999996181</c:v>
                </c:pt>
                <c:pt idx="1">
                  <c:v>0.70710678118654879</c:v>
                </c:pt>
                <c:pt idx="2">
                  <c:v>0.57735026918961907</c:v>
                </c:pt>
                <c:pt idx="3">
                  <c:v>0.50000000000000089</c:v>
                </c:pt>
                <c:pt idx="4">
                  <c:v>0.33333333333333243</c:v>
                </c:pt>
                <c:pt idx="5">
                  <c:v>0.22941573387056169</c:v>
                </c:pt>
                <c:pt idx="6">
                  <c:v>0.16012815380508708</c:v>
                </c:pt>
                <c:pt idx="7">
                  <c:v>0.15811388300841878</c:v>
                </c:pt>
                <c:pt idx="8">
                  <c:v>0.11250879009260237</c:v>
                </c:pt>
                <c:pt idx="9">
                  <c:v>9.5782628522115137E-2</c:v>
                </c:pt>
                <c:pt idx="10">
                  <c:v>9.1669849702821105E-2</c:v>
                </c:pt>
              </c:numCache>
            </c:numRef>
          </c:xVal>
          <c:yVal>
            <c:numRef>
              <c:f>'DR5'!$J$10:$J$20</c:f>
              <c:numCache>
                <c:formatCode>0.0</c:formatCode>
                <c:ptCount val="11"/>
                <c:pt idx="0">
                  <c:v>0.12699999999999984</c:v>
                </c:pt>
                <c:pt idx="1">
                  <c:v>0.15239999999999987</c:v>
                </c:pt>
                <c:pt idx="2">
                  <c:v>0.24129999999999996</c:v>
                </c:pt>
                <c:pt idx="3">
                  <c:v>0.30480000000000002</c:v>
                </c:pt>
                <c:pt idx="4">
                  <c:v>0.54609999999999992</c:v>
                </c:pt>
                <c:pt idx="5">
                  <c:v>0.86360000000000015</c:v>
                </c:pt>
                <c:pt idx="6">
                  <c:v>1.4224000000000001</c:v>
                </c:pt>
                <c:pt idx="7">
                  <c:v>#N/A</c:v>
                </c:pt>
                <c:pt idx="8">
                  <c:v>2.4638</c:v>
                </c:pt>
                <c:pt idx="9">
                  <c:v>2.8956000000000004</c:v>
                </c:pt>
                <c:pt idx="10">
                  <c:v>3.048</c:v>
                </c:pt>
              </c:numCache>
            </c:numRef>
          </c:yVal>
          <c:smooth val="0"/>
          <c:extLst>
            <c:ext xmlns:c16="http://schemas.microsoft.com/office/drawing/2014/chart" uri="{C3380CC4-5D6E-409C-BE32-E72D297353CC}">
              <c16:uniqueId val="{00000001-95FC-4F89-8A47-98E10079F4D7}"/>
            </c:ext>
          </c:extLst>
        </c:ser>
        <c:dLbls>
          <c:showLegendKey val="0"/>
          <c:showVal val="0"/>
          <c:showCatName val="0"/>
          <c:showSerName val="0"/>
          <c:showPercent val="0"/>
          <c:showBubbleSize val="0"/>
        </c:dLbls>
        <c:axId val="1331951247"/>
        <c:axId val="1331952079"/>
      </c:scatterChart>
      <c:valAx>
        <c:axId val="1331951247"/>
        <c:scaling>
          <c:logBase val="10"/>
          <c:orientation val="maxMin"/>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r>
                  <a:rPr lang="en-US"/>
                  <a:t>1/sqrt(Time Elapsed [minutes])</a:t>
                </a:r>
              </a:p>
            </c:rich>
          </c:tx>
          <c:layout>
            <c:manualLayout>
              <c:xMode val="edge"/>
              <c:yMode val="edge"/>
              <c:x val="0.22933084432774922"/>
              <c:y val="0.88015547864756261"/>
            </c:manualLayout>
          </c:layout>
          <c:overlay val="0"/>
          <c:spPr>
            <a:noFill/>
            <a:ln>
              <a:noFill/>
            </a:ln>
            <a:effectLst/>
          </c:spPr>
          <c:txPr>
            <a:bodyPr rot="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crossAx val="1331952079"/>
        <c:crossesAt val="1.0000000000000003E-4"/>
        <c:crossBetween val="midCat"/>
      </c:valAx>
      <c:valAx>
        <c:axId val="1331952079"/>
        <c:scaling>
          <c:logBase val="10"/>
          <c:orientation val="minMax"/>
        </c:scaling>
        <c:delete val="0"/>
        <c:axPos val="r"/>
        <c:majorGridlines>
          <c:spPr>
            <a:ln w="9525" cap="flat" cmpd="sng" algn="ctr">
              <a:noFill/>
              <a:round/>
            </a:ln>
            <a:effectLst/>
          </c:spPr>
        </c:majorGridlines>
        <c:title>
          <c:tx>
            <c:rich>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0.92725890412666234"/>
              <c:y val="0.17230953668578658"/>
            </c:manualLayout>
          </c:layout>
          <c:overlay val="0"/>
          <c:spPr>
            <a:noFill/>
            <a:ln>
              <a:noFill/>
            </a:ln>
            <a:effectLst/>
          </c:spPr>
          <c:txPr>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n-US"/>
          </a:p>
        </c:txPr>
        <c:crossAx val="1331951247"/>
        <c:crossesAt val="1.0000000000000004E-6"/>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3200"/>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DR-6</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'DR6'!$J$9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291874299790321"/>
                  <c:y val="9.9009604791909442E-2"/>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'DR6'!$E$10:$E$18</c:f>
              <c:numCache>
                <c:formatCode>0.0</c:formatCode>
                <c:ptCount val="9"/>
                <c:pt idx="0">
                  <c:v>0.99999999999999645</c:v>
                </c:pt>
                <c:pt idx="1">
                  <c:v>1.9999999999999929</c:v>
                </c:pt>
                <c:pt idx="2">
                  <c:v>2.9999999999999893</c:v>
                </c:pt>
                <c:pt idx="3">
                  <c:v>4.0000000000001457</c:v>
                </c:pt>
                <c:pt idx="4">
                  <c:v>8.999999999999968</c:v>
                </c:pt>
                <c:pt idx="5">
                  <c:v>19.000000000000092</c:v>
                </c:pt>
                <c:pt idx="6">
                  <c:v>39.000000000000021</c:v>
                </c:pt>
                <c:pt idx="7">
                  <c:v>69.000000000000071</c:v>
                </c:pt>
                <c:pt idx="8">
                  <c:v>96.999999999999972</c:v>
                </c:pt>
              </c:numCache>
            </c:numRef>
          </c:xVal>
          <c:yVal>
            <c:numRef>
              <c:f>'DR6'!$J$10:$J$18</c:f>
              <c:numCache>
                <c:formatCode>0.00</c:formatCode>
                <c:ptCount val="9"/>
                <c:pt idx="0">
                  <c:v>2.5400000000000023E-2</c:v>
                </c:pt>
                <c:pt idx="1">
                  <c:v>2.5400000000000023E-2</c:v>
                </c:pt>
                <c:pt idx="2">
                  <c:v>2.5400000000000023E-2</c:v>
                </c:pt>
                <c:pt idx="3">
                  <c:v>2.5400000000000023E-2</c:v>
                </c:pt>
                <c:pt idx="4">
                  <c:v>2.5400000000000023E-2</c:v>
                </c:pt>
                <c:pt idx="5">
                  <c:v>5.0800000000000047E-2</c:v>
                </c:pt>
                <c:pt idx="6">
                  <c:v>0.10160000000000009</c:v>
                </c:pt>
                <c:pt idx="7">
                  <c:v>0.10160000000000009</c:v>
                </c:pt>
                <c:pt idx="8">
                  <c:v>0.15239999999999987</c:v>
                </c:pt>
              </c:numCache>
            </c:numRef>
          </c:yVal>
          <c:smooth val="0"/>
          <c:extLst>
            <c:ext xmlns:c16="http://schemas.microsoft.com/office/drawing/2014/chart" uri="{C3380CC4-5D6E-409C-BE32-E72D297353CC}">
              <c16:uniqueId val="{00000000-4AA9-4073-A818-EA339BEA67CB}"/>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
        <c:crossBetween val="midCat"/>
      </c:valAx>
      <c:valAx>
        <c:axId val="1331952079"/>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DR-6</a:t>
            </a:r>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'DR6'!$J$9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60753413496669706"/>
                  <c:y val="-0.4129426004907536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'DR6'!$K$10:$K$18</c:f>
              <c:numCache>
                <c:formatCode>General</c:formatCode>
                <c:ptCount val="9"/>
                <c:pt idx="0">
                  <c:v>1.0000000000000018</c:v>
                </c:pt>
                <c:pt idx="1">
                  <c:v>0.70710678118654879</c:v>
                </c:pt>
                <c:pt idx="2">
                  <c:v>0.57735026918962673</c:v>
                </c:pt>
                <c:pt idx="3">
                  <c:v>0.4999999999999909</c:v>
                </c:pt>
                <c:pt idx="4">
                  <c:v>0.33333333333333393</c:v>
                </c:pt>
                <c:pt idx="5">
                  <c:v>0.22941573387056122</c:v>
                </c:pt>
                <c:pt idx="6">
                  <c:v>0.16012815380508708</c:v>
                </c:pt>
                <c:pt idx="7">
                  <c:v>0.12038585308576914</c:v>
                </c:pt>
                <c:pt idx="8">
                  <c:v>0.10153461651336192</c:v>
                </c:pt>
              </c:numCache>
            </c:numRef>
          </c:xVal>
          <c:yVal>
            <c:numRef>
              <c:f>'DR6'!$J$10:$J$18</c:f>
              <c:numCache>
                <c:formatCode>0.00</c:formatCode>
                <c:ptCount val="9"/>
                <c:pt idx="0">
                  <c:v>2.5400000000000023E-2</c:v>
                </c:pt>
                <c:pt idx="1">
                  <c:v>2.5400000000000023E-2</c:v>
                </c:pt>
                <c:pt idx="2">
                  <c:v>2.5400000000000023E-2</c:v>
                </c:pt>
                <c:pt idx="3">
                  <c:v>2.5400000000000023E-2</c:v>
                </c:pt>
                <c:pt idx="4">
                  <c:v>2.5400000000000023E-2</c:v>
                </c:pt>
                <c:pt idx="5">
                  <c:v>5.0800000000000047E-2</c:v>
                </c:pt>
                <c:pt idx="6">
                  <c:v>0.10160000000000009</c:v>
                </c:pt>
                <c:pt idx="7">
                  <c:v>0.10160000000000009</c:v>
                </c:pt>
                <c:pt idx="8">
                  <c:v>0.15239999999999987</c:v>
                </c:pt>
              </c:numCache>
            </c:numRef>
          </c:yVal>
          <c:smooth val="0"/>
          <c:extLst>
            <c:ext xmlns:c16="http://schemas.microsoft.com/office/drawing/2014/chart" uri="{C3380CC4-5D6E-409C-BE32-E72D297353CC}">
              <c16:uniqueId val="{00000001-EC68-49B6-BD41-25FAD05E6ACE}"/>
            </c:ext>
          </c:extLst>
        </c:ser>
        <c:dLbls>
          <c:showLegendKey val="0"/>
          <c:showVal val="0"/>
          <c:showCatName val="0"/>
          <c:showSerName val="0"/>
          <c:showPercent val="0"/>
          <c:showBubbleSize val="0"/>
        </c:dLbls>
        <c:axId val="1331951247"/>
        <c:axId val="1331952079"/>
      </c:scatterChart>
      <c:valAx>
        <c:axId val="1331951247"/>
        <c:scaling>
          <c:logBase val="10"/>
          <c:orientation val="maxMin"/>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1 / sqrt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1.0000000000000002E-3"/>
        <c:crossBetween val="midCat"/>
      </c:valAx>
      <c:valAx>
        <c:axId val="1331952079"/>
        <c:scaling>
          <c:logBase val="10"/>
          <c:orientation val="minMax"/>
        </c:scaling>
        <c:delete val="0"/>
        <c:axPos val="r"/>
        <c:majorGridlines>
          <c:spPr>
            <a:ln w="9525" cap="flat" cmpd="sng" algn="ctr">
              <a:no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DR-7</a:t>
            </a:r>
          </a:p>
          <a:p>
            <a:pPr>
              <a:defRPr/>
            </a:pPr>
            <a:endParaRPr lang="en-US"/>
          </a:p>
        </c:rich>
      </c:tx>
      <c:layout>
        <c:manualLayout>
          <c:xMode val="edge"/>
          <c:yMode val="edge"/>
          <c:x val="0.4756996207580082"/>
          <c:y val="2.829291408899601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900427325654575"/>
          <c:y val="0.12637782752111265"/>
          <c:w val="0.81406126117304289"/>
          <c:h val="0.6983743031596884"/>
        </c:manualLayout>
      </c:layout>
      <c:scatterChart>
        <c:scatterStyle val="lineMarker"/>
        <c:varyColors val="0"/>
        <c:ser>
          <c:idx val="0"/>
          <c:order val="0"/>
          <c:tx>
            <c:strRef>
              <c:f>'DR7'!$J$9</c:f>
              <c:strCache>
                <c:ptCount val="1"/>
                <c:pt idx="0">
                  <c:v>---</c:v>
                </c:pt>
              </c:strCache>
            </c:strRef>
          </c:tx>
          <c:spPr>
            <a:ln w="25400" cap="rnd">
              <a:noFill/>
              <a:round/>
            </a:ln>
            <a:effectLst/>
          </c:spPr>
          <c:marker>
            <c:symbol val="circle"/>
            <c:size val="9"/>
            <c:spPr>
              <a:solidFill>
                <a:srgbClr val="FF0000"/>
              </a:solidFill>
              <a:ln w="9525">
                <a:solidFill>
                  <a:srgbClr val="FF0000"/>
                </a:solidFill>
              </a:ln>
              <a:effectLst/>
            </c:spPr>
          </c:marker>
          <c:trendline>
            <c:spPr>
              <a:ln w="19050" cap="rnd">
                <a:solidFill>
                  <a:schemeClr val="accent1"/>
                </a:solidFill>
                <a:prstDash val="sysDot"/>
              </a:ln>
              <a:effectLst/>
            </c:spPr>
            <c:trendlineType val="power"/>
            <c:dispRSqr val="1"/>
            <c:dispEq val="1"/>
            <c:trendlineLbl>
              <c:layout>
                <c:manualLayout>
                  <c:x val="0.15573806459331083"/>
                  <c:y val="0.11463515427992385"/>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'DR7'!$E$10:$E$23</c:f>
              <c:numCache>
                <c:formatCode>0.0</c:formatCode>
                <c:ptCount val="14"/>
                <c:pt idx="0">
                  <c:v>0.99999999999999645</c:v>
                </c:pt>
                <c:pt idx="1">
                  <c:v>1.9999999999999929</c:v>
                </c:pt>
                <c:pt idx="2">
                  <c:v>2.9999999999999893</c:v>
                </c:pt>
                <c:pt idx="3">
                  <c:v>3.9999999999999858</c:v>
                </c:pt>
                <c:pt idx="4">
                  <c:v>8.999999999999968</c:v>
                </c:pt>
                <c:pt idx="5">
                  <c:v>19.000000000000014</c:v>
                </c:pt>
                <c:pt idx="6">
                  <c:v>38.999999999999943</c:v>
                </c:pt>
                <c:pt idx="7">
                  <c:v>58.99999999999995</c:v>
                </c:pt>
                <c:pt idx="8">
                  <c:v>89</c:v>
                </c:pt>
                <c:pt idx="9">
                  <c:v>118.99999999999997</c:v>
                </c:pt>
                <c:pt idx="10">
                  <c:v>149.00000000000003</c:v>
                </c:pt>
                <c:pt idx="11">
                  <c:v>178.99999999999991</c:v>
                </c:pt>
                <c:pt idx="12">
                  <c:v>225.00000000000009</c:v>
                </c:pt>
                <c:pt idx="13">
                  <c:v>247.00000000000003</c:v>
                </c:pt>
              </c:numCache>
            </c:numRef>
          </c:xVal>
          <c:yVal>
            <c:numRef>
              <c:f>'DR7'!$J$10:$J$23</c:f>
              <c:numCache>
                <c:formatCode>0.0</c:formatCode>
                <c:ptCount val="14"/>
                <c:pt idx="0">
                  <c:v>0.25399999999999912</c:v>
                </c:pt>
                <c:pt idx="1">
                  <c:v>0.50800000000000267</c:v>
                </c:pt>
                <c:pt idx="2">
                  <c:v>0.50800000000000267</c:v>
                </c:pt>
                <c:pt idx="3">
                  <c:v>0.50800000000000267</c:v>
                </c:pt>
                <c:pt idx="4">
                  <c:v>0.76200000000000179</c:v>
                </c:pt>
                <c:pt idx="5">
                  <c:v>1.5239999999999991</c:v>
                </c:pt>
                <c:pt idx="6">
                  <c:v>2.2860000000000009</c:v>
                </c:pt>
                <c:pt idx="7">
                  <c:v>2.7939999999999992</c:v>
                </c:pt>
                <c:pt idx="8">
                  <c:v>3.81</c:v>
                </c:pt>
                <c:pt idx="9">
                  <c:v>4.5720000000000018</c:v>
                </c:pt>
                <c:pt idx="10">
                  <c:v>6.6039999999999992</c:v>
                </c:pt>
                <c:pt idx="11">
                  <c:v>6.8580000000000032</c:v>
                </c:pt>
                <c:pt idx="12">
                  <c:v>7.8739999999999997</c:v>
                </c:pt>
                <c:pt idx="13">
                  <c:v>8.1280000000000037</c:v>
                </c:pt>
              </c:numCache>
            </c:numRef>
          </c:yVal>
          <c:smooth val="0"/>
          <c:extLst>
            <c:ext xmlns:c16="http://schemas.microsoft.com/office/drawing/2014/chart" uri="{C3380CC4-5D6E-409C-BE32-E72D297353CC}">
              <c16:uniqueId val="{00000001-268E-4DE8-B474-D60A0E93F3E7}"/>
            </c:ext>
          </c:extLst>
        </c:ser>
        <c:dLbls>
          <c:showLegendKey val="0"/>
          <c:showVal val="0"/>
          <c:showCatName val="0"/>
          <c:showSerName val="0"/>
          <c:showPercent val="0"/>
          <c:showBubbleSize val="0"/>
        </c:dLbls>
        <c:axId val="1331951247"/>
        <c:axId val="1331952079"/>
      </c:scatterChart>
      <c:valAx>
        <c:axId val="133195124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Time Elapsed (minutes)</a:t>
                </a:r>
              </a:p>
            </c:rich>
          </c:tx>
          <c:layout>
            <c:manualLayout>
              <c:xMode val="edge"/>
              <c:yMode val="edge"/>
              <c:x val="0.41458452320383155"/>
              <c:y val="0.930217548321926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2079"/>
        <c:crossesAt val="0"/>
        <c:crossBetween val="midCat"/>
      </c:valAx>
      <c:valAx>
        <c:axId val="1331952079"/>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Cumulative Infiltration (cm)</a:t>
                </a:r>
              </a:p>
            </c:rich>
          </c:tx>
          <c:layout>
            <c:manualLayout>
              <c:xMode val="edge"/>
              <c:yMode val="edge"/>
              <c:x val="1.3888026036310326E-2"/>
              <c:y val="0.27404869850208274"/>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3195124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A05E584-77E4-40AF-A4C8-7A318DD6FBFE}">
  <sheetPr codeName="Chart18"/>
  <sheetViews>
    <sheetView zoomScale="79" workbookViewId="0" zoomToFit="1"/>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7F0B5DB-A35E-454A-B8FD-F8D62B90512C}">
  <sheetPr codeName="Chart25"/>
  <sheetViews>
    <sheetView zoomScale="78" workbookViewId="0" zoomToFit="1"/>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1132D58-22A0-4510-8372-633A9A6A5A9E}">
  <sheetPr codeName="Chart26"/>
  <sheetViews>
    <sheetView zoomScale="78" workbookViewId="0" zoomToFit="1"/>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B06B127-D0D9-4091-B7DC-2315265F5AB9}">
  <sheetPr codeName="Chart27"/>
  <sheetViews>
    <sheetView zoomScale="78" workbookViewId="0" zoomToFit="1"/>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AEA89FA-6524-478A-B19A-9F4B662C2BF9}">
  <sheetPr codeName="Chart39"/>
  <sheetViews>
    <sheetView zoomScale="78" workbookViewId="0" zoomToFit="1"/>
  </sheetViews>
  <pageMargins left="0.7" right="0.7" top="0.75" bottom="0.75" header="0.3" footer="0.3"/>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CF034CE-7724-4C09-9662-697FE08FEF56}">
  <sheetPr codeName="Chart28"/>
  <sheetViews>
    <sheetView zoomScale="78" workbookViewId="0" zoomToFit="1"/>
  </sheetViews>
  <pageMargins left="0.7" right="0.7" top="0.75" bottom="0.75" header="0.3" footer="0.3"/>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E0D362C-16FB-4160-8959-9A0FD9947DCD}">
  <sheetPr codeName="Chart29"/>
  <sheetViews>
    <sheetView zoomScale="78" workbookViewId="0" zoomToFit="1"/>
  </sheetViews>
  <pageMargins left="0.7" right="0.7" top="0.75" bottom="0.75" header="0.3" footer="0.3"/>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F338CDA-E94F-4C5D-A6A7-3CD8BFD32EB6}">
  <sheetPr codeName="Chart38"/>
  <sheetViews>
    <sheetView zoomScale="36" workbookViewId="0" zoomToFit="1"/>
  </sheetViews>
  <pageMargins left="0.7" right="0.7" top="0.75" bottom="0.75" header="0.3" footer="0.3"/>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266AEAE-3832-4FE3-A0B1-F955E85B7D32}">
  <sheetPr codeName="Chart30"/>
  <sheetViews>
    <sheetView zoomScale="36" workbookViewId="0" zoomToFit="1"/>
  </sheetViews>
  <pageMargins left="0.7" right="0.7" top="0.75" bottom="0.75" header="0.3" footer="0.3"/>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5C3BC44-22D9-4B90-9DE7-39A159AB6E25}">
  <sheetPr codeName="Chart31"/>
  <sheetViews>
    <sheetView zoomScale="36" workbookViewId="0" zoomToFit="1"/>
  </sheetViews>
  <pageMargins left="0.7" right="0.7" top="0.75" bottom="0.75" header="0.3" footer="0.3"/>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2791AEE-279C-4A5D-87AD-5742317374EF}">
  <sheetPr codeName="Chart32"/>
  <sheetViews>
    <sheetView zoomScale="3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627ED92-4C04-476D-9539-A6D3743BFEED}">
  <sheetPr codeName="Chart19"/>
  <sheetViews>
    <sheetView zoomScale="78" workbookViewId="0" zoomToFit="1"/>
  </sheetViews>
  <pageMargins left="0.7" right="0.7" top="0.75" bottom="0.75" header="0.3" footer="0.3"/>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A0CDD27-FDB5-4F13-AE50-3A47719F3EDF}">
  <sheetPr codeName="Chart33"/>
  <sheetViews>
    <sheetView zoomScale="78" workbookViewId="0" zoomToFit="1"/>
  </sheetViews>
  <pageMargins left="0.7" right="0.7" top="0.75" bottom="0.75" header="0.3" footer="0.3"/>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653B805-C61B-444B-94EE-F5ADB069A029}">
  <sheetPr codeName="Chart34"/>
  <sheetViews>
    <sheetView zoomScale="79" workbookViewId="0" zoomToFit="1"/>
  </sheetViews>
  <pageMargins left="0.7" right="0.7" top="0.75" bottom="0.75" header="0.3" footer="0.3"/>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7DD4FEF-306E-45E5-B672-6F6FEA0E5ACF}">
  <sheetPr codeName="Chart35"/>
  <sheetViews>
    <sheetView zoomScale="79" workbookViewId="0" zoomToFit="1"/>
  </sheetViews>
  <pageMargins left="0.7" right="0.7" top="0.75" bottom="0.75" header="0.3" footer="0.3"/>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366331-D519-4926-87E7-8E783F6C4ED4}">
  <sheetPr codeName="Chart36"/>
  <sheetViews>
    <sheetView zoomScale="36"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F75EC91-4B00-415A-85DA-FD1C1ACC43DF}">
  <sheetPr codeName="Chart20"/>
  <sheetViews>
    <sheetView zoomScale="78"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4F274A5-0605-403F-8E1A-03D0B863736D}">
  <sheetPr codeName="Chart21"/>
  <sheetViews>
    <sheetView zoomScale="78"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82B1E8D-9A45-4D4E-B56C-9470AC114620}">
  <sheetPr codeName="Chart22"/>
  <sheetViews>
    <sheetView zoomScale="78"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91E4713-D1E1-4879-8B36-86665C5CF824}">
  <sheetPr codeName="Chart37"/>
  <sheetViews>
    <sheetView zoomScale="78"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5875CA3-BFB7-4C16-9D14-4754A2214D63}">
  <sheetPr codeName="Chart23"/>
  <sheetViews>
    <sheetView zoomScale="78"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75FE0E1-37DE-469E-8A6A-FCD025D5CA7D}">
  <sheetPr codeName="Chart40"/>
  <sheetViews>
    <sheetView zoomScale="90"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C375ABE-7CC9-4890-A188-7733B370279E}">
  <sheetPr codeName="Chart24"/>
  <sheetViews>
    <sheetView zoomScale="7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10815095" cy="7837025"/>
    <xdr:graphicFrame macro="">
      <xdr:nvGraphicFramePr>
        <xdr:cNvPr id="2" name="Chart 1">
          <a:extLst>
            <a:ext uri="{FF2B5EF4-FFF2-40B4-BE49-F238E27FC236}">
              <a16:creationId xmlns:a16="http://schemas.microsoft.com/office/drawing/2014/main" id="{A47EE43F-1FAE-4479-ABC3-55A3315F886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B1342164-6C57-4DE5-8835-DA6861C6AE3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137A34BE-FA0A-4349-AEF2-0430E82B3BA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07A1907E-94D9-4733-B518-D65B38F7632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E59F0008-1E9B-DFFF-1CEC-8032E00B075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A05CB51C-A560-46D3-AD14-999978EFB5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9C60D221-70AF-40D1-9540-9558B9AA49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21642917" cy="15716250"/>
    <xdr:graphicFrame macro="">
      <xdr:nvGraphicFramePr>
        <xdr:cNvPr id="2" name="Chart 1">
          <a:extLst>
            <a:ext uri="{FF2B5EF4-FFF2-40B4-BE49-F238E27FC236}">
              <a16:creationId xmlns:a16="http://schemas.microsoft.com/office/drawing/2014/main" id="{DBD2BFF9-95D2-63C3-C28A-CB7EF6E3400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21642917" cy="15716250"/>
    <xdr:graphicFrame macro="">
      <xdr:nvGraphicFramePr>
        <xdr:cNvPr id="2" name="Chart 1">
          <a:extLst>
            <a:ext uri="{FF2B5EF4-FFF2-40B4-BE49-F238E27FC236}">
              <a16:creationId xmlns:a16="http://schemas.microsoft.com/office/drawing/2014/main" id="{241F6832-C68F-42CD-A6A3-877FF43FCDF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21642917" cy="15716250"/>
    <xdr:graphicFrame macro="">
      <xdr:nvGraphicFramePr>
        <xdr:cNvPr id="2" name="Chart 1">
          <a:extLst>
            <a:ext uri="{FF2B5EF4-FFF2-40B4-BE49-F238E27FC236}">
              <a16:creationId xmlns:a16="http://schemas.microsoft.com/office/drawing/2014/main" id="{7A7CBCEF-F4E5-4AEE-AB32-E0A187617A9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21642917" cy="15716250"/>
    <xdr:graphicFrame macro="">
      <xdr:nvGraphicFramePr>
        <xdr:cNvPr id="2" name="Chart 1">
          <a:extLst>
            <a:ext uri="{FF2B5EF4-FFF2-40B4-BE49-F238E27FC236}">
              <a16:creationId xmlns:a16="http://schemas.microsoft.com/office/drawing/2014/main" id="{251806FE-0C45-4322-8183-A64D6BE7CD4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65E244F0-39A5-4A82-8EA5-96B4ACB403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B26C2226-65B0-4FF1-9F28-39FE22E290F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10815095" cy="7837025"/>
    <xdr:graphicFrame macro="">
      <xdr:nvGraphicFramePr>
        <xdr:cNvPr id="2" name="Chart 1">
          <a:extLst>
            <a:ext uri="{FF2B5EF4-FFF2-40B4-BE49-F238E27FC236}">
              <a16:creationId xmlns:a16="http://schemas.microsoft.com/office/drawing/2014/main" id="{B33C6CB7-8579-4C0E-A5CD-799D73A73F3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10815095" cy="7837025"/>
    <xdr:graphicFrame macro="">
      <xdr:nvGraphicFramePr>
        <xdr:cNvPr id="2" name="Chart 1">
          <a:extLst>
            <a:ext uri="{FF2B5EF4-FFF2-40B4-BE49-F238E27FC236}">
              <a16:creationId xmlns:a16="http://schemas.microsoft.com/office/drawing/2014/main" id="{17C9E96A-752F-870C-9893-F1CDDFE83E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21642917" cy="15716250"/>
    <xdr:graphicFrame macro="">
      <xdr:nvGraphicFramePr>
        <xdr:cNvPr id="2" name="Chart 1">
          <a:extLst>
            <a:ext uri="{FF2B5EF4-FFF2-40B4-BE49-F238E27FC236}">
              <a16:creationId xmlns:a16="http://schemas.microsoft.com/office/drawing/2014/main" id="{9E6DAD34-54FC-0F62-824C-0AECD8F341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652A300A-1A3E-4A33-B693-12C62630880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5CC2477A-D7E5-414E-8E05-7B63A5348A3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E26A59CF-1C25-41F6-9C8B-2FF48F255C3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EAA5EBB8-76BE-B57F-46B9-67EBBD19A2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4AC74512-D684-47A1-8A53-119208FE1FF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10826750" cy="7863417"/>
    <xdr:graphicFrame macro="">
      <xdr:nvGraphicFramePr>
        <xdr:cNvPr id="2" name="Chart 1">
          <a:extLst>
            <a:ext uri="{FF2B5EF4-FFF2-40B4-BE49-F238E27FC236}">
              <a16:creationId xmlns:a16="http://schemas.microsoft.com/office/drawing/2014/main" id="{1446EF46-B04B-BC93-8506-EE8E7B8F126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10831635" cy="7864231"/>
    <xdr:graphicFrame macro="">
      <xdr:nvGraphicFramePr>
        <xdr:cNvPr id="2" name="Chart 1">
          <a:extLst>
            <a:ext uri="{FF2B5EF4-FFF2-40B4-BE49-F238E27FC236}">
              <a16:creationId xmlns:a16="http://schemas.microsoft.com/office/drawing/2014/main" id="{5210082E-50B6-4C21-86A5-3B6BEC2351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EFDD-5428-4E49-BEFD-DD5F14AF845A}">
  <sheetPr codeName="Sheet20"/>
  <dimension ref="B2:K24"/>
  <sheetViews>
    <sheetView tabSelected="1" workbookViewId="0">
      <selection activeCell="K8" sqref="K8"/>
    </sheetView>
  </sheetViews>
  <sheetFormatPr defaultRowHeight="15.6" x14ac:dyDescent="0.6"/>
  <cols>
    <col min="1" max="1" width="2.70703125" style="21" customWidth="1"/>
    <col min="2" max="2" width="17" style="21" customWidth="1"/>
    <col min="3" max="3" width="2.70703125" style="21" customWidth="1"/>
    <col min="4" max="16384" width="8.6640625" style="21"/>
  </cols>
  <sheetData>
    <row r="2" spans="2:4" s="25" customFormat="1" x14ac:dyDescent="0.6">
      <c r="B2" s="25" t="s">
        <v>100</v>
      </c>
    </row>
    <row r="4" spans="2:4" s="25" customFormat="1" x14ac:dyDescent="0.6">
      <c r="B4" s="25" t="s">
        <v>99</v>
      </c>
      <c r="D4" s="25" t="s">
        <v>5</v>
      </c>
    </row>
    <row r="5" spans="2:4" x14ac:dyDescent="0.6">
      <c r="B5" s="23" t="s">
        <v>2</v>
      </c>
      <c r="D5" s="21" t="s">
        <v>103</v>
      </c>
    </row>
    <row r="6" spans="2:4" x14ac:dyDescent="0.6">
      <c r="B6" s="24" t="s">
        <v>44</v>
      </c>
      <c r="D6" s="21" t="s">
        <v>95</v>
      </c>
    </row>
    <row r="7" spans="2:4" x14ac:dyDescent="0.6">
      <c r="B7" s="23" t="s">
        <v>18</v>
      </c>
      <c r="D7" s="21" t="s">
        <v>93</v>
      </c>
    </row>
    <row r="8" spans="2:4" x14ac:dyDescent="0.6">
      <c r="B8" s="23" t="s">
        <v>19</v>
      </c>
      <c r="D8" s="21" t="s">
        <v>94</v>
      </c>
    </row>
    <row r="9" spans="2:4" x14ac:dyDescent="0.6">
      <c r="B9" s="24" t="s">
        <v>24</v>
      </c>
      <c r="D9" s="21" t="s">
        <v>92</v>
      </c>
    </row>
    <row r="10" spans="2:4" x14ac:dyDescent="0.6">
      <c r="B10" s="24" t="s">
        <v>25</v>
      </c>
      <c r="D10" s="21" t="s">
        <v>96</v>
      </c>
    </row>
    <row r="11" spans="2:4" x14ac:dyDescent="0.6">
      <c r="B11" s="22" t="s">
        <v>10</v>
      </c>
      <c r="D11" s="21" t="s">
        <v>98</v>
      </c>
    </row>
    <row r="12" spans="2:4" x14ac:dyDescent="0.6">
      <c r="B12" s="21" t="s">
        <v>58</v>
      </c>
      <c r="D12" s="21" t="s">
        <v>101</v>
      </c>
    </row>
    <row r="13" spans="2:4" x14ac:dyDescent="0.6">
      <c r="B13" s="22" t="s">
        <v>11</v>
      </c>
      <c r="D13" s="21" t="s">
        <v>97</v>
      </c>
    </row>
    <row r="14" spans="2:4" x14ac:dyDescent="0.6">
      <c r="B14" s="24" t="s">
        <v>85</v>
      </c>
      <c r="D14" s="21" t="s">
        <v>91</v>
      </c>
    </row>
    <row r="15" spans="2:4" x14ac:dyDescent="0.6">
      <c r="B15" s="21" t="s">
        <v>81</v>
      </c>
      <c r="D15" s="21" t="s">
        <v>102</v>
      </c>
    </row>
    <row r="18" spans="2:11" x14ac:dyDescent="0.6">
      <c r="B18" s="25" t="s">
        <v>104</v>
      </c>
    </row>
    <row r="19" spans="2:11" ht="15.6" customHeight="1" x14ac:dyDescent="0.6">
      <c r="B19" s="28" t="s">
        <v>105</v>
      </c>
      <c r="C19" s="28"/>
      <c r="D19" s="28"/>
      <c r="E19" s="28"/>
      <c r="F19" s="28"/>
      <c r="G19" s="28"/>
      <c r="H19" s="28"/>
      <c r="I19" s="28"/>
      <c r="J19" s="28"/>
      <c r="K19" s="28"/>
    </row>
    <row r="20" spans="2:11" x14ac:dyDescent="0.6">
      <c r="B20" s="28"/>
      <c r="C20" s="28"/>
      <c r="D20" s="28"/>
      <c r="E20" s="28"/>
      <c r="F20" s="28"/>
      <c r="G20" s="28"/>
      <c r="H20" s="28"/>
      <c r="I20" s="28"/>
      <c r="J20" s="28"/>
      <c r="K20" s="28"/>
    </row>
    <row r="21" spans="2:11" x14ac:dyDescent="0.6">
      <c r="B21" s="28"/>
      <c r="C21" s="28"/>
      <c r="D21" s="28"/>
      <c r="E21" s="28"/>
      <c r="F21" s="28"/>
      <c r="G21" s="28"/>
      <c r="H21" s="28"/>
      <c r="I21" s="28"/>
      <c r="J21" s="28"/>
      <c r="K21" s="28"/>
    </row>
    <row r="22" spans="2:11" x14ac:dyDescent="0.6">
      <c r="B22" s="28"/>
      <c r="C22" s="28"/>
      <c r="D22" s="28"/>
      <c r="E22" s="28"/>
      <c r="F22" s="28"/>
      <c r="G22" s="28"/>
      <c r="H22" s="28"/>
      <c r="I22" s="28"/>
      <c r="J22" s="28"/>
      <c r="K22" s="28"/>
    </row>
    <row r="23" spans="2:11" x14ac:dyDescent="0.6">
      <c r="B23" s="28"/>
      <c r="C23" s="28"/>
      <c r="D23" s="28"/>
      <c r="E23" s="28"/>
      <c r="F23" s="28"/>
      <c r="G23" s="28"/>
      <c r="H23" s="28"/>
      <c r="I23" s="28"/>
      <c r="J23" s="28"/>
      <c r="K23" s="28"/>
    </row>
    <row r="24" spans="2:11" x14ac:dyDescent="0.6">
      <c r="B24" s="21" t="s">
        <v>106</v>
      </c>
    </row>
  </sheetData>
  <sortState xmlns:xlrd2="http://schemas.microsoft.com/office/spreadsheetml/2017/richdata2" ref="B5:D15">
    <sortCondition ref="B5:B15"/>
  </sortState>
  <mergeCells count="1">
    <mergeCell ref="B19:K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C6B4E-09C1-4F95-A135-A8E019E2EF33}">
  <sheetPr codeName="Sheet8"/>
  <dimension ref="A1:K31"/>
  <sheetViews>
    <sheetView workbookViewId="0">
      <selection activeCell="K10" sqref="K10:K22"/>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44882</v>
      </c>
      <c r="C1" s="7"/>
      <c r="D1" s="17"/>
      <c r="E1" s="12"/>
      <c r="F1" s="12"/>
      <c r="G1" s="12"/>
      <c r="J1" s="12"/>
    </row>
    <row r="2" spans="1:11" x14ac:dyDescent="0.7">
      <c r="A2" s="3" t="s">
        <v>1</v>
      </c>
      <c r="B2" s="6" t="s">
        <v>34</v>
      </c>
    </row>
    <row r="3" spans="1:11" x14ac:dyDescent="0.7">
      <c r="A3" s="3" t="s">
        <v>7</v>
      </c>
      <c r="B3" s="6" t="s">
        <v>27</v>
      </c>
    </row>
    <row r="4" spans="1:11" x14ac:dyDescent="0.7">
      <c r="A4" s="3" t="s">
        <v>5</v>
      </c>
      <c r="B4" s="6" t="s">
        <v>35</v>
      </c>
    </row>
    <row r="5" spans="1:11" x14ac:dyDescent="0.7">
      <c r="A5" s="3" t="s">
        <v>6</v>
      </c>
      <c r="B5" s="6" t="s">
        <v>37</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0.43472222222222223</v>
      </c>
      <c r="B9" s="8">
        <v>8.4</v>
      </c>
      <c r="C9" s="8">
        <v>9.5</v>
      </c>
      <c r="E9" s="14" t="s">
        <v>14</v>
      </c>
      <c r="F9" s="14" t="s">
        <v>14</v>
      </c>
      <c r="G9" s="14" t="s">
        <v>14</v>
      </c>
      <c r="H9" s="11" t="s">
        <v>14</v>
      </c>
      <c r="I9" s="11" t="s">
        <v>14</v>
      </c>
      <c r="J9" s="11" t="s">
        <v>14</v>
      </c>
    </row>
    <row r="10" spans="1:11" x14ac:dyDescent="0.7">
      <c r="A10" s="15">
        <v>0.43541666666666662</v>
      </c>
      <c r="B10" s="8">
        <v>8.5</v>
      </c>
      <c r="C10" s="8">
        <v>9.5</v>
      </c>
      <c r="E10" s="13">
        <f>(A10-A$9)*24*60</f>
        <v>0.99999999999991651</v>
      </c>
      <c r="F10" s="13">
        <f>SQRT(E10)</f>
        <v>0.99999999999995826</v>
      </c>
      <c r="G10" s="13">
        <f>(A10-A9)*24*60</f>
        <v>0.99999999999991651</v>
      </c>
      <c r="H10" s="8">
        <f>2.54*(B10-B9)</f>
        <v>0.25399999999999912</v>
      </c>
      <c r="I10" s="8">
        <f t="shared" ref="I10:I18" si="0">2.54*(C10-C9)</f>
        <v>0</v>
      </c>
      <c r="J10" s="13">
        <f>SUM(H10,J9)</f>
        <v>0.25399999999999912</v>
      </c>
      <c r="K10" s="2">
        <f t="shared" ref="K10:K22" si="1">1/SQRT(E10)</f>
        <v>1.0000000000000417</v>
      </c>
    </row>
    <row r="11" spans="1:11" x14ac:dyDescent="0.7">
      <c r="A11" s="15">
        <v>0.43611111111111112</v>
      </c>
      <c r="B11" s="8">
        <v>8.6</v>
      </c>
      <c r="C11" s="8">
        <v>9.5</v>
      </c>
      <c r="E11" s="13">
        <f t="shared" ref="E11:E22" si="2">(A11-A$9)*24*60</f>
        <v>1.9999999999999929</v>
      </c>
      <c r="F11" s="13">
        <f t="shared" ref="F11:F22" si="3">SQRT(E11)</f>
        <v>1.4142135623730925</v>
      </c>
      <c r="G11" s="13">
        <f t="shared" ref="G11:G18" si="4">(A11-A10)*24*60</f>
        <v>1.0000000000000764</v>
      </c>
      <c r="H11" s="8">
        <f t="shared" ref="H11:H18" si="5">2.54*(B11-B10)</f>
        <v>0.25399999999999912</v>
      </c>
      <c r="I11" s="8">
        <f t="shared" si="0"/>
        <v>0</v>
      </c>
      <c r="J11" s="13">
        <f t="shared" ref="J11:J22" si="6">SUM(H11,J10)</f>
        <v>0.50799999999999823</v>
      </c>
      <c r="K11" s="2">
        <f t="shared" si="1"/>
        <v>0.70710678118654879</v>
      </c>
    </row>
    <row r="12" spans="1:11" x14ac:dyDescent="0.7">
      <c r="A12" s="15">
        <v>0.4368055555555555</v>
      </c>
      <c r="B12" s="8">
        <v>8.6</v>
      </c>
      <c r="C12" s="8">
        <v>9.5</v>
      </c>
      <c r="E12" s="13">
        <f t="shared" si="2"/>
        <v>2.9999999999999094</v>
      </c>
      <c r="F12" s="13">
        <f t="shared" si="3"/>
        <v>1.7320508075688512</v>
      </c>
      <c r="G12" s="13">
        <f t="shared" si="4"/>
        <v>0.99999999999991651</v>
      </c>
      <c r="H12" s="8">
        <f t="shared" si="5"/>
        <v>0</v>
      </c>
      <c r="I12" s="8">
        <f t="shared" si="0"/>
        <v>0</v>
      </c>
      <c r="J12" s="13">
        <f t="shared" si="6"/>
        <v>0.50799999999999823</v>
      </c>
      <c r="K12" s="2">
        <f t="shared" si="1"/>
        <v>0.5773502691896345</v>
      </c>
    </row>
    <row r="13" spans="1:11" x14ac:dyDescent="0.7">
      <c r="A13" s="15">
        <v>0.4375</v>
      </c>
      <c r="B13" s="8">
        <v>8.6</v>
      </c>
      <c r="C13" s="8">
        <v>9.5</v>
      </c>
      <c r="E13" s="13">
        <f t="shared" si="2"/>
        <v>3.9999999999999858</v>
      </c>
      <c r="F13" s="13">
        <f t="shared" si="3"/>
        <v>1.9999999999999964</v>
      </c>
      <c r="G13" s="13">
        <f t="shared" si="4"/>
        <v>1.0000000000000764</v>
      </c>
      <c r="H13" s="8">
        <f t="shared" si="5"/>
        <v>0</v>
      </c>
      <c r="I13" s="8">
        <f t="shared" si="0"/>
        <v>0</v>
      </c>
      <c r="J13" s="13">
        <f t="shared" si="6"/>
        <v>0.50799999999999823</v>
      </c>
      <c r="K13" s="2">
        <f t="shared" si="1"/>
        <v>0.50000000000000089</v>
      </c>
    </row>
    <row r="14" spans="1:11" x14ac:dyDescent="0.7">
      <c r="A14" s="15">
        <v>0.44097222222222227</v>
      </c>
      <c r="B14" s="9">
        <v>8.6999999999999993</v>
      </c>
      <c r="C14" s="9">
        <v>9.5</v>
      </c>
      <c r="E14" s="13">
        <f t="shared" si="2"/>
        <v>9.000000000000048</v>
      </c>
      <c r="F14" s="13">
        <f t="shared" si="3"/>
        <v>3.000000000000008</v>
      </c>
      <c r="G14" s="13">
        <f t="shared" si="4"/>
        <v>5.0000000000000622</v>
      </c>
      <c r="H14" s="8">
        <f t="shared" si="5"/>
        <v>0.25399999999999912</v>
      </c>
      <c r="I14" s="8">
        <f t="shared" si="0"/>
        <v>0</v>
      </c>
      <c r="J14" s="13">
        <f t="shared" si="6"/>
        <v>0.76199999999999735</v>
      </c>
      <c r="K14" s="2">
        <f t="shared" si="1"/>
        <v>0.33333333333333243</v>
      </c>
    </row>
    <row r="15" spans="1:11" x14ac:dyDescent="0.7">
      <c r="A15" s="15">
        <v>0.44791666666666669</v>
      </c>
      <c r="B15" s="8">
        <v>8.6999999999999993</v>
      </c>
      <c r="C15" s="8">
        <v>9.5</v>
      </c>
      <c r="E15" s="13">
        <f t="shared" si="2"/>
        <v>19.000000000000014</v>
      </c>
      <c r="F15" s="13">
        <f t="shared" si="3"/>
        <v>4.3588989435406749</v>
      </c>
      <c r="G15" s="13">
        <f t="shared" si="4"/>
        <v>9.9999999999999645</v>
      </c>
      <c r="H15" s="8">
        <f t="shared" si="5"/>
        <v>0</v>
      </c>
      <c r="I15" s="8">
        <f t="shared" si="0"/>
        <v>0</v>
      </c>
      <c r="J15" s="13">
        <f t="shared" si="6"/>
        <v>0.76199999999999735</v>
      </c>
      <c r="K15" s="2">
        <f t="shared" si="1"/>
        <v>0.22941573387056169</v>
      </c>
    </row>
    <row r="16" spans="1:11" x14ac:dyDescent="0.7">
      <c r="A16" s="15">
        <v>0.46180555555555558</v>
      </c>
      <c r="B16" s="8">
        <v>8.9</v>
      </c>
      <c r="C16" s="8">
        <v>9.5</v>
      </c>
      <c r="D16" s="2"/>
      <c r="E16" s="13">
        <f t="shared" si="2"/>
        <v>39.000000000000021</v>
      </c>
      <c r="F16" s="13">
        <f t="shared" si="3"/>
        <v>6.2449979983984001</v>
      </c>
      <c r="G16" s="13">
        <f t="shared" si="4"/>
        <v>20.000000000000007</v>
      </c>
      <c r="H16" s="8">
        <f t="shared" si="5"/>
        <v>0.50800000000000267</v>
      </c>
      <c r="I16" s="8">
        <f t="shared" si="0"/>
        <v>0</v>
      </c>
      <c r="J16" s="13">
        <f t="shared" si="6"/>
        <v>1.27</v>
      </c>
      <c r="K16" s="2">
        <f t="shared" si="1"/>
        <v>0.16012815380508708</v>
      </c>
    </row>
    <row r="17" spans="1:11" x14ac:dyDescent="0.7">
      <c r="A17" s="15">
        <v>0.4826388888888889</v>
      </c>
      <c r="B17" s="8">
        <v>9.1999999999999993</v>
      </c>
      <c r="C17" s="8">
        <v>9.6</v>
      </c>
      <c r="E17" s="13">
        <f t="shared" si="2"/>
        <v>69</v>
      </c>
      <c r="F17" s="13">
        <f t="shared" si="3"/>
        <v>8.3066238629180749</v>
      </c>
      <c r="G17" s="13">
        <f t="shared" si="4"/>
        <v>29.999999999999972</v>
      </c>
      <c r="H17" s="8">
        <f t="shared" si="5"/>
        <v>0.76199999999999735</v>
      </c>
      <c r="I17" s="8">
        <f t="shared" si="0"/>
        <v>0.25399999999999912</v>
      </c>
      <c r="J17" s="13">
        <f t="shared" si="6"/>
        <v>2.0319999999999974</v>
      </c>
      <c r="K17" s="2">
        <f t="shared" si="1"/>
        <v>0.1203858530857692</v>
      </c>
    </row>
    <row r="18" spans="1:11" x14ac:dyDescent="0.7">
      <c r="A18" s="15">
        <v>0.50347222222222221</v>
      </c>
      <c r="B18" s="8">
        <v>9.1999999999999993</v>
      </c>
      <c r="C18" s="8">
        <v>9.6999999999999993</v>
      </c>
      <c r="E18" s="13">
        <f t="shared" si="2"/>
        <v>98.999999999999972</v>
      </c>
      <c r="F18" s="13">
        <f t="shared" si="3"/>
        <v>9.9498743710661977</v>
      </c>
      <c r="G18" s="13">
        <f t="shared" si="4"/>
        <v>29.999999999999972</v>
      </c>
      <c r="H18" s="8">
        <f t="shared" si="5"/>
        <v>0</v>
      </c>
      <c r="I18" s="8">
        <f t="shared" si="0"/>
        <v>0.25399999999999912</v>
      </c>
      <c r="J18" s="13">
        <f t="shared" si="6"/>
        <v>2.0319999999999974</v>
      </c>
      <c r="K18" s="2">
        <f t="shared" si="1"/>
        <v>0.10050378152592122</v>
      </c>
    </row>
    <row r="19" spans="1:11" x14ac:dyDescent="0.7">
      <c r="A19" s="15">
        <v>0.52430555555555558</v>
      </c>
      <c r="B19" s="8">
        <v>9.5</v>
      </c>
      <c r="C19" s="8">
        <v>9.8000000000000007</v>
      </c>
      <c r="E19" s="13">
        <f t="shared" si="2"/>
        <v>129.00000000000003</v>
      </c>
      <c r="F19" s="13">
        <f t="shared" si="3"/>
        <v>11.357816691600549</v>
      </c>
      <c r="G19" s="13">
        <f t="shared" ref="G19:G22" si="7">(A19-A18)*24*60</f>
        <v>30.000000000000053</v>
      </c>
      <c r="H19" s="8">
        <f t="shared" ref="H19:H22" si="8">2.54*(B19-B18)</f>
        <v>0.76200000000000179</v>
      </c>
      <c r="I19" s="8">
        <f t="shared" ref="I19:I22" si="9">2.54*(C19-C18)</f>
        <v>0.25400000000000361</v>
      </c>
      <c r="J19" s="13">
        <f t="shared" si="6"/>
        <v>2.7939999999999992</v>
      </c>
      <c r="K19" s="2">
        <f t="shared" si="1"/>
        <v>8.804509063256237E-2</v>
      </c>
    </row>
    <row r="20" spans="1:11" x14ac:dyDescent="0.7">
      <c r="A20" s="15">
        <v>0.54513888888888895</v>
      </c>
      <c r="B20" s="9">
        <v>9.6999999999999993</v>
      </c>
      <c r="C20" s="9">
        <v>10.3</v>
      </c>
      <c r="E20" s="13">
        <f t="shared" si="2"/>
        <v>159.00000000000009</v>
      </c>
      <c r="F20" s="13">
        <f t="shared" si="3"/>
        <v>12.609520212918495</v>
      </c>
      <c r="G20" s="13">
        <f t="shared" si="7"/>
        <v>30.000000000000053</v>
      </c>
      <c r="H20" s="8">
        <f t="shared" si="8"/>
        <v>0.50799999999999823</v>
      </c>
      <c r="I20" s="8">
        <f t="shared" si="9"/>
        <v>1.27</v>
      </c>
      <c r="J20" s="13">
        <f t="shared" si="6"/>
        <v>3.3019999999999974</v>
      </c>
      <c r="K20" s="2">
        <f t="shared" si="1"/>
        <v>7.9305158571814388E-2</v>
      </c>
    </row>
    <row r="21" spans="1:11" x14ac:dyDescent="0.7">
      <c r="A21" s="15">
        <v>0.5756944444444444</v>
      </c>
      <c r="B21" s="8">
        <v>9.9</v>
      </c>
      <c r="C21" s="8">
        <v>10.4</v>
      </c>
      <c r="E21" s="13">
        <f t="shared" si="2"/>
        <v>202.99999999999991</v>
      </c>
      <c r="F21" s="13">
        <f t="shared" si="3"/>
        <v>14.247806848775005</v>
      </c>
      <c r="G21" s="13">
        <f t="shared" si="7"/>
        <v>43.999999999999844</v>
      </c>
      <c r="H21" s="8">
        <f t="shared" si="8"/>
        <v>0.50800000000000267</v>
      </c>
      <c r="I21" s="8">
        <f t="shared" si="9"/>
        <v>0.25399999999999912</v>
      </c>
      <c r="J21" s="13">
        <f t="shared" si="6"/>
        <v>3.81</v>
      </c>
      <c r="K21" s="2">
        <f t="shared" si="1"/>
        <v>7.0186240634359659E-2</v>
      </c>
    </row>
    <row r="22" spans="1:11" x14ac:dyDescent="0.7">
      <c r="A22" s="15">
        <v>0.59027777777777779</v>
      </c>
      <c r="B22" s="8">
        <v>9.9</v>
      </c>
      <c r="C22" s="8">
        <v>10.4</v>
      </c>
      <c r="E22" s="13">
        <f t="shared" si="2"/>
        <v>224</v>
      </c>
      <c r="F22" s="13">
        <f t="shared" si="3"/>
        <v>14.966629547095765</v>
      </c>
      <c r="G22" s="13">
        <f t="shared" si="7"/>
        <v>21.000000000000085</v>
      </c>
      <c r="H22" s="8">
        <f t="shared" si="8"/>
        <v>0</v>
      </c>
      <c r="I22" s="8">
        <f t="shared" si="9"/>
        <v>0</v>
      </c>
      <c r="J22" s="13">
        <f t="shared" si="6"/>
        <v>3.81</v>
      </c>
      <c r="K22" s="2">
        <f t="shared" si="1"/>
        <v>6.6815310478106099E-2</v>
      </c>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61D1-2F2C-4FA9-A257-6D835BF8ACFA}">
  <sheetPr codeName="Sheet9"/>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44882</v>
      </c>
      <c r="C1" s="7"/>
      <c r="D1" s="17"/>
      <c r="E1" s="12"/>
      <c r="F1" s="12"/>
      <c r="G1" s="12"/>
      <c r="J1" s="12"/>
    </row>
    <row r="2" spans="1:11" x14ac:dyDescent="0.7">
      <c r="A2" s="3" t="s">
        <v>1</v>
      </c>
      <c r="B2" s="6" t="s">
        <v>34</v>
      </c>
    </row>
    <row r="3" spans="1:11" x14ac:dyDescent="0.7">
      <c r="A3" s="3" t="s">
        <v>7</v>
      </c>
      <c r="B3" s="6" t="s">
        <v>27</v>
      </c>
    </row>
    <row r="4" spans="1:11" x14ac:dyDescent="0.7">
      <c r="A4" s="3" t="s">
        <v>5</v>
      </c>
      <c r="B4" s="6" t="s">
        <v>35</v>
      </c>
    </row>
    <row r="5" spans="1:11" x14ac:dyDescent="0.7">
      <c r="A5" s="3" t="s">
        <v>6</v>
      </c>
      <c r="B5" s="6" t="s">
        <v>38</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0.45</v>
      </c>
      <c r="B9" s="8">
        <v>8.4</v>
      </c>
      <c r="C9" s="8">
        <v>9.5</v>
      </c>
      <c r="E9" s="14" t="s">
        <v>14</v>
      </c>
      <c r="F9" s="14" t="s">
        <v>14</v>
      </c>
      <c r="G9" s="14" t="s">
        <v>14</v>
      </c>
      <c r="H9" s="11" t="s">
        <v>14</v>
      </c>
      <c r="I9" s="11" t="s">
        <v>14</v>
      </c>
      <c r="J9" s="11" t="s">
        <v>14</v>
      </c>
    </row>
    <row r="10" spans="1:11" x14ac:dyDescent="0.7">
      <c r="A10" s="15">
        <v>0.45069444444444445</v>
      </c>
      <c r="B10" s="8">
        <v>8.4</v>
      </c>
      <c r="C10" s="8">
        <v>9.5</v>
      </c>
      <c r="E10" s="13">
        <f>(A10-A$9)*24*60</f>
        <v>0.99999999999999645</v>
      </c>
      <c r="F10" s="13">
        <f>SQRT(E10)</f>
        <v>0.99999999999999822</v>
      </c>
      <c r="G10" s="13">
        <f>(A10-A9)*24*60</f>
        <v>0.99999999999999645</v>
      </c>
      <c r="H10" s="8">
        <f>2.54*(B10-B9)</f>
        <v>0</v>
      </c>
      <c r="I10" s="8">
        <f t="shared" ref="I10:I18" si="0">2.54*(C10-C9)</f>
        <v>0</v>
      </c>
      <c r="J10" s="13">
        <f>SUM(H10,J9)</f>
        <v>0</v>
      </c>
      <c r="K10" s="2">
        <f t="shared" ref="K10:K21" si="1">1/SQRT(E10)</f>
        <v>1.0000000000000018</v>
      </c>
    </row>
    <row r="11" spans="1:11" x14ac:dyDescent="0.7">
      <c r="A11" s="15">
        <v>0.4513888888888889</v>
      </c>
      <c r="B11" s="8">
        <v>8.5</v>
      </c>
      <c r="C11" s="8">
        <v>9.6</v>
      </c>
      <c r="E11" s="13">
        <f t="shared" ref="E11:E21" si="2">(A11-A$9)*24*60</f>
        <v>1.9999999999999929</v>
      </c>
      <c r="F11" s="13">
        <f t="shared" ref="F11:F21" si="3">SQRT(E11)</f>
        <v>1.4142135623730925</v>
      </c>
      <c r="G11" s="13">
        <f t="shared" ref="G11:G18" si="4">(A11-A10)*24*60</f>
        <v>0.99999999999999645</v>
      </c>
      <c r="H11" s="8">
        <f t="shared" ref="H11:H18" si="5">2.54*(B11-B10)</f>
        <v>0.25399999999999912</v>
      </c>
      <c r="I11" s="8">
        <f t="shared" si="0"/>
        <v>0.25399999999999912</v>
      </c>
      <c r="J11" s="13">
        <f t="shared" ref="J11:J21" si="6">SUM(H11,J10)</f>
        <v>0.25399999999999912</v>
      </c>
      <c r="K11" s="2">
        <f t="shared" si="1"/>
        <v>0.70710678118654879</v>
      </c>
    </row>
    <row r="12" spans="1:11" x14ac:dyDescent="0.7">
      <c r="A12" s="15">
        <v>0.45208333333333334</v>
      </c>
      <c r="B12" s="8">
        <v>8.5</v>
      </c>
      <c r="C12" s="8">
        <v>9.6</v>
      </c>
      <c r="E12" s="13">
        <f t="shared" si="2"/>
        <v>2.9999999999999893</v>
      </c>
      <c r="F12" s="13">
        <f t="shared" si="3"/>
        <v>1.7320508075688743</v>
      </c>
      <c r="G12" s="13">
        <f t="shared" si="4"/>
        <v>0.99999999999999645</v>
      </c>
      <c r="H12" s="8">
        <f t="shared" si="5"/>
        <v>0</v>
      </c>
      <c r="I12" s="8">
        <f t="shared" si="0"/>
        <v>0</v>
      </c>
      <c r="J12" s="13">
        <f t="shared" si="6"/>
        <v>0.25399999999999912</v>
      </c>
      <c r="K12" s="2">
        <f t="shared" si="1"/>
        <v>0.57735026918962673</v>
      </c>
    </row>
    <row r="13" spans="1:11" x14ac:dyDescent="0.7">
      <c r="A13" s="15">
        <v>0.45277777777777778</v>
      </c>
      <c r="B13" s="8">
        <v>8.5</v>
      </c>
      <c r="C13" s="8">
        <v>9.6</v>
      </c>
      <c r="E13" s="13">
        <f t="shared" si="2"/>
        <v>3.9999999999999858</v>
      </c>
      <c r="F13" s="13">
        <f t="shared" si="3"/>
        <v>1.9999999999999964</v>
      </c>
      <c r="G13" s="13">
        <f t="shared" si="4"/>
        <v>0.99999999999999645</v>
      </c>
      <c r="H13" s="8">
        <f t="shared" si="5"/>
        <v>0</v>
      </c>
      <c r="I13" s="8">
        <f t="shared" si="0"/>
        <v>0</v>
      </c>
      <c r="J13" s="13">
        <f t="shared" si="6"/>
        <v>0.25399999999999912</v>
      </c>
      <c r="K13" s="2">
        <f t="shared" si="1"/>
        <v>0.50000000000000089</v>
      </c>
    </row>
    <row r="14" spans="1:11" x14ac:dyDescent="0.7">
      <c r="A14" s="15">
        <v>0.45624999999999999</v>
      </c>
      <c r="B14" s="9">
        <v>8.6</v>
      </c>
      <c r="C14" s="9">
        <v>9.6</v>
      </c>
      <c r="E14" s="13">
        <f t="shared" si="2"/>
        <v>8.999999999999968</v>
      </c>
      <c r="F14" s="13">
        <f t="shared" si="3"/>
        <v>2.9999999999999947</v>
      </c>
      <c r="G14" s="13">
        <f t="shared" si="4"/>
        <v>4.9999999999999822</v>
      </c>
      <c r="H14" s="8">
        <f t="shared" si="5"/>
        <v>0.25399999999999912</v>
      </c>
      <c r="I14" s="8">
        <f t="shared" si="0"/>
        <v>0</v>
      </c>
      <c r="J14" s="13">
        <f t="shared" si="6"/>
        <v>0.50799999999999823</v>
      </c>
      <c r="K14" s="2">
        <f t="shared" si="1"/>
        <v>0.33333333333333393</v>
      </c>
    </row>
    <row r="15" spans="1:11" x14ac:dyDescent="0.7">
      <c r="A15" s="15">
        <v>0.46319444444444446</v>
      </c>
      <c r="B15" s="8">
        <v>8.6999999999999993</v>
      </c>
      <c r="C15" s="8">
        <v>9.6</v>
      </c>
      <c r="E15" s="13">
        <f t="shared" si="2"/>
        <v>19.000000000000014</v>
      </c>
      <c r="F15" s="13">
        <f t="shared" si="3"/>
        <v>4.3588989435406749</v>
      </c>
      <c r="G15" s="13">
        <f t="shared" si="4"/>
        <v>10.000000000000044</v>
      </c>
      <c r="H15" s="8">
        <f t="shared" si="5"/>
        <v>0.25399999999999912</v>
      </c>
      <c r="I15" s="8">
        <f t="shared" si="0"/>
        <v>0</v>
      </c>
      <c r="J15" s="13">
        <f t="shared" si="6"/>
        <v>0.76199999999999735</v>
      </c>
      <c r="K15" s="2">
        <f t="shared" si="1"/>
        <v>0.22941573387056169</v>
      </c>
    </row>
    <row r="16" spans="1:11" x14ac:dyDescent="0.7">
      <c r="A16" s="15">
        <v>0.4770833333333333</v>
      </c>
      <c r="B16" s="8">
        <v>8.9</v>
      </c>
      <c r="C16" s="8">
        <v>9.6999999999999993</v>
      </c>
      <c r="D16" s="2"/>
      <c r="E16" s="13">
        <f t="shared" si="2"/>
        <v>38.999999999999943</v>
      </c>
      <c r="F16" s="13">
        <f t="shared" si="3"/>
        <v>6.2449979983983939</v>
      </c>
      <c r="G16" s="13">
        <f t="shared" si="4"/>
        <v>19.999999999999929</v>
      </c>
      <c r="H16" s="8">
        <f t="shared" si="5"/>
        <v>0.50800000000000267</v>
      </c>
      <c r="I16" s="8">
        <f t="shared" si="0"/>
        <v>0.25399999999999912</v>
      </c>
      <c r="J16" s="13">
        <f t="shared" si="6"/>
        <v>1.27</v>
      </c>
      <c r="K16" s="2">
        <f t="shared" si="1"/>
        <v>0.16012815380508724</v>
      </c>
    </row>
    <row r="17" spans="1:11" x14ac:dyDescent="0.7">
      <c r="A17" s="15">
        <v>0.49791666666666662</v>
      </c>
      <c r="B17" s="8">
        <v>9</v>
      </c>
      <c r="C17" s="8">
        <v>9.8000000000000007</v>
      </c>
      <c r="E17" s="13">
        <f t="shared" si="2"/>
        <v>68.999999999999915</v>
      </c>
      <c r="F17" s="13">
        <f t="shared" si="3"/>
        <v>8.3066238629180695</v>
      </c>
      <c r="G17" s="13">
        <f t="shared" si="4"/>
        <v>29.999999999999972</v>
      </c>
      <c r="H17" s="8">
        <f t="shared" si="5"/>
        <v>0.25399999999999912</v>
      </c>
      <c r="I17" s="8">
        <f t="shared" si="0"/>
        <v>0.25400000000000361</v>
      </c>
      <c r="J17" s="13">
        <f t="shared" si="6"/>
        <v>1.5239999999999991</v>
      </c>
      <c r="K17" s="2">
        <f t="shared" si="1"/>
        <v>0.12038585308576928</v>
      </c>
    </row>
    <row r="18" spans="1:11" x14ac:dyDescent="0.7">
      <c r="A18" s="15">
        <v>0.51874999999999993</v>
      </c>
      <c r="B18" s="8">
        <v>9</v>
      </c>
      <c r="C18" s="8">
        <v>10</v>
      </c>
      <c r="E18" s="13">
        <f t="shared" si="2"/>
        <v>98.999999999999886</v>
      </c>
      <c r="F18" s="13">
        <f t="shared" si="3"/>
        <v>9.9498743710661941</v>
      </c>
      <c r="G18" s="13">
        <f t="shared" si="4"/>
        <v>29.999999999999972</v>
      </c>
      <c r="H18" s="8">
        <f t="shared" si="5"/>
        <v>0</v>
      </c>
      <c r="I18" s="8">
        <f t="shared" si="0"/>
        <v>0.50799999999999823</v>
      </c>
      <c r="J18" s="13">
        <f t="shared" si="6"/>
        <v>1.5239999999999991</v>
      </c>
      <c r="K18" s="2">
        <f t="shared" si="1"/>
        <v>0.10050378152592127</v>
      </c>
    </row>
    <row r="19" spans="1:11" x14ac:dyDescent="0.7">
      <c r="A19" s="15">
        <v>0.5395833333333333</v>
      </c>
      <c r="B19" s="8">
        <v>9.3000000000000007</v>
      </c>
      <c r="C19" s="8">
        <v>10</v>
      </c>
      <c r="E19" s="13">
        <f t="shared" si="2"/>
        <v>128.99999999999994</v>
      </c>
      <c r="F19" s="13">
        <f t="shared" si="3"/>
        <v>11.357816691600545</v>
      </c>
      <c r="G19" s="13">
        <f t="shared" ref="G19:G21" si="7">(A19-A18)*24*60</f>
        <v>30.000000000000053</v>
      </c>
      <c r="H19" s="8">
        <f t="shared" ref="H19:H21" si="8">2.54*(B19-B18)</f>
        <v>0.76200000000000179</v>
      </c>
      <c r="I19" s="8">
        <f t="shared" ref="I19:I21" si="9">2.54*(C19-C18)</f>
        <v>0</v>
      </c>
      <c r="J19" s="13">
        <f t="shared" si="6"/>
        <v>2.2860000000000009</v>
      </c>
      <c r="K19" s="2">
        <f t="shared" si="1"/>
        <v>8.8045090632562398E-2</v>
      </c>
    </row>
    <row r="20" spans="1:11" x14ac:dyDescent="0.7">
      <c r="A20" s="15">
        <v>0.57638888888888895</v>
      </c>
      <c r="B20" s="9">
        <v>9.5</v>
      </c>
      <c r="C20" s="9">
        <v>10.1</v>
      </c>
      <c r="E20" s="13">
        <f t="shared" si="2"/>
        <v>182.00000000000009</v>
      </c>
      <c r="F20" s="13">
        <f t="shared" si="3"/>
        <v>13.490737563232045</v>
      </c>
      <c r="G20" s="13">
        <f t="shared" si="7"/>
        <v>53.000000000000128</v>
      </c>
      <c r="H20" s="8">
        <f t="shared" si="8"/>
        <v>0.50799999999999823</v>
      </c>
      <c r="I20" s="8">
        <f t="shared" si="9"/>
        <v>0.25399999999999912</v>
      </c>
      <c r="J20" s="13">
        <f t="shared" si="6"/>
        <v>2.7939999999999992</v>
      </c>
      <c r="K20" s="2">
        <f t="shared" si="1"/>
        <v>7.4124931666110103E-2</v>
      </c>
    </row>
    <row r="21" spans="1:11" x14ac:dyDescent="0.7">
      <c r="A21" s="15">
        <v>0.59027777777777779</v>
      </c>
      <c r="B21" s="8">
        <v>9.5</v>
      </c>
      <c r="C21" s="8">
        <v>10.4</v>
      </c>
      <c r="E21" s="13">
        <f t="shared" si="2"/>
        <v>202</v>
      </c>
      <c r="F21" s="13">
        <f t="shared" si="3"/>
        <v>14.212670403551895</v>
      </c>
      <c r="G21" s="13">
        <f t="shared" si="7"/>
        <v>19.999999999999929</v>
      </c>
      <c r="H21" s="8">
        <f t="shared" si="8"/>
        <v>0</v>
      </c>
      <c r="I21" s="8">
        <f t="shared" si="9"/>
        <v>0.76200000000000179</v>
      </c>
      <c r="J21" s="13">
        <f t="shared" si="6"/>
        <v>2.7939999999999992</v>
      </c>
      <c r="K21" s="2">
        <f t="shared" si="1"/>
        <v>7.0359754473029182E-2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4A78A-73F2-449F-A4AF-B7B46C701F6B}">
  <sheetPr codeName="Sheet10"/>
  <dimension ref="A1:K31"/>
  <sheetViews>
    <sheetView workbookViewId="0">
      <selection activeCell="K11" sqref="K11:K25"/>
    </sheetView>
  </sheetViews>
  <sheetFormatPr defaultRowHeight="18.3" x14ac:dyDescent="0.7"/>
  <cols>
    <col min="1" max="1" width="20.6640625" style="4" bestFit="1" customWidth="1"/>
    <col min="2" max="2" width="13.33203125" style="8" customWidth="1"/>
    <col min="3" max="3" width="13.9140625" style="8" customWidth="1"/>
    <col min="4" max="4" width="10.58203125" style="4" customWidth="1"/>
    <col min="5" max="6" width="12.83203125" style="13" customWidth="1"/>
    <col min="7" max="7" width="8.6640625" style="13"/>
    <col min="8" max="9" width="8.6640625" style="2"/>
    <col min="10" max="10" width="13" style="13" customWidth="1"/>
    <col min="11" max="11" width="12.9140625" style="2" customWidth="1"/>
    <col min="12" max="16384" width="8.6640625" style="2"/>
  </cols>
  <sheetData>
    <row r="1" spans="1:11" s="1" customFormat="1" x14ac:dyDescent="0.7">
      <c r="A1" s="3" t="s">
        <v>0</v>
      </c>
      <c r="B1" s="10">
        <v>44883</v>
      </c>
      <c r="C1" s="7"/>
      <c r="D1" s="3"/>
      <c r="E1" s="12"/>
      <c r="F1" s="12"/>
      <c r="G1" s="12"/>
      <c r="J1" s="12"/>
    </row>
    <row r="2" spans="1:11" x14ac:dyDescent="0.7">
      <c r="A2" s="3" t="s">
        <v>1</v>
      </c>
      <c r="B2" s="6" t="s">
        <v>39</v>
      </c>
    </row>
    <row r="3" spans="1:11" x14ac:dyDescent="0.7">
      <c r="A3" s="3" t="s">
        <v>7</v>
      </c>
      <c r="B3" s="6" t="s">
        <v>27</v>
      </c>
    </row>
    <row r="4" spans="1:11" x14ac:dyDescent="0.7">
      <c r="A4" s="3" t="s">
        <v>5</v>
      </c>
      <c r="B4" s="6" t="s">
        <v>40</v>
      </c>
    </row>
    <row r="5" spans="1:11" x14ac:dyDescent="0.7">
      <c r="A5" s="3" t="s">
        <v>6</v>
      </c>
      <c r="B5" s="6" t="s">
        <v>41</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c r="K8" s="1" t="s">
        <v>90</v>
      </c>
    </row>
    <row r="9" spans="1:11" x14ac:dyDescent="0.7">
      <c r="A9" s="15">
        <v>0.51111111111111118</v>
      </c>
      <c r="B9" s="8">
        <v>9.5</v>
      </c>
      <c r="C9" s="8">
        <v>10.199999999999999</v>
      </c>
      <c r="E9" s="14" t="s">
        <v>14</v>
      </c>
      <c r="F9" s="14" t="s">
        <v>14</v>
      </c>
      <c r="G9" s="14" t="s">
        <v>14</v>
      </c>
      <c r="H9" s="11" t="s">
        <v>14</v>
      </c>
      <c r="I9" s="11" t="s">
        <v>14</v>
      </c>
      <c r="J9" s="11" t="s">
        <v>14</v>
      </c>
    </row>
    <row r="10" spans="1:11" x14ac:dyDescent="0.7">
      <c r="A10" s="15">
        <v>0.51180555555555551</v>
      </c>
      <c r="B10" s="8">
        <v>9.9</v>
      </c>
      <c r="C10" s="8">
        <v>10.199999999999999</v>
      </c>
      <c r="E10" s="13">
        <f>(A10-A$9)*24*60</f>
        <v>0.99999999999983658</v>
      </c>
      <c r="F10" s="13">
        <f>SQRT(E10)</f>
        <v>0.99999999999991829</v>
      </c>
      <c r="G10" s="13">
        <f>(A10-A9)*24*60</f>
        <v>0.99999999999983658</v>
      </c>
      <c r="H10" s="8">
        <f>2.54*(B10-B9)</f>
        <v>1.0160000000000009</v>
      </c>
      <c r="I10" s="8">
        <f t="shared" ref="I10:I21" si="0">2.54*(C10-C9)</f>
        <v>0</v>
      </c>
      <c r="J10" s="13">
        <f>SUM(H10,J9)</f>
        <v>1.0160000000000009</v>
      </c>
      <c r="K10" s="2">
        <f>1/SQRT(E10)</f>
        <v>1.0000000000000817</v>
      </c>
    </row>
    <row r="11" spans="1:11" x14ac:dyDescent="0.7">
      <c r="A11" s="15">
        <v>0.51250000000000007</v>
      </c>
      <c r="B11" s="8">
        <v>9.9</v>
      </c>
      <c r="C11" s="8">
        <v>10.199999999999999</v>
      </c>
      <c r="E11" s="13">
        <f t="shared" ref="E11:E25" si="1">(A11-A$9)*24*60</f>
        <v>1.9999999999999929</v>
      </c>
      <c r="F11" s="13">
        <f t="shared" ref="F11:F25" si="2">SQRT(E11)</f>
        <v>1.4142135623730925</v>
      </c>
      <c r="G11" s="13">
        <f t="shared" ref="G11:G21" si="3">(A11-A10)*24*60</f>
        <v>1.0000000000001563</v>
      </c>
      <c r="H11" s="8">
        <f t="shared" ref="H11:H21" si="4">2.54*(B11-B10)</f>
        <v>0</v>
      </c>
      <c r="I11" s="8">
        <f t="shared" si="0"/>
        <v>0</v>
      </c>
      <c r="J11" s="13">
        <f t="shared" ref="J11:J25" si="5">SUM(H11,J10)</f>
        <v>1.0160000000000009</v>
      </c>
      <c r="K11" s="2">
        <f t="shared" ref="K11:K25" si="6">1/SQRT(E11)</f>
        <v>0.70710678118654879</v>
      </c>
    </row>
    <row r="12" spans="1:11" x14ac:dyDescent="0.7">
      <c r="A12" s="15">
        <v>0.5131944444444444</v>
      </c>
      <c r="B12" s="8">
        <v>10</v>
      </c>
      <c r="C12" s="8">
        <v>10.199999999999999</v>
      </c>
      <c r="E12" s="13">
        <f t="shared" si="1"/>
        <v>2.9999999999998295</v>
      </c>
      <c r="F12" s="13">
        <f t="shared" si="2"/>
        <v>1.7320508075688281</v>
      </c>
      <c r="G12" s="13">
        <f t="shared" si="3"/>
        <v>0.99999999999983658</v>
      </c>
      <c r="H12" s="8">
        <f t="shared" si="4"/>
        <v>0.25399999999999912</v>
      </c>
      <c r="I12" s="8">
        <f t="shared" si="0"/>
        <v>0</v>
      </c>
      <c r="J12" s="13">
        <f t="shared" si="5"/>
        <v>1.27</v>
      </c>
      <c r="K12" s="2">
        <f t="shared" si="6"/>
        <v>0.57735026918964216</v>
      </c>
    </row>
    <row r="13" spans="1:11" x14ac:dyDescent="0.7">
      <c r="A13" s="15">
        <v>0.51388888888888895</v>
      </c>
      <c r="B13" s="8">
        <v>10.199999999999999</v>
      </c>
      <c r="C13" s="8">
        <v>10.199999999999999</v>
      </c>
      <c r="E13" s="13">
        <f t="shared" si="1"/>
        <v>3.9999999999999858</v>
      </c>
      <c r="F13" s="13">
        <f t="shared" si="2"/>
        <v>1.9999999999999964</v>
      </c>
      <c r="G13" s="13">
        <f t="shared" si="3"/>
        <v>1.0000000000001563</v>
      </c>
      <c r="H13" s="8">
        <f t="shared" si="4"/>
        <v>0.50799999999999823</v>
      </c>
      <c r="I13" s="8">
        <f t="shared" si="0"/>
        <v>0</v>
      </c>
      <c r="J13" s="13">
        <f t="shared" si="5"/>
        <v>1.7779999999999982</v>
      </c>
      <c r="K13" s="2">
        <f t="shared" si="6"/>
        <v>0.50000000000000089</v>
      </c>
    </row>
    <row r="14" spans="1:11" x14ac:dyDescent="0.7">
      <c r="A14" s="15">
        <v>0.51736111111111105</v>
      </c>
      <c r="B14" s="9">
        <v>10.9</v>
      </c>
      <c r="C14" s="9">
        <v>10.7</v>
      </c>
      <c r="E14" s="13">
        <f t="shared" si="1"/>
        <v>8.9999999999998082</v>
      </c>
      <c r="F14" s="13">
        <f t="shared" si="2"/>
        <v>2.999999999999968</v>
      </c>
      <c r="G14" s="13">
        <f t="shared" si="3"/>
        <v>4.9999999999998224</v>
      </c>
      <c r="H14" s="8">
        <f t="shared" si="4"/>
        <v>1.7780000000000027</v>
      </c>
      <c r="I14" s="8">
        <f t="shared" si="0"/>
        <v>1.27</v>
      </c>
      <c r="J14" s="13">
        <f t="shared" si="5"/>
        <v>3.5560000000000009</v>
      </c>
      <c r="K14" s="2">
        <f t="shared" si="6"/>
        <v>0.33333333333333687</v>
      </c>
    </row>
    <row r="15" spans="1:11" x14ac:dyDescent="0.7">
      <c r="A15" s="15">
        <v>0.52430555555555558</v>
      </c>
      <c r="B15" s="8">
        <v>12.1</v>
      </c>
      <c r="C15" s="8">
        <v>11</v>
      </c>
      <c r="E15" s="13">
        <f t="shared" si="1"/>
        <v>18.999999999999932</v>
      </c>
      <c r="F15" s="13">
        <f t="shared" si="2"/>
        <v>4.358898943540666</v>
      </c>
      <c r="G15" s="13">
        <f t="shared" si="3"/>
        <v>10.000000000000124</v>
      </c>
      <c r="H15" s="8">
        <f t="shared" si="4"/>
        <v>3.0479999999999983</v>
      </c>
      <c r="I15" s="8">
        <f t="shared" si="0"/>
        <v>0.76200000000000179</v>
      </c>
      <c r="J15" s="13">
        <f t="shared" si="5"/>
        <v>6.6039999999999992</v>
      </c>
      <c r="K15" s="2">
        <f t="shared" si="6"/>
        <v>0.22941573387056216</v>
      </c>
    </row>
    <row r="16" spans="1:11" x14ac:dyDescent="0.7">
      <c r="A16" s="15">
        <v>0.53125</v>
      </c>
      <c r="B16" s="8">
        <v>12.9</v>
      </c>
      <c r="C16" s="8">
        <v>11.4</v>
      </c>
      <c r="D16" s="4" t="s">
        <v>30</v>
      </c>
      <c r="E16" s="13">
        <f t="shared" si="1"/>
        <v>28.999999999999897</v>
      </c>
      <c r="F16" s="13">
        <f t="shared" si="2"/>
        <v>5.3851648071344949</v>
      </c>
      <c r="G16" s="13">
        <f t="shared" si="3"/>
        <v>9.9999999999999645</v>
      </c>
      <c r="H16" s="8">
        <f t="shared" si="4"/>
        <v>2.0320000000000018</v>
      </c>
      <c r="I16" s="8">
        <f t="shared" si="0"/>
        <v>1.0160000000000009</v>
      </c>
      <c r="J16" s="13">
        <f t="shared" si="5"/>
        <v>8.636000000000001</v>
      </c>
      <c r="K16" s="2">
        <f t="shared" si="6"/>
        <v>0.18569533817705217</v>
      </c>
    </row>
    <row r="17" spans="1:11" x14ac:dyDescent="0.7">
      <c r="A17" s="15">
        <v>0.53194444444444444</v>
      </c>
      <c r="B17" s="8">
        <v>8.3000000000000007</v>
      </c>
      <c r="C17" s="8">
        <v>9.5</v>
      </c>
      <c r="E17" s="13">
        <f t="shared" si="1"/>
        <v>29.999999999999893</v>
      </c>
      <c r="F17" s="13">
        <f t="shared" si="2"/>
        <v>5.4772255750516514</v>
      </c>
      <c r="G17" s="13">
        <f t="shared" si="3"/>
        <v>0.99999999999999645</v>
      </c>
      <c r="H17" s="8" t="e">
        <v>#N/A</v>
      </c>
      <c r="I17" s="8" t="e">
        <v>#N/A</v>
      </c>
      <c r="J17" s="13" t="e">
        <f t="shared" si="5"/>
        <v>#N/A</v>
      </c>
      <c r="K17" s="2">
        <f t="shared" si="6"/>
        <v>0.18257418583505569</v>
      </c>
    </row>
    <row r="18" spans="1:11" x14ac:dyDescent="0.7">
      <c r="A18" s="15">
        <v>0.54583333333333328</v>
      </c>
      <c r="B18" s="8">
        <v>10.9</v>
      </c>
      <c r="C18" s="8">
        <v>10.199999999999999</v>
      </c>
      <c r="E18" s="13">
        <f t="shared" si="1"/>
        <v>49.999999999999822</v>
      </c>
      <c r="F18" s="13">
        <f t="shared" si="2"/>
        <v>7.0710678118654631</v>
      </c>
      <c r="G18" s="13">
        <f t="shared" si="3"/>
        <v>19.999999999999929</v>
      </c>
      <c r="H18" s="8">
        <f t="shared" si="4"/>
        <v>6.6039999999999992</v>
      </c>
      <c r="I18" s="8">
        <f t="shared" si="0"/>
        <v>1.7779999999999982</v>
      </c>
      <c r="J18" s="13">
        <f>SUM(H18,J16)</f>
        <v>15.24</v>
      </c>
      <c r="K18" s="2">
        <f t="shared" si="6"/>
        <v>0.14142135623730975</v>
      </c>
    </row>
    <row r="19" spans="1:11" x14ac:dyDescent="0.7">
      <c r="A19" s="15">
        <v>0.56666666666666665</v>
      </c>
      <c r="B19" s="8">
        <v>13.4</v>
      </c>
      <c r="C19" s="8">
        <v>11.5</v>
      </c>
      <c r="D19" s="4" t="s">
        <v>30</v>
      </c>
      <c r="E19" s="13">
        <f t="shared" si="1"/>
        <v>79.999999999999872</v>
      </c>
      <c r="F19" s="13">
        <f t="shared" si="2"/>
        <v>8.9442719099991521</v>
      </c>
      <c r="G19" s="13">
        <f t="shared" si="3"/>
        <v>30.000000000000053</v>
      </c>
      <c r="H19" s="8">
        <f t="shared" si="4"/>
        <v>6.35</v>
      </c>
      <c r="I19" s="8">
        <f t="shared" si="0"/>
        <v>3.3020000000000018</v>
      </c>
      <c r="J19" s="13">
        <f t="shared" si="5"/>
        <v>21.59</v>
      </c>
      <c r="K19" s="2">
        <f t="shared" si="6"/>
        <v>0.11180339887498957</v>
      </c>
    </row>
    <row r="20" spans="1:11" x14ac:dyDescent="0.7">
      <c r="A20" s="15">
        <v>0.56736111111111109</v>
      </c>
      <c r="B20" s="9">
        <v>8.9</v>
      </c>
      <c r="C20" s="9">
        <v>9.5</v>
      </c>
      <c r="E20" s="13">
        <f t="shared" si="1"/>
        <v>80.999999999999872</v>
      </c>
      <c r="F20" s="13">
        <f t="shared" si="2"/>
        <v>8.9999999999999929</v>
      </c>
      <c r="G20" s="13">
        <f t="shared" si="3"/>
        <v>0.99999999999999645</v>
      </c>
      <c r="H20" s="8" t="e">
        <v>#N/A</v>
      </c>
      <c r="I20" s="8" t="e">
        <v>#N/A</v>
      </c>
      <c r="J20" s="13" t="e">
        <f t="shared" si="5"/>
        <v>#N/A</v>
      </c>
      <c r="K20" s="2">
        <f t="shared" si="6"/>
        <v>0.1111111111111112</v>
      </c>
    </row>
    <row r="21" spans="1:11" x14ac:dyDescent="0.7">
      <c r="A21" s="15">
        <v>0.58819444444444446</v>
      </c>
      <c r="B21" s="8">
        <v>11.9</v>
      </c>
      <c r="C21" s="8">
        <v>10.6</v>
      </c>
      <c r="D21" s="4" t="s">
        <v>30</v>
      </c>
      <c r="E21" s="13">
        <f t="shared" si="1"/>
        <v>110.99999999999993</v>
      </c>
      <c r="F21" s="13">
        <f t="shared" si="2"/>
        <v>10.535653752852735</v>
      </c>
      <c r="G21" s="13">
        <f t="shared" si="3"/>
        <v>30.000000000000053</v>
      </c>
      <c r="H21" s="8">
        <f t="shared" si="4"/>
        <v>7.62</v>
      </c>
      <c r="I21" s="8">
        <f t="shared" si="0"/>
        <v>2.7939999999999992</v>
      </c>
      <c r="J21" s="13">
        <f>SUM(H21,J19)</f>
        <v>29.21</v>
      </c>
      <c r="K21" s="2">
        <f t="shared" si="6"/>
        <v>9.491579957524994E-2</v>
      </c>
    </row>
    <row r="22" spans="1:11" x14ac:dyDescent="0.7">
      <c r="A22" s="15">
        <v>0.58819444444444446</v>
      </c>
      <c r="B22" s="8">
        <v>8.4</v>
      </c>
      <c r="C22" s="8">
        <v>8.4</v>
      </c>
      <c r="E22" s="13">
        <f t="shared" si="1"/>
        <v>110.99999999999993</v>
      </c>
      <c r="F22" s="13">
        <f t="shared" si="2"/>
        <v>10.535653752852735</v>
      </c>
      <c r="G22" s="13">
        <f t="shared" ref="G22:G25" si="7">(A22-A21)*24*60</f>
        <v>0</v>
      </c>
      <c r="H22" s="8" t="e">
        <v>#N/A</v>
      </c>
      <c r="I22" s="8" t="e">
        <v>#N/A</v>
      </c>
      <c r="J22" s="13" t="e">
        <f t="shared" si="5"/>
        <v>#N/A</v>
      </c>
      <c r="K22" s="2">
        <f t="shared" si="6"/>
        <v>9.491579957524994E-2</v>
      </c>
    </row>
    <row r="23" spans="1:11" x14ac:dyDescent="0.7">
      <c r="A23" s="15">
        <v>0.60902777777777783</v>
      </c>
      <c r="B23" s="8">
        <v>11.2</v>
      </c>
      <c r="C23" s="8">
        <v>9.5</v>
      </c>
      <c r="E23" s="13">
        <f t="shared" si="1"/>
        <v>140.99999999999997</v>
      </c>
      <c r="F23" s="13">
        <f t="shared" si="2"/>
        <v>11.874342087037917</v>
      </c>
      <c r="G23" s="13">
        <f t="shared" si="7"/>
        <v>30.000000000000053</v>
      </c>
      <c r="H23" s="8">
        <f t="shared" ref="H23:H25" si="8">2.54*(B23-B22)</f>
        <v>7.1119999999999974</v>
      </c>
      <c r="I23" s="8">
        <f t="shared" ref="I23:I25" si="9">2.54*(C23-C22)</f>
        <v>2.7939999999999992</v>
      </c>
      <c r="J23" s="13">
        <f>SUM(H23,J21)</f>
        <v>36.321999999999996</v>
      </c>
      <c r="K23" s="2">
        <f t="shared" si="6"/>
        <v>8.4215192106651904E-2</v>
      </c>
    </row>
    <row r="24" spans="1:11" x14ac:dyDescent="0.7">
      <c r="A24" s="15">
        <v>0.61944444444444446</v>
      </c>
      <c r="B24" s="8">
        <v>12.3</v>
      </c>
      <c r="C24" s="8">
        <v>10.1</v>
      </c>
      <c r="E24" s="13">
        <f t="shared" si="1"/>
        <v>155.99999999999991</v>
      </c>
      <c r="F24" s="13">
        <f t="shared" si="2"/>
        <v>12.489995996796793</v>
      </c>
      <c r="G24" s="13">
        <f t="shared" si="7"/>
        <v>14.999999999999947</v>
      </c>
      <c r="H24" s="8">
        <f t="shared" si="8"/>
        <v>2.7940000000000036</v>
      </c>
      <c r="I24" s="8">
        <f t="shared" si="9"/>
        <v>1.5239999999999991</v>
      </c>
      <c r="J24" s="13">
        <f t="shared" si="5"/>
        <v>39.116</v>
      </c>
      <c r="K24" s="2">
        <f t="shared" si="6"/>
        <v>8.0064076902543593E-2</v>
      </c>
    </row>
    <row r="25" spans="1:11" x14ac:dyDescent="0.7">
      <c r="A25" s="15">
        <v>0.62986111111111109</v>
      </c>
      <c r="B25" s="8">
        <v>13.4</v>
      </c>
      <c r="C25" s="8">
        <v>10.7</v>
      </c>
      <c r="E25" s="13">
        <f t="shared" si="1"/>
        <v>170.99999999999989</v>
      </c>
      <c r="F25" s="13">
        <f t="shared" si="2"/>
        <v>13.076696830622016</v>
      </c>
      <c r="G25" s="13">
        <f t="shared" si="7"/>
        <v>14.999999999999947</v>
      </c>
      <c r="H25" s="8">
        <f t="shared" si="8"/>
        <v>2.7939999999999992</v>
      </c>
      <c r="I25" s="8">
        <f t="shared" si="9"/>
        <v>1.5239999999999991</v>
      </c>
      <c r="J25" s="13">
        <f t="shared" si="5"/>
        <v>41.91</v>
      </c>
      <c r="K25" s="2">
        <f t="shared" si="6"/>
        <v>7.6471911290187281E-2</v>
      </c>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30C6-849D-4018-B4F1-2841FCF14F11}">
  <sheetPr codeName="Sheet11"/>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44883</v>
      </c>
      <c r="C1" s="7"/>
      <c r="D1" s="17"/>
      <c r="E1" s="12"/>
      <c r="F1" s="12"/>
      <c r="G1" s="12"/>
      <c r="J1" s="12"/>
    </row>
    <row r="2" spans="1:11" x14ac:dyDescent="0.7">
      <c r="A2" s="3" t="s">
        <v>1</v>
      </c>
      <c r="B2" s="6" t="s">
        <v>39</v>
      </c>
    </row>
    <row r="3" spans="1:11" x14ac:dyDescent="0.7">
      <c r="A3" s="3" t="s">
        <v>7</v>
      </c>
      <c r="B3" s="6" t="s">
        <v>27</v>
      </c>
    </row>
    <row r="4" spans="1:11" x14ac:dyDescent="0.7">
      <c r="A4" s="3" t="s">
        <v>5</v>
      </c>
      <c r="B4" s="6" t="s">
        <v>43</v>
      </c>
    </row>
    <row r="5" spans="1:11" x14ac:dyDescent="0.7">
      <c r="A5" s="3" t="s">
        <v>6</v>
      </c>
      <c r="B5" s="6" t="s">
        <v>42</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0.52708333333333335</v>
      </c>
      <c r="B9" s="8">
        <v>9.8000000000000007</v>
      </c>
      <c r="C9" s="8">
        <v>9.9</v>
      </c>
      <c r="E9" s="14" t="s">
        <v>14</v>
      </c>
      <c r="F9" s="14" t="s">
        <v>14</v>
      </c>
      <c r="G9" s="14" t="s">
        <v>14</v>
      </c>
      <c r="H9" s="11" t="s">
        <v>14</v>
      </c>
      <c r="I9" s="11" t="s">
        <v>14</v>
      </c>
      <c r="J9" s="11" t="s">
        <v>14</v>
      </c>
    </row>
    <row r="10" spans="1:11" x14ac:dyDescent="0.7">
      <c r="A10" s="15">
        <v>0.52777777777777779</v>
      </c>
      <c r="B10" s="8">
        <v>9.9</v>
      </c>
      <c r="C10" s="8">
        <v>9.9</v>
      </c>
      <c r="E10" s="13">
        <f>(A10-A$9)*24*60</f>
        <v>0.99999999999999645</v>
      </c>
      <c r="F10" s="13">
        <f>SQRT(E10)</f>
        <v>0.99999999999999822</v>
      </c>
      <c r="G10" s="13">
        <f>(A10-A9)*24*60</f>
        <v>0.99999999999999645</v>
      </c>
      <c r="H10" s="8">
        <f>2.54*(B10-B9)</f>
        <v>0.25399999999999912</v>
      </c>
      <c r="I10" s="8">
        <f t="shared" ref="I10" si="0">2.54*(C10-C9)</f>
        <v>0</v>
      </c>
      <c r="J10" s="13">
        <f>SUM(H10,J9)</f>
        <v>0.25399999999999912</v>
      </c>
      <c r="K10" s="2">
        <f t="shared" ref="K10:K21" si="1">1/SQRT(E10)</f>
        <v>1.0000000000000018</v>
      </c>
    </row>
    <row r="11" spans="1:11" x14ac:dyDescent="0.7">
      <c r="A11" s="15">
        <v>0.52847222222222223</v>
      </c>
      <c r="B11" s="8">
        <v>9.9</v>
      </c>
      <c r="C11" s="8">
        <v>9.9</v>
      </c>
      <c r="E11" s="13">
        <f t="shared" ref="E11:E21" si="2">(A11-A$9)*24*60</f>
        <v>1.9999999999999929</v>
      </c>
      <c r="F11" s="13">
        <f t="shared" ref="F11:F21" si="3">SQRT(E11)</f>
        <v>1.4142135623730925</v>
      </c>
      <c r="G11" s="13">
        <f t="shared" ref="G11:G21" si="4">(A11-A10)*24*60</f>
        <v>0.99999999999999645</v>
      </c>
      <c r="H11" s="8">
        <f t="shared" ref="H11:H21" si="5">2.54*(B11-B10)</f>
        <v>0</v>
      </c>
      <c r="I11" s="8">
        <f t="shared" ref="I11:I21" si="6">2.54*(C11-C10)</f>
        <v>0</v>
      </c>
      <c r="J11" s="13">
        <f t="shared" ref="J11:J21" si="7">SUM(H11,J10)</f>
        <v>0.25399999999999912</v>
      </c>
      <c r="K11" s="2">
        <f t="shared" si="1"/>
        <v>0.70710678118654879</v>
      </c>
    </row>
    <row r="12" spans="1:11" x14ac:dyDescent="0.7">
      <c r="A12" s="15">
        <v>0.52916666666666667</v>
      </c>
      <c r="B12" s="8">
        <v>9.9</v>
      </c>
      <c r="C12" s="8">
        <v>9.9</v>
      </c>
      <c r="E12" s="13">
        <f t="shared" si="2"/>
        <v>2.9999999999999893</v>
      </c>
      <c r="F12" s="13">
        <f t="shared" si="3"/>
        <v>1.7320508075688743</v>
      </c>
      <c r="G12" s="13">
        <f t="shared" si="4"/>
        <v>0.99999999999999645</v>
      </c>
      <c r="H12" s="8">
        <f t="shared" si="5"/>
        <v>0</v>
      </c>
      <c r="I12" s="8">
        <f t="shared" si="6"/>
        <v>0</v>
      </c>
      <c r="J12" s="13">
        <f t="shared" si="7"/>
        <v>0.25399999999999912</v>
      </c>
      <c r="K12" s="2">
        <f t="shared" si="1"/>
        <v>0.57735026918962673</v>
      </c>
    </row>
    <row r="13" spans="1:11" x14ac:dyDescent="0.7">
      <c r="A13" s="15">
        <v>0.52986111111111112</v>
      </c>
      <c r="B13" s="8">
        <v>9.9</v>
      </c>
      <c r="C13" s="8">
        <v>9.9</v>
      </c>
      <c r="E13" s="13">
        <f t="shared" si="2"/>
        <v>3.9999999999999858</v>
      </c>
      <c r="F13" s="13">
        <f t="shared" si="3"/>
        <v>1.9999999999999964</v>
      </c>
      <c r="G13" s="13">
        <f t="shared" si="4"/>
        <v>0.99999999999999645</v>
      </c>
      <c r="H13" s="8">
        <f t="shared" si="5"/>
        <v>0</v>
      </c>
      <c r="I13" s="8">
        <f t="shared" si="6"/>
        <v>0</v>
      </c>
      <c r="J13" s="13">
        <f t="shared" si="7"/>
        <v>0.25399999999999912</v>
      </c>
      <c r="K13" s="2">
        <f t="shared" si="1"/>
        <v>0.50000000000000089</v>
      </c>
    </row>
    <row r="14" spans="1:11" x14ac:dyDescent="0.7">
      <c r="A14" s="15">
        <v>0.53333333333333333</v>
      </c>
      <c r="B14" s="9">
        <v>9.9</v>
      </c>
      <c r="C14" s="9">
        <v>10.1</v>
      </c>
      <c r="E14" s="13">
        <f t="shared" si="2"/>
        <v>8.999999999999968</v>
      </c>
      <c r="F14" s="13">
        <f t="shared" si="3"/>
        <v>2.9999999999999947</v>
      </c>
      <c r="G14" s="13">
        <f t="shared" si="4"/>
        <v>4.9999999999999822</v>
      </c>
      <c r="H14" s="8">
        <f t="shared" si="5"/>
        <v>0</v>
      </c>
      <c r="I14" s="8">
        <f t="shared" si="6"/>
        <v>0.50799999999999823</v>
      </c>
      <c r="J14" s="13">
        <f t="shared" si="7"/>
        <v>0.25399999999999912</v>
      </c>
      <c r="K14" s="2">
        <f t="shared" si="1"/>
        <v>0.33333333333333393</v>
      </c>
    </row>
    <row r="15" spans="1:11" x14ac:dyDescent="0.7">
      <c r="A15" s="15">
        <v>0.54027777777777775</v>
      </c>
      <c r="B15" s="8">
        <v>10.1</v>
      </c>
      <c r="C15" s="8">
        <v>10.4</v>
      </c>
      <c r="E15" s="13">
        <f t="shared" si="2"/>
        <v>18.999999999999932</v>
      </c>
      <c r="F15" s="13">
        <f t="shared" si="3"/>
        <v>4.358898943540666</v>
      </c>
      <c r="G15" s="13">
        <f t="shared" si="4"/>
        <v>9.9999999999999645</v>
      </c>
      <c r="H15" s="8">
        <f t="shared" si="5"/>
        <v>0.50799999999999823</v>
      </c>
      <c r="I15" s="8">
        <f t="shared" si="6"/>
        <v>0.76200000000000179</v>
      </c>
      <c r="J15" s="13">
        <f t="shared" si="7"/>
        <v>0.76199999999999735</v>
      </c>
      <c r="K15" s="2">
        <f t="shared" si="1"/>
        <v>0.22941573387056216</v>
      </c>
    </row>
    <row r="16" spans="1:11" x14ac:dyDescent="0.7">
      <c r="A16" s="15">
        <v>0.5541666666666667</v>
      </c>
      <c r="B16" s="8">
        <v>10.4</v>
      </c>
      <c r="C16" s="8">
        <v>10.8</v>
      </c>
      <c r="D16" s="2"/>
      <c r="E16" s="13">
        <f t="shared" si="2"/>
        <v>39.000000000000021</v>
      </c>
      <c r="F16" s="13">
        <f t="shared" si="3"/>
        <v>6.2449979983984001</v>
      </c>
      <c r="G16" s="13">
        <f t="shared" si="4"/>
        <v>20.000000000000089</v>
      </c>
      <c r="H16" s="8">
        <f t="shared" si="5"/>
        <v>0.76200000000000179</v>
      </c>
      <c r="I16" s="8">
        <f t="shared" si="6"/>
        <v>1.0160000000000009</v>
      </c>
      <c r="J16" s="13">
        <f t="shared" si="7"/>
        <v>1.5239999999999991</v>
      </c>
      <c r="K16" s="2">
        <f t="shared" si="1"/>
        <v>0.16012815380508708</v>
      </c>
    </row>
    <row r="17" spans="1:11" x14ac:dyDescent="0.7">
      <c r="A17" s="15">
        <v>0.57500000000000007</v>
      </c>
      <c r="B17" s="8">
        <v>10.4</v>
      </c>
      <c r="C17" s="8">
        <v>11.4</v>
      </c>
      <c r="E17" s="13">
        <f t="shared" si="2"/>
        <v>69.000000000000071</v>
      </c>
      <c r="F17" s="13">
        <f t="shared" si="3"/>
        <v>8.3066238629180784</v>
      </c>
      <c r="G17" s="13">
        <f t="shared" si="4"/>
        <v>30.000000000000053</v>
      </c>
      <c r="H17" s="8">
        <f t="shared" si="5"/>
        <v>0</v>
      </c>
      <c r="I17" s="8">
        <f t="shared" si="6"/>
        <v>1.5239999999999991</v>
      </c>
      <c r="J17" s="13">
        <f t="shared" si="7"/>
        <v>1.5239999999999991</v>
      </c>
      <c r="K17" s="2">
        <f t="shared" si="1"/>
        <v>0.12038585308576914</v>
      </c>
    </row>
    <row r="18" spans="1:11" x14ac:dyDescent="0.7">
      <c r="A18" s="15">
        <v>0.59583333333333333</v>
      </c>
      <c r="B18" s="8">
        <v>11.1</v>
      </c>
      <c r="C18" s="8">
        <v>12</v>
      </c>
      <c r="E18" s="13">
        <f t="shared" si="2"/>
        <v>98.999999999999972</v>
      </c>
      <c r="F18" s="13">
        <f t="shared" si="3"/>
        <v>9.9498743710661977</v>
      </c>
      <c r="G18" s="13">
        <f t="shared" si="4"/>
        <v>29.999999999999893</v>
      </c>
      <c r="H18" s="8">
        <f t="shared" si="5"/>
        <v>1.7779999999999982</v>
      </c>
      <c r="I18" s="8">
        <f t="shared" si="6"/>
        <v>1.5239999999999991</v>
      </c>
      <c r="J18" s="13">
        <f t="shared" si="7"/>
        <v>3.3019999999999974</v>
      </c>
      <c r="K18" s="2">
        <f t="shared" si="1"/>
        <v>0.10050378152592122</v>
      </c>
    </row>
    <row r="19" spans="1:11" x14ac:dyDescent="0.7">
      <c r="A19" s="15">
        <v>0.6166666666666667</v>
      </c>
      <c r="B19" s="8">
        <v>11.2</v>
      </c>
      <c r="C19" s="8">
        <v>12.5</v>
      </c>
      <c r="E19" s="13">
        <f t="shared" si="2"/>
        <v>129.00000000000003</v>
      </c>
      <c r="F19" s="13">
        <f t="shared" si="3"/>
        <v>11.357816691600549</v>
      </c>
      <c r="G19" s="13">
        <f t="shared" si="4"/>
        <v>30.000000000000053</v>
      </c>
      <c r="H19" s="8">
        <f t="shared" si="5"/>
        <v>0.25399999999999912</v>
      </c>
      <c r="I19" s="8">
        <f t="shared" si="6"/>
        <v>1.27</v>
      </c>
      <c r="J19" s="13">
        <f t="shared" si="7"/>
        <v>3.5559999999999965</v>
      </c>
      <c r="K19" s="2">
        <f t="shared" si="1"/>
        <v>8.804509063256237E-2</v>
      </c>
    </row>
    <row r="20" spans="1:11" x14ac:dyDescent="0.7">
      <c r="A20" s="15">
        <v>0.63750000000000007</v>
      </c>
      <c r="B20" s="9">
        <v>11.8</v>
      </c>
      <c r="C20" s="9">
        <v>12.8</v>
      </c>
      <c r="E20" s="13">
        <f t="shared" si="2"/>
        <v>159.00000000000009</v>
      </c>
      <c r="F20" s="13">
        <f t="shared" si="3"/>
        <v>12.609520212918495</v>
      </c>
      <c r="G20" s="13">
        <f t="shared" si="4"/>
        <v>30.000000000000053</v>
      </c>
      <c r="H20" s="8">
        <f t="shared" si="5"/>
        <v>1.5240000000000036</v>
      </c>
      <c r="I20" s="8">
        <f t="shared" si="6"/>
        <v>0.76200000000000179</v>
      </c>
      <c r="J20" s="13">
        <f t="shared" si="7"/>
        <v>5.08</v>
      </c>
      <c r="K20" s="2">
        <f t="shared" si="1"/>
        <v>7.9305158571814388E-2</v>
      </c>
    </row>
    <row r="21" spans="1:11" x14ac:dyDescent="0.7">
      <c r="A21" s="15">
        <v>0.65833333333333333</v>
      </c>
      <c r="B21" s="8">
        <v>11.9</v>
      </c>
      <c r="C21" s="8">
        <v>13.1</v>
      </c>
      <c r="E21" s="13">
        <f t="shared" si="2"/>
        <v>188.99999999999997</v>
      </c>
      <c r="F21" s="13">
        <f t="shared" si="3"/>
        <v>13.747727084867519</v>
      </c>
      <c r="G21" s="13">
        <f t="shared" si="4"/>
        <v>29.999999999999893</v>
      </c>
      <c r="H21" s="8">
        <f t="shared" si="5"/>
        <v>0.25399999999999912</v>
      </c>
      <c r="I21" s="8">
        <f t="shared" si="6"/>
        <v>0.76199999999999735</v>
      </c>
      <c r="J21" s="13">
        <f t="shared" si="7"/>
        <v>5.3339999999999996</v>
      </c>
      <c r="K21" s="2">
        <f t="shared" si="1"/>
        <v>7.2739296745330806E-2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0C8B8-4D5F-4A1B-8EBB-B6FBA152804D}">
  <sheetPr codeName="Sheet12"/>
  <dimension ref="A1:K32"/>
  <sheetViews>
    <sheetView topLeftCell="A7" workbookViewId="0">
      <selection activeCell="L26" sqref="L26"/>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1" width="11.6640625" style="2" customWidth="1"/>
    <col min="12" max="16384" width="8.6640625" style="2"/>
  </cols>
  <sheetData>
    <row r="1" spans="1:11" s="1" customFormat="1" x14ac:dyDescent="0.7">
      <c r="A1" s="3" t="s">
        <v>0</v>
      </c>
      <c r="B1" s="10">
        <v>44915</v>
      </c>
      <c r="C1" s="7"/>
      <c r="D1" s="17"/>
      <c r="E1" s="12"/>
      <c r="F1" s="12"/>
      <c r="G1" s="12"/>
      <c r="J1" s="12"/>
    </row>
    <row r="2" spans="1:11" x14ac:dyDescent="0.7">
      <c r="A2" s="3" t="s">
        <v>1</v>
      </c>
      <c r="B2" s="6" t="s">
        <v>47</v>
      </c>
    </row>
    <row r="3" spans="1:11" x14ac:dyDescent="0.7">
      <c r="A3" s="3" t="s">
        <v>7</v>
      </c>
      <c r="B3" s="6" t="s">
        <v>27</v>
      </c>
    </row>
    <row r="4" spans="1:11" x14ac:dyDescent="0.7">
      <c r="A4" s="3" t="s">
        <v>5</v>
      </c>
      <c r="B4" s="6" t="s">
        <v>48</v>
      </c>
    </row>
    <row r="5" spans="1:11" x14ac:dyDescent="0.7">
      <c r="A5" s="3" t="s">
        <v>6</v>
      </c>
      <c r="B5" s="6" t="s">
        <v>46</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t="s">
        <v>90</v>
      </c>
    </row>
    <row r="9" spans="1:11" x14ac:dyDescent="0.7">
      <c r="A9" s="15">
        <v>0.4284722222222222</v>
      </c>
      <c r="B9" s="8">
        <v>7.8</v>
      </c>
      <c r="C9" s="8">
        <v>9.1</v>
      </c>
      <c r="E9" s="13">
        <v>0</v>
      </c>
      <c r="F9" s="14" t="s">
        <v>14</v>
      </c>
      <c r="G9" s="13">
        <v>0</v>
      </c>
      <c r="H9" s="13">
        <v>0</v>
      </c>
      <c r="I9" s="13">
        <v>0</v>
      </c>
      <c r="J9" s="11" t="s">
        <v>14</v>
      </c>
    </row>
    <row r="10" spans="1:11" x14ac:dyDescent="0.7">
      <c r="A10" s="15">
        <v>0.4291666666666667</v>
      </c>
      <c r="B10" s="8">
        <v>7.8</v>
      </c>
      <c r="C10" s="8">
        <v>9.1999999999999993</v>
      </c>
      <c r="E10" s="13">
        <f>(A10-A$9)*24*60</f>
        <v>1.0000000000000764</v>
      </c>
      <c r="F10" s="13">
        <f>SQRT(E10)</f>
        <v>1.0000000000000382</v>
      </c>
      <c r="G10" s="13">
        <f t="shared" ref="G10:G29" si="0">IF((A10-A9)*24*60=0,"#N/A",(A10-A9)*24*60)</f>
        <v>1.0000000000000764</v>
      </c>
      <c r="H10" s="8">
        <f>IF(AND(ISNUMBER(B10),ISNUMBER(B9)),2.54*(B10-B9),#N/A)</f>
        <v>0</v>
      </c>
      <c r="I10" s="8">
        <f t="shared" ref="I10:I29" si="1">IF(AND(ISNUMBER(C10),ISNUMBER(C9)),2.54*(C10-C9),#N/A)</f>
        <v>0.25399999999999912</v>
      </c>
      <c r="J10" s="13">
        <f>SUM(H10,J9)</f>
        <v>0</v>
      </c>
      <c r="K10" s="2">
        <f>1/SQRT(E10)</f>
        <v>0.99999999999996181</v>
      </c>
    </row>
    <row r="11" spans="1:11" x14ac:dyDescent="0.7">
      <c r="A11" s="15">
        <v>0.42986111111111108</v>
      </c>
      <c r="B11" s="8">
        <v>7.9</v>
      </c>
      <c r="C11" s="8">
        <v>9.6999999999999993</v>
      </c>
      <c r="E11" s="13">
        <f t="shared" ref="E11:E29" si="2">(A11-A$9)*24*60</f>
        <v>1.9999999999999929</v>
      </c>
      <c r="F11" s="13">
        <f t="shared" ref="F11:F29" si="3">SQRT(E11)</f>
        <v>1.4142135623730925</v>
      </c>
      <c r="G11" s="13">
        <f t="shared" si="0"/>
        <v>0.99999999999991651</v>
      </c>
      <c r="H11" s="8">
        <f t="shared" ref="H11:H29" si="4">IF(AND(ISNUMBER(B11),ISNUMBER(B10)),2.54*(B11-B10),#N/A)</f>
        <v>0.25400000000000134</v>
      </c>
      <c r="I11" s="8">
        <f t="shared" si="1"/>
        <v>1.27</v>
      </c>
      <c r="J11" s="13">
        <f t="shared" ref="J11:J16" si="5">SUM(H11,J10)</f>
        <v>0.25400000000000134</v>
      </c>
      <c r="K11" s="2">
        <f t="shared" ref="K11:K29" si="6">1/SQRT(E11)</f>
        <v>0.70710678118654879</v>
      </c>
    </row>
    <row r="12" spans="1:11" x14ac:dyDescent="0.7">
      <c r="A12" s="15">
        <v>0.43055555555555558</v>
      </c>
      <c r="B12" s="8">
        <v>8</v>
      </c>
      <c r="C12" s="8">
        <v>9.8000000000000007</v>
      </c>
      <c r="E12" s="13">
        <f t="shared" si="2"/>
        <v>3.0000000000000693</v>
      </c>
      <c r="F12" s="13">
        <f t="shared" si="3"/>
        <v>1.7320508075688974</v>
      </c>
      <c r="G12" s="13">
        <f t="shared" si="0"/>
        <v>1.0000000000000764</v>
      </c>
      <c r="H12" s="8">
        <f t="shared" si="4"/>
        <v>0.25399999999999912</v>
      </c>
      <c r="I12" s="8">
        <f t="shared" si="1"/>
        <v>0.25400000000000361</v>
      </c>
      <c r="J12" s="13">
        <f t="shared" si="5"/>
        <v>0.50800000000000045</v>
      </c>
      <c r="K12" s="2">
        <f t="shared" si="6"/>
        <v>0.57735026918961907</v>
      </c>
    </row>
    <row r="13" spans="1:11" x14ac:dyDescent="0.7">
      <c r="A13" s="15">
        <v>0.43124999999999997</v>
      </c>
      <c r="B13" s="8">
        <v>8.1999999999999993</v>
      </c>
      <c r="C13" s="8">
        <v>10.199999999999999</v>
      </c>
      <c r="E13" s="13">
        <f t="shared" si="2"/>
        <v>3.9999999999999858</v>
      </c>
      <c r="F13" s="13">
        <f t="shared" si="3"/>
        <v>1.9999999999999964</v>
      </c>
      <c r="G13" s="13">
        <f t="shared" si="0"/>
        <v>0.99999999999991651</v>
      </c>
      <c r="H13" s="8">
        <f t="shared" si="4"/>
        <v>0.50799999999999823</v>
      </c>
      <c r="I13" s="8">
        <f t="shared" si="1"/>
        <v>1.0159999999999965</v>
      </c>
      <c r="J13" s="13">
        <f t="shared" si="5"/>
        <v>1.0159999999999987</v>
      </c>
      <c r="K13" s="2">
        <f t="shared" si="6"/>
        <v>0.50000000000000089</v>
      </c>
    </row>
    <row r="14" spans="1:11" x14ac:dyDescent="0.7">
      <c r="A14" s="15">
        <v>0.43472222222222223</v>
      </c>
      <c r="B14" s="9">
        <v>8.8000000000000007</v>
      </c>
      <c r="C14" s="9">
        <v>11</v>
      </c>
      <c r="E14" s="13">
        <f t="shared" si="2"/>
        <v>9.000000000000048</v>
      </c>
      <c r="F14" s="13">
        <f t="shared" si="3"/>
        <v>3.000000000000008</v>
      </c>
      <c r="G14" s="13">
        <f t="shared" si="0"/>
        <v>5.0000000000000622</v>
      </c>
      <c r="H14" s="8">
        <f t="shared" si="4"/>
        <v>1.5240000000000036</v>
      </c>
      <c r="I14" s="8">
        <f t="shared" si="1"/>
        <v>2.0320000000000018</v>
      </c>
      <c r="J14" s="13">
        <f t="shared" si="5"/>
        <v>2.5400000000000023</v>
      </c>
      <c r="K14" s="2">
        <f t="shared" si="6"/>
        <v>0.33333333333333243</v>
      </c>
    </row>
    <row r="15" spans="1:11" x14ac:dyDescent="0.7">
      <c r="A15" s="15">
        <v>0.44166666666666665</v>
      </c>
      <c r="B15" s="8">
        <v>9.8000000000000007</v>
      </c>
      <c r="C15" s="8">
        <v>12.7</v>
      </c>
      <c r="E15" s="13">
        <f t="shared" si="2"/>
        <v>19.000000000000014</v>
      </c>
      <c r="F15" s="13">
        <f t="shared" si="3"/>
        <v>4.3588989435406749</v>
      </c>
      <c r="G15" s="13">
        <f t="shared" si="0"/>
        <v>9.9999999999999645</v>
      </c>
      <c r="H15" s="8">
        <f t="shared" si="4"/>
        <v>2.54</v>
      </c>
      <c r="I15" s="8">
        <f t="shared" si="1"/>
        <v>4.3179999999999978</v>
      </c>
      <c r="J15" s="13">
        <f t="shared" si="5"/>
        <v>5.0800000000000018</v>
      </c>
      <c r="K15" s="2">
        <f t="shared" si="6"/>
        <v>0.22941573387056169</v>
      </c>
    </row>
    <row r="16" spans="1:11" x14ac:dyDescent="0.7">
      <c r="A16" s="15">
        <v>0.45555555555555555</v>
      </c>
      <c r="B16" s="8">
        <v>11.4</v>
      </c>
      <c r="C16" s="8">
        <v>14.5</v>
      </c>
      <c r="D16" s="2"/>
      <c r="E16" s="13">
        <f t="shared" si="2"/>
        <v>39.000000000000021</v>
      </c>
      <c r="F16" s="13">
        <f t="shared" si="3"/>
        <v>6.2449979983984001</v>
      </c>
      <c r="G16" s="13">
        <f t="shared" si="0"/>
        <v>20.000000000000007</v>
      </c>
      <c r="H16" s="8">
        <f t="shared" si="4"/>
        <v>4.0639999999999992</v>
      </c>
      <c r="I16" s="8">
        <f t="shared" si="1"/>
        <v>4.5720000000000018</v>
      </c>
      <c r="J16" s="13">
        <f t="shared" si="5"/>
        <v>9.1440000000000019</v>
      </c>
      <c r="K16" s="2">
        <f t="shared" si="6"/>
        <v>0.16012815380508708</v>
      </c>
    </row>
    <row r="17" spans="1:11" x14ac:dyDescent="0.7">
      <c r="A17" s="15">
        <v>0.45555555555555555</v>
      </c>
      <c r="B17" s="8" t="s">
        <v>45</v>
      </c>
      <c r="C17" s="8" t="s">
        <v>45</v>
      </c>
      <c r="E17" s="13">
        <f t="shared" si="2"/>
        <v>39.000000000000021</v>
      </c>
      <c r="F17" s="13">
        <f t="shared" si="3"/>
        <v>6.2449979983984001</v>
      </c>
      <c r="G17" s="13" t="str">
        <f t="shared" si="0"/>
        <v>#N/A</v>
      </c>
      <c r="H17" s="8" t="e">
        <f t="shared" si="4"/>
        <v>#N/A</v>
      </c>
      <c r="I17" s="8" t="e">
        <f t="shared" si="1"/>
        <v>#N/A</v>
      </c>
      <c r="J17" s="13" t="e">
        <v>#N/A</v>
      </c>
      <c r="K17" s="2">
        <f t="shared" si="6"/>
        <v>0.16012815380508708</v>
      </c>
    </row>
    <row r="18" spans="1:11" x14ac:dyDescent="0.7">
      <c r="A18" s="15">
        <v>0.45555555555555555</v>
      </c>
      <c r="B18" s="8">
        <v>8.1999999999999993</v>
      </c>
      <c r="C18" s="8">
        <v>9.6</v>
      </c>
      <c r="E18" s="13">
        <f t="shared" si="2"/>
        <v>39.000000000000021</v>
      </c>
      <c r="F18" s="13">
        <f t="shared" si="3"/>
        <v>6.2449979983984001</v>
      </c>
      <c r="G18" s="13" t="str">
        <f t="shared" si="0"/>
        <v>#N/A</v>
      </c>
      <c r="H18" s="8" t="e">
        <f t="shared" si="4"/>
        <v>#N/A</v>
      </c>
      <c r="I18" s="8" t="e">
        <f t="shared" si="1"/>
        <v>#N/A</v>
      </c>
      <c r="J18" s="13" t="e">
        <v>#N/A</v>
      </c>
      <c r="K18" s="2">
        <f t="shared" si="6"/>
        <v>0.16012815380508708</v>
      </c>
    </row>
    <row r="19" spans="1:11" x14ac:dyDescent="0.7">
      <c r="A19" s="15">
        <v>0.47638888888888892</v>
      </c>
      <c r="B19" s="8">
        <v>10.4</v>
      </c>
      <c r="C19" s="8">
        <v>13</v>
      </c>
      <c r="E19" s="13">
        <f t="shared" si="2"/>
        <v>69.000000000000071</v>
      </c>
      <c r="F19" s="13">
        <f t="shared" si="3"/>
        <v>8.3066238629180784</v>
      </c>
      <c r="G19" s="13">
        <f t="shared" si="0"/>
        <v>30.000000000000053</v>
      </c>
      <c r="H19" s="8">
        <f t="shared" si="4"/>
        <v>5.5880000000000027</v>
      </c>
      <c r="I19" s="8">
        <f t="shared" si="1"/>
        <v>8.636000000000001</v>
      </c>
      <c r="J19" s="13">
        <f>SUM(H19,J16)</f>
        <v>14.732000000000005</v>
      </c>
      <c r="K19" s="2">
        <f t="shared" si="6"/>
        <v>0.12038585308576914</v>
      </c>
    </row>
    <row r="20" spans="1:11" x14ac:dyDescent="0.7">
      <c r="A20" s="15">
        <v>0.47638888888888892</v>
      </c>
      <c r="B20" s="9" t="s">
        <v>45</v>
      </c>
      <c r="C20" s="9" t="s">
        <v>45</v>
      </c>
      <c r="E20" s="13">
        <f t="shared" si="2"/>
        <v>69.000000000000071</v>
      </c>
      <c r="F20" s="13">
        <f t="shared" si="3"/>
        <v>8.3066238629180784</v>
      </c>
      <c r="G20" s="13" t="str">
        <f t="shared" si="0"/>
        <v>#N/A</v>
      </c>
      <c r="H20" s="8" t="e">
        <f t="shared" si="4"/>
        <v>#N/A</v>
      </c>
      <c r="I20" s="8" t="e">
        <f t="shared" si="1"/>
        <v>#N/A</v>
      </c>
      <c r="J20" s="13" t="e">
        <v>#N/A</v>
      </c>
      <c r="K20" s="2">
        <f t="shared" si="6"/>
        <v>0.12038585308576914</v>
      </c>
    </row>
    <row r="21" spans="1:11" x14ac:dyDescent="0.7">
      <c r="A21" s="15">
        <v>0.47638888888888892</v>
      </c>
      <c r="B21" s="8">
        <v>8.8000000000000007</v>
      </c>
      <c r="C21" s="8">
        <v>8.6</v>
      </c>
      <c r="E21" s="13">
        <f t="shared" si="2"/>
        <v>69.000000000000071</v>
      </c>
      <c r="F21" s="13">
        <f t="shared" si="3"/>
        <v>8.3066238629180784</v>
      </c>
      <c r="G21" s="13" t="str">
        <f t="shared" si="0"/>
        <v>#N/A</v>
      </c>
      <c r="H21" s="8" t="e">
        <f t="shared" si="4"/>
        <v>#N/A</v>
      </c>
      <c r="I21" s="8" t="e">
        <f t="shared" si="1"/>
        <v>#N/A</v>
      </c>
      <c r="J21" s="13" t="e">
        <v>#N/A</v>
      </c>
      <c r="K21" s="2">
        <f t="shared" si="6"/>
        <v>0.12038585308576914</v>
      </c>
    </row>
    <row r="22" spans="1:11" x14ac:dyDescent="0.7">
      <c r="A22" s="15">
        <v>0.49722222222222223</v>
      </c>
      <c r="B22" s="8">
        <v>10.6</v>
      </c>
      <c r="C22" s="8">
        <v>11.9</v>
      </c>
      <c r="E22" s="13">
        <f t="shared" si="2"/>
        <v>99.000000000000043</v>
      </c>
      <c r="F22" s="13">
        <f t="shared" si="3"/>
        <v>9.9498743710662012</v>
      </c>
      <c r="G22" s="13">
        <f t="shared" si="0"/>
        <v>29.999999999999972</v>
      </c>
      <c r="H22" s="8">
        <f t="shared" si="4"/>
        <v>4.5719999999999974</v>
      </c>
      <c r="I22" s="8">
        <f t="shared" si="1"/>
        <v>8.3820000000000014</v>
      </c>
      <c r="J22" s="13">
        <f>SUM(H22,J19)</f>
        <v>19.304000000000002</v>
      </c>
      <c r="K22" s="2">
        <f t="shared" si="6"/>
        <v>0.1005037815259212</v>
      </c>
    </row>
    <row r="23" spans="1:11" x14ac:dyDescent="0.7">
      <c r="A23" s="15">
        <v>0.49722222222222223</v>
      </c>
      <c r="B23" s="8" t="s">
        <v>45</v>
      </c>
      <c r="C23" s="8" t="s">
        <v>45</v>
      </c>
      <c r="E23" s="13">
        <f t="shared" si="2"/>
        <v>99.000000000000043</v>
      </c>
      <c r="F23" s="13">
        <f t="shared" si="3"/>
        <v>9.9498743710662012</v>
      </c>
      <c r="G23" s="13" t="str">
        <f t="shared" si="0"/>
        <v>#N/A</v>
      </c>
      <c r="H23" s="8" t="e">
        <f t="shared" si="4"/>
        <v>#N/A</v>
      </c>
      <c r="I23" s="8" t="e">
        <f t="shared" si="1"/>
        <v>#N/A</v>
      </c>
      <c r="J23" s="13" t="e">
        <v>#N/A</v>
      </c>
      <c r="K23" s="2">
        <f t="shared" si="6"/>
        <v>0.1005037815259212</v>
      </c>
    </row>
    <row r="24" spans="1:11" x14ac:dyDescent="0.7">
      <c r="A24" s="15">
        <v>0.49722222222222223</v>
      </c>
      <c r="B24" s="8">
        <v>7.4</v>
      </c>
      <c r="C24" s="8">
        <v>8.1</v>
      </c>
      <c r="E24" s="13">
        <f t="shared" si="2"/>
        <v>99.000000000000043</v>
      </c>
      <c r="F24" s="13">
        <f t="shared" si="3"/>
        <v>9.9498743710662012</v>
      </c>
      <c r="G24" s="13" t="str">
        <f t="shared" si="0"/>
        <v>#N/A</v>
      </c>
      <c r="H24" s="8" t="e">
        <f t="shared" si="4"/>
        <v>#N/A</v>
      </c>
      <c r="I24" s="8" t="e">
        <f t="shared" si="1"/>
        <v>#N/A</v>
      </c>
      <c r="J24" s="13" t="e">
        <v>#N/A</v>
      </c>
      <c r="K24" s="2">
        <f t="shared" si="6"/>
        <v>0.1005037815259212</v>
      </c>
    </row>
    <row r="25" spans="1:11" x14ac:dyDescent="0.7">
      <c r="A25" s="15">
        <v>0.52222222222222225</v>
      </c>
      <c r="B25" s="8">
        <v>9.4</v>
      </c>
      <c r="C25" s="8">
        <v>11.5</v>
      </c>
      <c r="E25" s="13">
        <f t="shared" si="2"/>
        <v>135.00000000000009</v>
      </c>
      <c r="F25" s="13">
        <f t="shared" si="3"/>
        <v>11.618950038622254</v>
      </c>
      <c r="G25" s="13">
        <f t="shared" si="0"/>
        <v>36.000000000000028</v>
      </c>
      <c r="H25" s="8">
        <f t="shared" si="4"/>
        <v>5.08</v>
      </c>
      <c r="I25" s="8">
        <f t="shared" si="1"/>
        <v>8.636000000000001</v>
      </c>
      <c r="J25" s="13">
        <f>SUM(H25,J22)</f>
        <v>24.384</v>
      </c>
      <c r="K25" s="2">
        <f t="shared" si="6"/>
        <v>8.6066296582387014E-2</v>
      </c>
    </row>
    <row r="26" spans="1:11" x14ac:dyDescent="0.7">
      <c r="A26" s="15">
        <v>0.54305555555555551</v>
      </c>
      <c r="B26" s="8">
        <v>11</v>
      </c>
      <c r="C26" s="8">
        <v>13.4</v>
      </c>
      <c r="E26" s="13">
        <f t="shared" si="2"/>
        <v>164.99999999999997</v>
      </c>
      <c r="F26" s="13">
        <f t="shared" si="3"/>
        <v>12.845232578665128</v>
      </c>
      <c r="G26" s="13">
        <f t="shared" si="0"/>
        <v>29.999999999999893</v>
      </c>
      <c r="H26" s="8">
        <f t="shared" si="4"/>
        <v>4.0639999999999992</v>
      </c>
      <c r="I26" s="8">
        <f t="shared" si="1"/>
        <v>4.8260000000000014</v>
      </c>
      <c r="J26" s="13">
        <f t="shared" ref="J26" si="7">SUM(H26,J25)</f>
        <v>28.448</v>
      </c>
      <c r="K26" s="2">
        <f t="shared" si="6"/>
        <v>7.784989441615231E-2</v>
      </c>
    </row>
    <row r="27" spans="1:11" x14ac:dyDescent="0.7">
      <c r="A27" s="15">
        <v>0.54305555555555551</v>
      </c>
      <c r="B27" s="8" t="s">
        <v>45</v>
      </c>
      <c r="C27" s="8" t="s">
        <v>45</v>
      </c>
      <c r="E27" s="13">
        <f t="shared" si="2"/>
        <v>164.99999999999997</v>
      </c>
      <c r="F27" s="13">
        <f t="shared" si="3"/>
        <v>12.845232578665128</v>
      </c>
      <c r="G27" s="13" t="str">
        <f t="shared" si="0"/>
        <v>#N/A</v>
      </c>
      <c r="H27" s="8" t="e">
        <f t="shared" si="4"/>
        <v>#N/A</v>
      </c>
      <c r="I27" s="8" t="e">
        <f t="shared" si="1"/>
        <v>#N/A</v>
      </c>
      <c r="J27" s="13" t="e">
        <v>#N/A</v>
      </c>
      <c r="K27" s="2">
        <f t="shared" si="6"/>
        <v>7.784989441615231E-2</v>
      </c>
    </row>
    <row r="28" spans="1:11" x14ac:dyDescent="0.7">
      <c r="A28" s="15">
        <v>0.54305555555555551</v>
      </c>
      <c r="B28" s="8">
        <v>8.6999999999999993</v>
      </c>
      <c r="C28" s="8">
        <v>9.9</v>
      </c>
      <c r="E28" s="13">
        <f t="shared" si="2"/>
        <v>164.99999999999997</v>
      </c>
      <c r="F28" s="13">
        <f t="shared" si="3"/>
        <v>12.845232578665128</v>
      </c>
      <c r="G28" s="13" t="str">
        <f t="shared" si="0"/>
        <v>#N/A</v>
      </c>
      <c r="H28" s="8" t="e">
        <f t="shared" si="4"/>
        <v>#N/A</v>
      </c>
      <c r="I28" s="8" t="e">
        <f t="shared" si="1"/>
        <v>#N/A</v>
      </c>
      <c r="J28" s="13" t="e">
        <v>#N/A</v>
      </c>
      <c r="K28" s="2">
        <f t="shared" si="6"/>
        <v>7.784989441615231E-2</v>
      </c>
    </row>
    <row r="29" spans="1:11" x14ac:dyDescent="0.7">
      <c r="A29" s="15">
        <v>0.56388888888888888</v>
      </c>
      <c r="B29" s="8">
        <v>10.3</v>
      </c>
      <c r="C29" s="8">
        <v>11.9</v>
      </c>
      <c r="E29" s="13">
        <f t="shared" si="2"/>
        <v>195.00000000000003</v>
      </c>
      <c r="F29" s="13">
        <f t="shared" si="3"/>
        <v>13.964240043768942</v>
      </c>
      <c r="G29" s="13">
        <f t="shared" si="0"/>
        <v>30.000000000000053</v>
      </c>
      <c r="H29" s="8">
        <f t="shared" si="4"/>
        <v>4.0640000000000036</v>
      </c>
      <c r="I29" s="8">
        <f t="shared" si="1"/>
        <v>5.08</v>
      </c>
      <c r="J29" s="13">
        <f>SUM(H29,J26)</f>
        <v>32.512</v>
      </c>
      <c r="K29" s="2">
        <f t="shared" si="6"/>
        <v>7.1611487403943283E-2</v>
      </c>
    </row>
    <row r="30" spans="1:11" x14ac:dyDescent="0.7">
      <c r="A30" s="5"/>
    </row>
    <row r="31" spans="1:11" x14ac:dyDescent="0.7">
      <c r="A31" s="5"/>
    </row>
    <row r="32" spans="1:11" x14ac:dyDescent="0.7">
      <c r="A32" s="5"/>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C91E-3E61-4825-BDCF-7CDAF25C418A}">
  <sheetPr codeName="Sheet13"/>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44915</v>
      </c>
      <c r="C1" s="7"/>
      <c r="D1" s="17"/>
      <c r="E1" s="12"/>
      <c r="F1" s="12"/>
      <c r="G1" s="12"/>
      <c r="J1" s="12"/>
    </row>
    <row r="2" spans="1:11" x14ac:dyDescent="0.7">
      <c r="A2" s="3" t="s">
        <v>1</v>
      </c>
      <c r="B2" s="6" t="s">
        <v>47</v>
      </c>
    </row>
    <row r="3" spans="1:11" x14ac:dyDescent="0.7">
      <c r="A3" s="3" t="s">
        <v>7</v>
      </c>
      <c r="B3" s="6" t="s">
        <v>27</v>
      </c>
    </row>
    <row r="4" spans="1:11" x14ac:dyDescent="0.7">
      <c r="A4" s="3" t="s">
        <v>5</v>
      </c>
      <c r="B4" s="6" t="s">
        <v>50</v>
      </c>
    </row>
    <row r="5" spans="1:11" x14ac:dyDescent="0.7">
      <c r="A5" s="3" t="s">
        <v>6</v>
      </c>
      <c r="B5" s="6" t="s">
        <v>49</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0.44444444444444442</v>
      </c>
      <c r="B9" s="8">
        <v>8.4</v>
      </c>
      <c r="C9" s="8">
        <v>9.5</v>
      </c>
      <c r="E9" s="13">
        <v>0</v>
      </c>
      <c r="F9" s="14" t="s">
        <v>14</v>
      </c>
      <c r="G9" s="13">
        <v>0</v>
      </c>
      <c r="H9" s="13">
        <v>0</v>
      </c>
      <c r="I9" s="13">
        <v>0</v>
      </c>
      <c r="J9" s="11" t="s">
        <v>14</v>
      </c>
    </row>
    <row r="10" spans="1:11" x14ac:dyDescent="0.7">
      <c r="A10" s="15">
        <v>0.44513888888888892</v>
      </c>
      <c r="B10" s="8">
        <v>8.6</v>
      </c>
      <c r="C10" s="8">
        <v>9.6999999999999993</v>
      </c>
      <c r="E10" s="13">
        <f>(A10-A$9)*24*60</f>
        <v>1.0000000000000764</v>
      </c>
      <c r="F10" s="13">
        <f>SQRT(E10)</f>
        <v>1.0000000000000382</v>
      </c>
      <c r="G10" s="13">
        <f>(A10-A9)*24*60</f>
        <v>1.0000000000000764</v>
      </c>
      <c r="H10" s="8">
        <f>2.54*(B10-B9)</f>
        <v>0.50799999999999823</v>
      </c>
      <c r="I10" s="8">
        <f t="shared" ref="I10" si="0">2.54*(C10-C9)</f>
        <v>0.50799999999999823</v>
      </c>
      <c r="J10" s="13">
        <f>SUM(H10,J9)</f>
        <v>0.50799999999999823</v>
      </c>
      <c r="K10" s="2">
        <f t="shared" ref="K10:K21" si="1">1/SQRT(E10)</f>
        <v>0.99999999999996181</v>
      </c>
    </row>
    <row r="11" spans="1:11" x14ac:dyDescent="0.7">
      <c r="A11" s="15">
        <v>0.4458333333333333</v>
      </c>
      <c r="B11" s="8">
        <v>8.8000000000000007</v>
      </c>
      <c r="C11" s="8">
        <v>9.6999999999999993</v>
      </c>
      <c r="E11" s="13">
        <f t="shared" ref="E11:E21" si="2">(A11-A$9)*24*60</f>
        <v>1.9999999999999929</v>
      </c>
      <c r="F11" s="13">
        <f t="shared" ref="F11:F21" si="3">SQRT(E11)</f>
        <v>1.4142135623730925</v>
      </c>
      <c r="G11" s="13">
        <f t="shared" ref="G11:G21" si="4">(A11-A10)*24*60</f>
        <v>0.99999999999991651</v>
      </c>
      <c r="H11" s="8">
        <f t="shared" ref="H11:H21" si="5">2.54*(B11-B10)</f>
        <v>0.50800000000000267</v>
      </c>
      <c r="I11" s="8">
        <f t="shared" ref="I11:I21" si="6">2.54*(C11-C10)</f>
        <v>0</v>
      </c>
      <c r="J11" s="13">
        <f t="shared" ref="J11:J21" si="7">SUM(H11,J10)</f>
        <v>1.0160000000000009</v>
      </c>
      <c r="K11" s="2">
        <f t="shared" si="1"/>
        <v>0.70710678118654879</v>
      </c>
    </row>
    <row r="12" spans="1:11" x14ac:dyDescent="0.7">
      <c r="A12" s="15">
        <v>0.4465277777777778</v>
      </c>
      <c r="B12" s="8">
        <v>8.9</v>
      </c>
      <c r="C12" s="8">
        <v>9.6999999999999993</v>
      </c>
      <c r="E12" s="13">
        <f t="shared" si="2"/>
        <v>3.0000000000000693</v>
      </c>
      <c r="F12" s="13">
        <f t="shared" si="3"/>
        <v>1.7320508075688974</v>
      </c>
      <c r="G12" s="13">
        <f t="shared" si="4"/>
        <v>1.0000000000000764</v>
      </c>
      <c r="H12" s="8">
        <f t="shared" si="5"/>
        <v>0.25399999999999912</v>
      </c>
      <c r="I12" s="8">
        <f t="shared" si="6"/>
        <v>0</v>
      </c>
      <c r="J12" s="13">
        <f t="shared" si="7"/>
        <v>1.27</v>
      </c>
      <c r="K12" s="2">
        <f t="shared" si="1"/>
        <v>0.57735026918961907</v>
      </c>
    </row>
    <row r="13" spans="1:11" x14ac:dyDescent="0.7">
      <c r="A13" s="15">
        <v>0.44722222222222219</v>
      </c>
      <c r="B13" s="8">
        <v>8.9</v>
      </c>
      <c r="C13" s="8">
        <v>9.6999999999999993</v>
      </c>
      <c r="E13" s="13">
        <f t="shared" si="2"/>
        <v>3.9999999999999858</v>
      </c>
      <c r="F13" s="13">
        <f t="shared" si="3"/>
        <v>1.9999999999999964</v>
      </c>
      <c r="G13" s="13">
        <f t="shared" si="4"/>
        <v>0.99999999999991651</v>
      </c>
      <c r="H13" s="8">
        <f t="shared" si="5"/>
        <v>0</v>
      </c>
      <c r="I13" s="8">
        <f t="shared" si="6"/>
        <v>0</v>
      </c>
      <c r="J13" s="13">
        <f t="shared" si="7"/>
        <v>1.27</v>
      </c>
      <c r="K13" s="2">
        <f t="shared" si="1"/>
        <v>0.50000000000000089</v>
      </c>
    </row>
    <row r="14" spans="1:11" x14ac:dyDescent="0.7">
      <c r="A14" s="15">
        <v>0.45069444444444445</v>
      </c>
      <c r="B14" s="9">
        <v>8.9</v>
      </c>
      <c r="C14" s="9">
        <v>9.6999999999999993</v>
      </c>
      <c r="E14" s="13">
        <f t="shared" si="2"/>
        <v>9.000000000000048</v>
      </c>
      <c r="F14" s="13">
        <f t="shared" si="3"/>
        <v>3.000000000000008</v>
      </c>
      <c r="G14" s="13">
        <f t="shared" si="4"/>
        <v>5.0000000000000622</v>
      </c>
      <c r="H14" s="8">
        <f t="shared" si="5"/>
        <v>0</v>
      </c>
      <c r="I14" s="8">
        <f t="shared" si="6"/>
        <v>0</v>
      </c>
      <c r="J14" s="13">
        <f t="shared" si="7"/>
        <v>1.27</v>
      </c>
      <c r="K14" s="2">
        <f t="shared" si="1"/>
        <v>0.33333333333333243</v>
      </c>
    </row>
    <row r="15" spans="1:11" x14ac:dyDescent="0.7">
      <c r="A15" s="15">
        <v>0.45763888888888887</v>
      </c>
      <c r="B15" s="8">
        <v>8.9</v>
      </c>
      <c r="C15" s="8">
        <v>9.6999999999999993</v>
      </c>
      <c r="E15" s="13">
        <f t="shared" si="2"/>
        <v>19.000000000000014</v>
      </c>
      <c r="F15" s="13">
        <f t="shared" si="3"/>
        <v>4.3588989435406749</v>
      </c>
      <c r="G15" s="13">
        <f t="shared" si="4"/>
        <v>9.9999999999999645</v>
      </c>
      <c r="H15" s="8">
        <f t="shared" si="5"/>
        <v>0</v>
      </c>
      <c r="I15" s="8">
        <f t="shared" si="6"/>
        <v>0</v>
      </c>
      <c r="J15" s="13">
        <f t="shared" si="7"/>
        <v>1.27</v>
      </c>
      <c r="K15" s="2">
        <f t="shared" si="1"/>
        <v>0.22941573387056169</v>
      </c>
    </row>
    <row r="16" spans="1:11" x14ac:dyDescent="0.7">
      <c r="A16" s="15">
        <v>0.47152777777777777</v>
      </c>
      <c r="B16" s="8">
        <v>9</v>
      </c>
      <c r="C16" s="8">
        <v>9.6999999999999993</v>
      </c>
      <c r="D16" s="2"/>
      <c r="E16" s="13">
        <f t="shared" si="2"/>
        <v>39.000000000000021</v>
      </c>
      <c r="F16" s="13">
        <f t="shared" si="3"/>
        <v>6.2449979983984001</v>
      </c>
      <c r="G16" s="13">
        <f t="shared" si="4"/>
        <v>20.000000000000007</v>
      </c>
      <c r="H16" s="8">
        <f t="shared" si="5"/>
        <v>0.25399999999999912</v>
      </c>
      <c r="I16" s="8">
        <f t="shared" si="6"/>
        <v>0</v>
      </c>
      <c r="J16" s="13">
        <f t="shared" si="7"/>
        <v>1.5239999999999991</v>
      </c>
      <c r="K16" s="2">
        <f t="shared" si="1"/>
        <v>0.16012815380508708</v>
      </c>
    </row>
    <row r="17" spans="1:11" x14ac:dyDescent="0.7">
      <c r="A17" s="15">
        <v>0.49236111111111108</v>
      </c>
      <c r="B17" s="8">
        <v>9</v>
      </c>
      <c r="C17" s="8">
        <v>9.6999999999999993</v>
      </c>
      <c r="E17" s="13">
        <f t="shared" si="2"/>
        <v>69</v>
      </c>
      <c r="F17" s="13">
        <f t="shared" si="3"/>
        <v>8.3066238629180749</v>
      </c>
      <c r="G17" s="13">
        <f t="shared" si="4"/>
        <v>29.999999999999972</v>
      </c>
      <c r="H17" s="8">
        <f t="shared" si="5"/>
        <v>0</v>
      </c>
      <c r="I17" s="8">
        <f t="shared" si="6"/>
        <v>0</v>
      </c>
      <c r="J17" s="13">
        <f t="shared" si="7"/>
        <v>1.5239999999999991</v>
      </c>
      <c r="K17" s="2">
        <f t="shared" si="1"/>
        <v>0.1203858530857692</v>
      </c>
    </row>
    <row r="18" spans="1:11" x14ac:dyDescent="0.7">
      <c r="A18" s="15">
        <v>0.5131944444444444</v>
      </c>
      <c r="B18" s="8">
        <v>9</v>
      </c>
      <c r="C18" s="8">
        <v>9.6999999999999993</v>
      </c>
      <c r="E18" s="13">
        <f t="shared" si="2"/>
        <v>98.999999999999972</v>
      </c>
      <c r="F18" s="13">
        <f t="shared" si="3"/>
        <v>9.9498743710661977</v>
      </c>
      <c r="G18" s="13">
        <f t="shared" si="4"/>
        <v>29.999999999999972</v>
      </c>
      <c r="H18" s="8">
        <f t="shared" si="5"/>
        <v>0</v>
      </c>
      <c r="I18" s="8">
        <f t="shared" si="6"/>
        <v>0</v>
      </c>
      <c r="J18" s="13">
        <f t="shared" si="7"/>
        <v>1.5239999999999991</v>
      </c>
      <c r="K18" s="2">
        <f t="shared" si="1"/>
        <v>0.10050378152592122</v>
      </c>
    </row>
    <row r="19" spans="1:11" x14ac:dyDescent="0.7">
      <c r="A19" s="15">
        <v>0.53402777777777777</v>
      </c>
      <c r="B19" s="8">
        <v>9</v>
      </c>
      <c r="C19" s="8">
        <v>9.6999999999999993</v>
      </c>
      <c r="E19" s="13">
        <f t="shared" si="2"/>
        <v>129.00000000000003</v>
      </c>
      <c r="F19" s="13">
        <f t="shared" si="3"/>
        <v>11.357816691600549</v>
      </c>
      <c r="G19" s="13">
        <f t="shared" si="4"/>
        <v>30.000000000000053</v>
      </c>
      <c r="H19" s="8">
        <f t="shared" si="5"/>
        <v>0</v>
      </c>
      <c r="I19" s="8">
        <f t="shared" si="6"/>
        <v>0</v>
      </c>
      <c r="J19" s="13">
        <f t="shared" si="7"/>
        <v>1.5239999999999991</v>
      </c>
      <c r="K19" s="2">
        <f t="shared" si="1"/>
        <v>8.804509063256237E-2</v>
      </c>
    </row>
    <row r="20" spans="1:11" x14ac:dyDescent="0.7">
      <c r="A20" s="15">
        <v>0.55486111111111114</v>
      </c>
      <c r="B20" s="9">
        <v>9</v>
      </c>
      <c r="C20" s="9">
        <v>9.6999999999999993</v>
      </c>
      <c r="E20" s="13">
        <f t="shared" si="2"/>
        <v>159.00000000000009</v>
      </c>
      <c r="F20" s="13">
        <f t="shared" si="3"/>
        <v>12.609520212918495</v>
      </c>
      <c r="G20" s="13">
        <f t="shared" si="4"/>
        <v>30.000000000000053</v>
      </c>
      <c r="H20" s="8">
        <f t="shared" si="5"/>
        <v>0</v>
      </c>
      <c r="I20" s="8">
        <f t="shared" si="6"/>
        <v>0</v>
      </c>
      <c r="J20" s="13">
        <f t="shared" si="7"/>
        <v>1.5239999999999991</v>
      </c>
      <c r="K20" s="2">
        <f t="shared" si="1"/>
        <v>7.9305158571814388E-2</v>
      </c>
    </row>
    <row r="21" spans="1:11" x14ac:dyDescent="0.7">
      <c r="A21" s="15">
        <v>0.5756944444444444</v>
      </c>
      <c r="B21" s="8">
        <v>9.1</v>
      </c>
      <c r="C21" s="8">
        <v>9.6999999999999993</v>
      </c>
      <c r="E21" s="13">
        <f t="shared" si="2"/>
        <v>188.99999999999997</v>
      </c>
      <c r="F21" s="13">
        <f t="shared" si="3"/>
        <v>13.747727084867519</v>
      </c>
      <c r="G21" s="13">
        <f t="shared" si="4"/>
        <v>29.999999999999893</v>
      </c>
      <c r="H21" s="8">
        <f t="shared" si="5"/>
        <v>0.25399999999999912</v>
      </c>
      <c r="I21" s="8">
        <f t="shared" si="6"/>
        <v>0</v>
      </c>
      <c r="J21" s="13">
        <f t="shared" si="7"/>
        <v>1.7779999999999982</v>
      </c>
      <c r="K21" s="2">
        <f t="shared" si="1"/>
        <v>7.2739296745330806E-2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BE1C-117C-4F4A-AAEB-130C7B38FEC6}">
  <sheetPr codeName="Sheet14"/>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44915</v>
      </c>
      <c r="C1" s="7"/>
      <c r="D1" s="17"/>
      <c r="E1" s="12"/>
      <c r="F1" s="12"/>
      <c r="G1" s="12"/>
      <c r="J1" s="12"/>
    </row>
    <row r="2" spans="1:11" x14ac:dyDescent="0.7">
      <c r="A2" s="3" t="s">
        <v>1</v>
      </c>
      <c r="B2" s="6" t="s">
        <v>47</v>
      </c>
    </row>
    <row r="3" spans="1:11" x14ac:dyDescent="0.7">
      <c r="A3" s="3" t="s">
        <v>7</v>
      </c>
      <c r="B3" s="6" t="s">
        <v>27</v>
      </c>
    </row>
    <row r="4" spans="1:11" x14ac:dyDescent="0.7">
      <c r="A4" s="3" t="s">
        <v>5</v>
      </c>
      <c r="B4" s="6" t="s">
        <v>52</v>
      </c>
    </row>
    <row r="5" spans="1:11" x14ac:dyDescent="0.7">
      <c r="A5" s="3" t="s">
        <v>6</v>
      </c>
      <c r="B5" s="6" t="s">
        <v>51</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0.4597222222222222</v>
      </c>
      <c r="B9" s="8">
        <v>9.4</v>
      </c>
      <c r="C9" s="8">
        <v>10.6</v>
      </c>
      <c r="E9" s="14">
        <v>0</v>
      </c>
      <c r="F9" s="14" t="s">
        <v>14</v>
      </c>
      <c r="G9" s="14">
        <v>0</v>
      </c>
      <c r="H9" s="14">
        <v>0</v>
      </c>
      <c r="I9" s="14">
        <v>0</v>
      </c>
      <c r="J9" s="11" t="s">
        <v>14</v>
      </c>
    </row>
    <row r="10" spans="1:11" x14ac:dyDescent="0.7">
      <c r="A10" s="15">
        <v>0.4604166666666667</v>
      </c>
      <c r="B10" s="8">
        <v>9.5</v>
      </c>
      <c r="C10" s="8">
        <v>10.6</v>
      </c>
      <c r="E10" s="13">
        <f>(A10-A$9)*24*60</f>
        <v>1.0000000000000764</v>
      </c>
      <c r="F10" s="13">
        <f>SQRT(E10)</f>
        <v>1.0000000000000382</v>
      </c>
      <c r="G10" s="13">
        <f>(A10-A9)*24*60</f>
        <v>1.0000000000000764</v>
      </c>
      <c r="H10" s="8">
        <f>2.54*(B10-B9)</f>
        <v>0.25399999999999912</v>
      </c>
      <c r="I10" s="8">
        <f t="shared" ref="I10:I21" si="0">2.54*(C10-C9)</f>
        <v>0</v>
      </c>
      <c r="J10" s="13">
        <f>SUM(H10,J9)</f>
        <v>0.25399999999999912</v>
      </c>
      <c r="K10" s="2">
        <f t="shared" ref="K10:K21" si="1">1/SQRT(E10)</f>
        <v>0.99999999999996181</v>
      </c>
    </row>
    <row r="11" spans="1:11" x14ac:dyDescent="0.7">
      <c r="A11" s="15">
        <v>0.46111111111111108</v>
      </c>
      <c r="B11" s="8">
        <v>9.5</v>
      </c>
      <c r="C11" s="8">
        <v>10.6</v>
      </c>
      <c r="E11" s="13">
        <f t="shared" ref="E11:E21" si="2">(A11-A$9)*24*60</f>
        <v>1.9999999999999929</v>
      </c>
      <c r="F11" s="13">
        <f t="shared" ref="F11:F21" si="3">SQRT(E11)</f>
        <v>1.4142135623730925</v>
      </c>
      <c r="G11" s="13">
        <f t="shared" ref="G11:G21" si="4">(A11-A10)*24*60</f>
        <v>0.99999999999991651</v>
      </c>
      <c r="H11" s="8">
        <f t="shared" ref="H11:H21" si="5">2.54*(B11-B10)</f>
        <v>0</v>
      </c>
      <c r="I11" s="8">
        <f t="shared" si="0"/>
        <v>0</v>
      </c>
      <c r="J11" s="13">
        <f t="shared" ref="J11:J21" si="6">SUM(H11,J10)</f>
        <v>0.25399999999999912</v>
      </c>
      <c r="K11" s="2">
        <f t="shared" si="1"/>
        <v>0.70710678118654879</v>
      </c>
    </row>
    <row r="12" spans="1:11" x14ac:dyDescent="0.7">
      <c r="A12" s="15">
        <v>0.46180555555555558</v>
      </c>
      <c r="B12" s="8">
        <v>9.5</v>
      </c>
      <c r="C12" s="8">
        <v>10.6</v>
      </c>
      <c r="E12" s="13">
        <f t="shared" si="2"/>
        <v>3.0000000000000693</v>
      </c>
      <c r="F12" s="13">
        <f t="shared" si="3"/>
        <v>1.7320508075688974</v>
      </c>
      <c r="G12" s="13">
        <f t="shared" si="4"/>
        <v>1.0000000000000764</v>
      </c>
      <c r="H12" s="8">
        <f t="shared" si="5"/>
        <v>0</v>
      </c>
      <c r="I12" s="8">
        <f t="shared" si="0"/>
        <v>0</v>
      </c>
      <c r="J12" s="13">
        <f t="shared" si="6"/>
        <v>0.25399999999999912</v>
      </c>
      <c r="K12" s="2">
        <f t="shared" si="1"/>
        <v>0.57735026918961907</v>
      </c>
    </row>
    <row r="13" spans="1:11" x14ac:dyDescent="0.7">
      <c r="A13" s="15">
        <v>0.46249999999999997</v>
      </c>
      <c r="B13" s="8">
        <v>9.5</v>
      </c>
      <c r="C13" s="8">
        <v>10.6</v>
      </c>
      <c r="E13" s="13">
        <f t="shared" si="2"/>
        <v>3.9999999999999858</v>
      </c>
      <c r="F13" s="13">
        <f t="shared" si="3"/>
        <v>1.9999999999999964</v>
      </c>
      <c r="G13" s="13">
        <f t="shared" si="4"/>
        <v>0.99999999999991651</v>
      </c>
      <c r="H13" s="8">
        <f t="shared" si="5"/>
        <v>0</v>
      </c>
      <c r="I13" s="8">
        <f t="shared" si="0"/>
        <v>0</v>
      </c>
      <c r="J13" s="13">
        <f t="shared" si="6"/>
        <v>0.25399999999999912</v>
      </c>
      <c r="K13" s="2">
        <f t="shared" si="1"/>
        <v>0.50000000000000089</v>
      </c>
    </row>
    <row r="14" spans="1:11" x14ac:dyDescent="0.7">
      <c r="A14" s="15">
        <v>0.46597222222222223</v>
      </c>
      <c r="B14" s="9">
        <v>9.5</v>
      </c>
      <c r="C14" s="9">
        <v>10.6</v>
      </c>
      <c r="E14" s="13">
        <f t="shared" si="2"/>
        <v>9.000000000000048</v>
      </c>
      <c r="F14" s="13">
        <f t="shared" si="3"/>
        <v>3.000000000000008</v>
      </c>
      <c r="G14" s="13">
        <f t="shared" si="4"/>
        <v>5.0000000000000622</v>
      </c>
      <c r="H14" s="8">
        <f t="shared" si="5"/>
        <v>0</v>
      </c>
      <c r="I14" s="8">
        <f t="shared" si="0"/>
        <v>0</v>
      </c>
      <c r="J14" s="13">
        <f t="shared" si="6"/>
        <v>0.25399999999999912</v>
      </c>
      <c r="K14" s="2">
        <f t="shared" si="1"/>
        <v>0.33333333333333243</v>
      </c>
    </row>
    <row r="15" spans="1:11" x14ac:dyDescent="0.7">
      <c r="A15" s="15">
        <v>0.47291666666666665</v>
      </c>
      <c r="B15" s="8">
        <v>9.5</v>
      </c>
      <c r="C15" s="8">
        <v>10.6</v>
      </c>
      <c r="E15" s="13">
        <f t="shared" si="2"/>
        <v>19.000000000000014</v>
      </c>
      <c r="F15" s="13">
        <f t="shared" si="3"/>
        <v>4.3588989435406749</v>
      </c>
      <c r="G15" s="13">
        <f t="shared" si="4"/>
        <v>9.9999999999999645</v>
      </c>
      <c r="H15" s="8">
        <f t="shared" si="5"/>
        <v>0</v>
      </c>
      <c r="I15" s="8">
        <f t="shared" si="0"/>
        <v>0</v>
      </c>
      <c r="J15" s="13">
        <f t="shared" si="6"/>
        <v>0.25399999999999912</v>
      </c>
      <c r="K15" s="2">
        <f t="shared" si="1"/>
        <v>0.22941573387056169</v>
      </c>
    </row>
    <row r="16" spans="1:11" x14ac:dyDescent="0.7">
      <c r="A16" s="15">
        <v>0.48680555555555555</v>
      </c>
      <c r="B16" s="8">
        <v>9.5</v>
      </c>
      <c r="C16" s="8">
        <v>10.7</v>
      </c>
      <c r="D16" s="2"/>
      <c r="E16" s="13">
        <f t="shared" si="2"/>
        <v>39.000000000000021</v>
      </c>
      <c r="F16" s="13">
        <f t="shared" si="3"/>
        <v>6.2449979983984001</v>
      </c>
      <c r="G16" s="13">
        <f t="shared" si="4"/>
        <v>20.000000000000007</v>
      </c>
      <c r="H16" s="8">
        <f t="shared" si="5"/>
        <v>0</v>
      </c>
      <c r="I16" s="8">
        <f t="shared" si="0"/>
        <v>0.25399999999999912</v>
      </c>
      <c r="J16" s="13">
        <f t="shared" si="6"/>
        <v>0.25399999999999912</v>
      </c>
      <c r="K16" s="2">
        <f t="shared" si="1"/>
        <v>0.16012815380508708</v>
      </c>
    </row>
    <row r="17" spans="1:11" x14ac:dyDescent="0.7">
      <c r="A17" s="15">
        <v>0.50763888888888886</v>
      </c>
      <c r="B17" s="8">
        <v>9.5</v>
      </c>
      <c r="C17" s="8">
        <v>10.7</v>
      </c>
      <c r="E17" s="13">
        <f t="shared" si="2"/>
        <v>69</v>
      </c>
      <c r="F17" s="13">
        <f t="shared" si="3"/>
        <v>8.3066238629180749</v>
      </c>
      <c r="G17" s="13">
        <f t="shared" si="4"/>
        <v>29.999999999999972</v>
      </c>
      <c r="H17" s="8">
        <f t="shared" si="5"/>
        <v>0</v>
      </c>
      <c r="I17" s="8">
        <f t="shared" si="0"/>
        <v>0</v>
      </c>
      <c r="J17" s="13">
        <f t="shared" si="6"/>
        <v>0.25399999999999912</v>
      </c>
      <c r="K17" s="2">
        <f t="shared" si="1"/>
        <v>0.1203858530857692</v>
      </c>
    </row>
    <row r="18" spans="1:11" x14ac:dyDescent="0.7">
      <c r="A18" s="15">
        <v>0.52847222222222223</v>
      </c>
      <c r="B18" s="8">
        <v>9.5</v>
      </c>
      <c r="C18" s="8">
        <v>10.7</v>
      </c>
      <c r="E18" s="13">
        <f t="shared" si="2"/>
        <v>99.000000000000043</v>
      </c>
      <c r="F18" s="13">
        <f t="shared" si="3"/>
        <v>9.9498743710662012</v>
      </c>
      <c r="G18" s="13">
        <f t="shared" si="4"/>
        <v>30.000000000000053</v>
      </c>
      <c r="H18" s="8">
        <f t="shared" si="5"/>
        <v>0</v>
      </c>
      <c r="I18" s="8">
        <f t="shared" si="0"/>
        <v>0</v>
      </c>
      <c r="J18" s="13">
        <f t="shared" si="6"/>
        <v>0.25399999999999912</v>
      </c>
      <c r="K18" s="2">
        <f t="shared" si="1"/>
        <v>0.1005037815259212</v>
      </c>
    </row>
    <row r="19" spans="1:11" x14ac:dyDescent="0.7">
      <c r="A19" s="15">
        <v>0.5493055555555556</v>
      </c>
      <c r="B19" s="8">
        <v>9.5500000000000007</v>
      </c>
      <c r="C19" s="8">
        <v>10.7</v>
      </c>
      <c r="E19" s="13">
        <f t="shared" si="2"/>
        <v>129.00000000000011</v>
      </c>
      <c r="F19" s="13">
        <f t="shared" si="3"/>
        <v>11.357816691600553</v>
      </c>
      <c r="G19" s="13">
        <f t="shared" si="4"/>
        <v>30.000000000000053</v>
      </c>
      <c r="H19" s="8">
        <f t="shared" si="5"/>
        <v>0.12700000000000181</v>
      </c>
      <c r="I19" s="8">
        <f t="shared" si="0"/>
        <v>0</v>
      </c>
      <c r="J19" s="13">
        <f t="shared" si="6"/>
        <v>0.38100000000000089</v>
      </c>
      <c r="K19" s="2">
        <f t="shared" si="1"/>
        <v>8.8045090632562342E-2</v>
      </c>
    </row>
    <row r="20" spans="1:11" x14ac:dyDescent="0.7">
      <c r="A20" s="15">
        <v>0.57013888888888886</v>
      </c>
      <c r="B20" s="9">
        <v>9.5500000000000007</v>
      </c>
      <c r="C20" s="9">
        <v>10.7</v>
      </c>
      <c r="E20" s="13">
        <f t="shared" si="2"/>
        <v>159</v>
      </c>
      <c r="F20" s="13">
        <f t="shared" si="3"/>
        <v>12.609520212918492</v>
      </c>
      <c r="G20" s="13">
        <f t="shared" si="4"/>
        <v>29.999999999999893</v>
      </c>
      <c r="H20" s="8">
        <f t="shared" si="5"/>
        <v>0</v>
      </c>
      <c r="I20" s="8">
        <f t="shared" si="0"/>
        <v>0</v>
      </c>
      <c r="J20" s="13">
        <f t="shared" si="6"/>
        <v>0.38100000000000089</v>
      </c>
      <c r="K20" s="2">
        <f t="shared" si="1"/>
        <v>7.9305158571814416E-2</v>
      </c>
    </row>
    <row r="21" spans="1:11" x14ac:dyDescent="0.7">
      <c r="A21" s="15">
        <v>0.59097222222222223</v>
      </c>
      <c r="B21" s="8">
        <v>9.6</v>
      </c>
      <c r="C21" s="8">
        <v>10.7</v>
      </c>
      <c r="E21" s="13">
        <f t="shared" si="2"/>
        <v>189.00000000000006</v>
      </c>
      <c r="F21" s="13">
        <f t="shared" si="3"/>
        <v>13.747727084867522</v>
      </c>
      <c r="G21" s="13">
        <f t="shared" si="4"/>
        <v>30.000000000000053</v>
      </c>
      <c r="H21" s="8">
        <f t="shared" si="5"/>
        <v>0.12699999999999728</v>
      </c>
      <c r="I21" s="8">
        <f t="shared" si="0"/>
        <v>0</v>
      </c>
      <c r="J21" s="13">
        <f t="shared" si="6"/>
        <v>0.50799999999999823</v>
      </c>
      <c r="K21" s="2">
        <f t="shared" si="1"/>
        <v>7.2739296745330778E-2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1967-F26B-4F0B-B6BC-EAEA820ABECF}">
  <sheetPr codeName="Sheet15"/>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44931</v>
      </c>
      <c r="C1" s="7"/>
      <c r="D1" s="17"/>
      <c r="E1" s="12"/>
      <c r="F1" s="12"/>
      <c r="G1" s="12"/>
      <c r="J1" s="12"/>
    </row>
    <row r="2" spans="1:11" x14ac:dyDescent="0.7">
      <c r="A2" s="3" t="s">
        <v>1</v>
      </c>
      <c r="B2" s="6" t="s">
        <v>47</v>
      </c>
    </row>
    <row r="3" spans="1:11" x14ac:dyDescent="0.7">
      <c r="A3" s="3" t="s">
        <v>7</v>
      </c>
      <c r="B3" s="6" t="s">
        <v>27</v>
      </c>
    </row>
    <row r="4" spans="1:11" x14ac:dyDescent="0.7">
      <c r="A4" s="3" t="s">
        <v>5</v>
      </c>
      <c r="B4" s="6" t="s">
        <v>56</v>
      </c>
    </row>
    <row r="5" spans="1:11" x14ac:dyDescent="0.7">
      <c r="A5" s="3" t="s">
        <v>6</v>
      </c>
      <c r="B5" s="6" t="s">
        <v>55</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0.43541666666666662</v>
      </c>
      <c r="B9" s="8">
        <v>10.6</v>
      </c>
      <c r="C9" s="8">
        <v>10.8</v>
      </c>
      <c r="E9" s="14">
        <v>0</v>
      </c>
      <c r="F9" s="14" t="s">
        <v>14</v>
      </c>
      <c r="G9" s="14">
        <v>0</v>
      </c>
      <c r="H9" s="14">
        <v>0</v>
      </c>
      <c r="I9" s="14">
        <v>0</v>
      </c>
      <c r="J9" s="11" t="s">
        <v>14</v>
      </c>
    </row>
    <row r="10" spans="1:11" x14ac:dyDescent="0.7">
      <c r="A10" s="15">
        <v>0.43611111111111112</v>
      </c>
      <c r="B10" s="8">
        <v>10.8</v>
      </c>
      <c r="C10" s="8">
        <v>10.9</v>
      </c>
      <c r="E10" s="13">
        <f>(A10-A$9)*24*60</f>
        <v>1.0000000000000764</v>
      </c>
      <c r="F10" s="13">
        <f>SQRT(E10)</f>
        <v>1.0000000000000382</v>
      </c>
      <c r="G10" s="13">
        <f>(A10-A9)*24*60</f>
        <v>1.0000000000000764</v>
      </c>
      <c r="H10" s="8">
        <f>2.54*(B10-B9)</f>
        <v>0.50800000000000267</v>
      </c>
      <c r="I10" s="8">
        <f t="shared" ref="I10:I21" si="0">2.54*(C10-C9)</f>
        <v>0.25399999999999912</v>
      </c>
      <c r="J10" s="13">
        <f>SUM(H10,J9)</f>
        <v>0.50800000000000267</v>
      </c>
      <c r="K10" s="2">
        <f t="shared" ref="K10:K21" si="1">1/SQRT(E10)</f>
        <v>0.99999999999996181</v>
      </c>
    </row>
    <row r="11" spans="1:11" x14ac:dyDescent="0.7">
      <c r="A11" s="15">
        <v>0.4368055555555555</v>
      </c>
      <c r="B11" s="8">
        <v>10.8</v>
      </c>
      <c r="C11" s="8">
        <v>10.9</v>
      </c>
      <c r="E11" s="13">
        <f t="shared" ref="E11:E21" si="2">(A11-A$9)*24*60</f>
        <v>1.9999999999999929</v>
      </c>
      <c r="F11" s="13">
        <f t="shared" ref="F11:F21" si="3">SQRT(E11)</f>
        <v>1.4142135623730925</v>
      </c>
      <c r="G11" s="13">
        <f t="shared" ref="G11:G21" si="4">(A11-A10)*24*60</f>
        <v>0.99999999999991651</v>
      </c>
      <c r="H11" s="8">
        <f t="shared" ref="H11:H21" si="5">2.54*(B11-B10)</f>
        <v>0</v>
      </c>
      <c r="I11" s="8">
        <f t="shared" si="0"/>
        <v>0</v>
      </c>
      <c r="J11" s="13">
        <f t="shared" ref="J11:J21" si="6">SUM(H11,J10)</f>
        <v>0.50800000000000267</v>
      </c>
      <c r="K11" s="2">
        <f t="shared" si="1"/>
        <v>0.70710678118654879</v>
      </c>
    </row>
    <row r="12" spans="1:11" x14ac:dyDescent="0.7">
      <c r="A12" s="15">
        <v>0.4375</v>
      </c>
      <c r="B12" s="8">
        <v>10.85</v>
      </c>
      <c r="C12" s="8">
        <v>10.9</v>
      </c>
      <c r="E12" s="13">
        <f t="shared" si="2"/>
        <v>3.0000000000000693</v>
      </c>
      <c r="F12" s="13">
        <f t="shared" si="3"/>
        <v>1.7320508075688974</v>
      </c>
      <c r="G12" s="13">
        <f t="shared" si="4"/>
        <v>1.0000000000000764</v>
      </c>
      <c r="H12" s="8">
        <f t="shared" si="5"/>
        <v>0.12699999999999728</v>
      </c>
      <c r="I12" s="8">
        <f t="shared" si="0"/>
        <v>0</v>
      </c>
      <c r="J12" s="13">
        <f t="shared" si="6"/>
        <v>0.63500000000000001</v>
      </c>
      <c r="K12" s="2">
        <f t="shared" si="1"/>
        <v>0.57735026918961907</v>
      </c>
    </row>
    <row r="13" spans="1:11" x14ac:dyDescent="0.7">
      <c r="A13" s="15">
        <v>0.4381944444444445</v>
      </c>
      <c r="B13" s="8">
        <v>10.85</v>
      </c>
      <c r="C13" s="8">
        <v>11</v>
      </c>
      <c r="E13" s="13">
        <f t="shared" si="2"/>
        <v>4.0000000000001457</v>
      </c>
      <c r="F13" s="13">
        <f t="shared" si="3"/>
        <v>2.0000000000000364</v>
      </c>
      <c r="G13" s="13">
        <f t="shared" si="4"/>
        <v>1.0000000000000764</v>
      </c>
      <c r="H13" s="8">
        <f t="shared" si="5"/>
        <v>0</v>
      </c>
      <c r="I13" s="8">
        <f t="shared" si="0"/>
        <v>0.25399999999999912</v>
      </c>
      <c r="J13" s="13">
        <f t="shared" si="6"/>
        <v>0.63500000000000001</v>
      </c>
      <c r="K13" s="2">
        <f t="shared" si="1"/>
        <v>0.4999999999999909</v>
      </c>
    </row>
    <row r="14" spans="1:11" x14ac:dyDescent="0.7">
      <c r="A14" s="15">
        <v>0.44166666666666665</v>
      </c>
      <c r="B14" s="9">
        <v>10.85</v>
      </c>
      <c r="C14" s="9">
        <v>11</v>
      </c>
      <c r="E14" s="13">
        <f t="shared" si="2"/>
        <v>9.000000000000048</v>
      </c>
      <c r="F14" s="13">
        <f t="shared" si="3"/>
        <v>3.000000000000008</v>
      </c>
      <c r="G14" s="13">
        <f t="shared" si="4"/>
        <v>4.9999999999999023</v>
      </c>
      <c r="H14" s="8">
        <f t="shared" si="5"/>
        <v>0</v>
      </c>
      <c r="I14" s="8">
        <f t="shared" si="0"/>
        <v>0</v>
      </c>
      <c r="J14" s="13">
        <f t="shared" si="6"/>
        <v>0.63500000000000001</v>
      </c>
      <c r="K14" s="2">
        <f t="shared" si="1"/>
        <v>0.33333333333333243</v>
      </c>
    </row>
    <row r="15" spans="1:11" x14ac:dyDescent="0.7">
      <c r="A15" s="15">
        <v>0.44861111111111113</v>
      </c>
      <c r="B15" s="8">
        <v>10.85</v>
      </c>
      <c r="C15" s="8">
        <v>11.15</v>
      </c>
      <c r="E15" s="13">
        <f t="shared" si="2"/>
        <v>19.000000000000092</v>
      </c>
      <c r="F15" s="13">
        <f t="shared" si="3"/>
        <v>4.3588989435406837</v>
      </c>
      <c r="G15" s="13">
        <f t="shared" si="4"/>
        <v>10.000000000000044</v>
      </c>
      <c r="H15" s="8">
        <f t="shared" si="5"/>
        <v>0</v>
      </c>
      <c r="I15" s="8">
        <f t="shared" si="0"/>
        <v>0.38100000000000089</v>
      </c>
      <c r="J15" s="13">
        <f t="shared" si="6"/>
        <v>0.63500000000000001</v>
      </c>
      <c r="K15" s="2">
        <f t="shared" si="1"/>
        <v>0.22941573387056122</v>
      </c>
    </row>
    <row r="16" spans="1:11" x14ac:dyDescent="0.7">
      <c r="A16" s="15">
        <v>0.46249999999999997</v>
      </c>
      <c r="B16" s="8">
        <v>11</v>
      </c>
      <c r="C16" s="8">
        <v>11.2</v>
      </c>
      <c r="D16" s="2"/>
      <c r="E16" s="13">
        <f t="shared" si="2"/>
        <v>39.000000000000021</v>
      </c>
      <c r="F16" s="13">
        <f t="shared" si="3"/>
        <v>6.2449979983984001</v>
      </c>
      <c r="G16" s="13">
        <f t="shared" si="4"/>
        <v>19.999999999999929</v>
      </c>
      <c r="H16" s="8">
        <f t="shared" si="5"/>
        <v>0.38100000000000089</v>
      </c>
      <c r="I16" s="8">
        <f t="shared" si="0"/>
        <v>0.12699999999999728</v>
      </c>
      <c r="J16" s="13">
        <f t="shared" si="6"/>
        <v>1.0160000000000009</v>
      </c>
      <c r="K16" s="2">
        <f t="shared" si="1"/>
        <v>0.16012815380508708</v>
      </c>
    </row>
    <row r="17" spans="1:11" x14ac:dyDescent="0.7">
      <c r="A17" s="15">
        <v>0.48333333333333334</v>
      </c>
      <c r="B17" s="8">
        <v>11.1</v>
      </c>
      <c r="C17" s="8">
        <v>11.5</v>
      </c>
      <c r="E17" s="13">
        <f t="shared" si="2"/>
        <v>69.000000000000071</v>
      </c>
      <c r="F17" s="13">
        <f t="shared" si="3"/>
        <v>8.3066238629180784</v>
      </c>
      <c r="G17" s="13">
        <f t="shared" si="4"/>
        <v>30.000000000000053</v>
      </c>
      <c r="H17" s="8">
        <f t="shared" si="5"/>
        <v>0.25399999999999912</v>
      </c>
      <c r="I17" s="8">
        <f t="shared" si="0"/>
        <v>0.76200000000000179</v>
      </c>
      <c r="J17" s="13">
        <f t="shared" si="6"/>
        <v>1.27</v>
      </c>
      <c r="K17" s="2">
        <f t="shared" si="1"/>
        <v>0.12038585308576914</v>
      </c>
    </row>
    <row r="18" spans="1:11" x14ac:dyDescent="0.7">
      <c r="A18" s="15">
        <v>0.50416666666666665</v>
      </c>
      <c r="B18" s="8">
        <v>11.3</v>
      </c>
      <c r="C18" s="8">
        <v>11.7</v>
      </c>
      <c r="E18" s="13">
        <f t="shared" si="2"/>
        <v>99.000000000000043</v>
      </c>
      <c r="F18" s="13">
        <f t="shared" si="3"/>
        <v>9.9498743710662012</v>
      </c>
      <c r="G18" s="13">
        <f t="shared" si="4"/>
        <v>29.999999999999972</v>
      </c>
      <c r="H18" s="8">
        <f t="shared" si="5"/>
        <v>0.50800000000000267</v>
      </c>
      <c r="I18" s="8">
        <f t="shared" si="0"/>
        <v>0.50799999999999823</v>
      </c>
      <c r="J18" s="13">
        <f t="shared" si="6"/>
        <v>1.7780000000000027</v>
      </c>
      <c r="K18" s="2">
        <f t="shared" si="1"/>
        <v>0.1005037815259212</v>
      </c>
    </row>
    <row r="19" spans="1:11" x14ac:dyDescent="0.7">
      <c r="A19" s="15">
        <v>0.52500000000000002</v>
      </c>
      <c r="B19" s="8">
        <v>11.4</v>
      </c>
      <c r="C19" s="8">
        <v>11.7</v>
      </c>
      <c r="E19" s="13">
        <f t="shared" si="2"/>
        <v>129.00000000000011</v>
      </c>
      <c r="F19" s="13">
        <f t="shared" si="3"/>
        <v>11.357816691600553</v>
      </c>
      <c r="G19" s="13">
        <f t="shared" si="4"/>
        <v>30.000000000000053</v>
      </c>
      <c r="H19" s="8">
        <f t="shared" si="5"/>
        <v>0.25399999999999912</v>
      </c>
      <c r="I19" s="8">
        <f t="shared" si="0"/>
        <v>0</v>
      </c>
      <c r="J19" s="13">
        <f t="shared" si="6"/>
        <v>2.0320000000000018</v>
      </c>
      <c r="K19" s="2">
        <f t="shared" si="1"/>
        <v>8.8045090632562342E-2</v>
      </c>
    </row>
    <row r="20" spans="1:11" x14ac:dyDescent="0.7">
      <c r="A20" s="15">
        <v>0.54583333333333328</v>
      </c>
      <c r="B20" s="9">
        <v>11.5</v>
      </c>
      <c r="C20" s="9">
        <v>11.9</v>
      </c>
      <c r="E20" s="13">
        <f t="shared" si="2"/>
        <v>159</v>
      </c>
      <c r="F20" s="13">
        <f t="shared" si="3"/>
        <v>12.609520212918492</v>
      </c>
      <c r="G20" s="13">
        <f t="shared" si="4"/>
        <v>29.999999999999893</v>
      </c>
      <c r="H20" s="8">
        <f t="shared" si="5"/>
        <v>0.25399999999999912</v>
      </c>
      <c r="I20" s="8">
        <f t="shared" si="0"/>
        <v>0.50800000000000267</v>
      </c>
      <c r="J20" s="13">
        <f t="shared" si="6"/>
        <v>2.2860000000000009</v>
      </c>
      <c r="K20" s="2">
        <f t="shared" si="1"/>
        <v>7.9305158571814416E-2</v>
      </c>
    </row>
    <row r="21" spans="1:11" x14ac:dyDescent="0.7">
      <c r="A21" s="15">
        <v>0.56666666666666665</v>
      </c>
      <c r="B21" s="8">
        <v>11.5</v>
      </c>
      <c r="C21" s="8">
        <v>11.9</v>
      </c>
      <c r="E21" s="13">
        <f t="shared" si="2"/>
        <v>189.00000000000006</v>
      </c>
      <c r="F21" s="13">
        <f t="shared" si="3"/>
        <v>13.747727084867522</v>
      </c>
      <c r="G21" s="13">
        <f t="shared" si="4"/>
        <v>30.000000000000053</v>
      </c>
      <c r="H21" s="8">
        <f t="shared" si="5"/>
        <v>0</v>
      </c>
      <c r="I21" s="8">
        <f t="shared" si="0"/>
        <v>0</v>
      </c>
      <c r="J21" s="13">
        <f t="shared" si="6"/>
        <v>2.2860000000000009</v>
      </c>
      <c r="K21" s="2">
        <f t="shared" si="1"/>
        <v>7.2739296745330778E-2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3D77-EE9D-4369-A31B-52E6C63325C5}">
  <sheetPr codeName="Sheet16"/>
  <dimension ref="A1:K31"/>
  <sheetViews>
    <sheetView workbookViewId="0">
      <selection activeCell="K10" sqref="K10: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44931</v>
      </c>
      <c r="C1" s="7"/>
      <c r="D1" s="17"/>
      <c r="E1" s="12"/>
      <c r="F1" s="12"/>
      <c r="G1" s="12"/>
      <c r="J1" s="12"/>
    </row>
    <row r="2" spans="1:11" x14ac:dyDescent="0.7">
      <c r="A2" s="3" t="s">
        <v>1</v>
      </c>
      <c r="B2" s="6" t="s">
        <v>47</v>
      </c>
    </row>
    <row r="3" spans="1:11" x14ac:dyDescent="0.7">
      <c r="A3" s="3" t="s">
        <v>7</v>
      </c>
      <c r="B3" s="6" t="s">
        <v>27</v>
      </c>
    </row>
    <row r="4" spans="1:11" x14ac:dyDescent="0.7">
      <c r="A4" s="3" t="s">
        <v>5</v>
      </c>
      <c r="B4" s="6" t="s">
        <v>57</v>
      </c>
    </row>
    <row r="5" spans="1:11" x14ac:dyDescent="0.7">
      <c r="A5" s="3" t="s">
        <v>6</v>
      </c>
      <c r="B5" s="6" t="s">
        <v>54</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0.42083333333333334</v>
      </c>
      <c r="B9" s="8">
        <v>8.1</v>
      </c>
      <c r="C9" s="8">
        <v>8.6999999999999993</v>
      </c>
      <c r="E9" s="14">
        <v>0</v>
      </c>
      <c r="F9" s="14" t="s">
        <v>14</v>
      </c>
      <c r="G9" s="14">
        <v>0</v>
      </c>
      <c r="H9" s="14">
        <v>0</v>
      </c>
      <c r="I9" s="14">
        <v>0</v>
      </c>
      <c r="J9" s="11" t="s">
        <v>14</v>
      </c>
    </row>
    <row r="10" spans="1:11" x14ac:dyDescent="0.7">
      <c r="A10" s="15">
        <v>0.42152777777777778</v>
      </c>
      <c r="B10" s="8">
        <v>8.1999999999999993</v>
      </c>
      <c r="C10" s="8">
        <v>8.6999999999999993</v>
      </c>
      <c r="E10" s="13">
        <f>(A10-A$9)*24*60</f>
        <v>0.99999999999999645</v>
      </c>
      <c r="F10" s="13">
        <f>SQRT(E10)</f>
        <v>0.99999999999999822</v>
      </c>
      <c r="G10" s="13">
        <f>(A10-A9)*24*60</f>
        <v>0.99999999999999645</v>
      </c>
      <c r="H10" s="8">
        <f>2.54*(B10-B9)</f>
        <v>0.25399999999999912</v>
      </c>
      <c r="I10" s="8">
        <f t="shared" ref="I10:I21" si="0">2.54*(C10-C9)</f>
        <v>0</v>
      </c>
      <c r="J10" s="13">
        <f>SUM(H10,J9)</f>
        <v>0.25399999999999912</v>
      </c>
      <c r="K10" s="2">
        <f t="shared" ref="K10:K21" si="1">1/SQRT(E10)</f>
        <v>1.0000000000000018</v>
      </c>
    </row>
    <row r="11" spans="1:11" x14ac:dyDescent="0.7">
      <c r="A11" s="15">
        <v>0.42222222222222222</v>
      </c>
      <c r="B11" s="8">
        <v>8.1999999999999993</v>
      </c>
      <c r="C11" s="8">
        <v>8.6999999999999993</v>
      </c>
      <c r="E11" s="13">
        <f t="shared" ref="E11:E21" si="2">(A11-A$9)*24*60</f>
        <v>1.9999999999999929</v>
      </c>
      <c r="F11" s="13">
        <f t="shared" ref="F11:F21" si="3">SQRT(E11)</f>
        <v>1.4142135623730925</v>
      </c>
      <c r="G11" s="13">
        <f t="shared" ref="G11:G21" si="4">(A11-A10)*24*60</f>
        <v>0.99999999999999645</v>
      </c>
      <c r="H11" s="8">
        <f t="shared" ref="H11:H21" si="5">2.54*(B11-B10)</f>
        <v>0</v>
      </c>
      <c r="I11" s="8">
        <f t="shared" si="0"/>
        <v>0</v>
      </c>
      <c r="J11" s="13">
        <f t="shared" ref="J11:J21" si="6">SUM(H11,J10)</f>
        <v>0.25399999999999912</v>
      </c>
      <c r="K11" s="2">
        <f t="shared" si="1"/>
        <v>0.70710678118654879</v>
      </c>
    </row>
    <row r="12" spans="1:11" x14ac:dyDescent="0.7">
      <c r="A12" s="15">
        <v>0.42291666666666666</v>
      </c>
      <c r="B12" s="8">
        <v>8.1999999999999993</v>
      </c>
      <c r="C12" s="8">
        <v>8.6999999999999993</v>
      </c>
      <c r="E12" s="13">
        <f t="shared" si="2"/>
        <v>2.9999999999999893</v>
      </c>
      <c r="F12" s="13">
        <f t="shared" si="3"/>
        <v>1.7320508075688743</v>
      </c>
      <c r="G12" s="13">
        <f t="shared" si="4"/>
        <v>0.99999999999999645</v>
      </c>
      <c r="H12" s="8">
        <f t="shared" si="5"/>
        <v>0</v>
      </c>
      <c r="I12" s="8">
        <f t="shared" si="0"/>
        <v>0</v>
      </c>
      <c r="J12" s="13">
        <f t="shared" si="6"/>
        <v>0.25399999999999912</v>
      </c>
      <c r="K12" s="2">
        <f t="shared" si="1"/>
        <v>0.57735026918962673</v>
      </c>
    </row>
    <row r="13" spans="1:11" x14ac:dyDescent="0.7">
      <c r="A13" s="15">
        <v>0.4236111111111111</v>
      </c>
      <c r="B13" s="8">
        <v>8.1999999999999993</v>
      </c>
      <c r="C13" s="8">
        <v>8.6999999999999993</v>
      </c>
      <c r="E13" s="13">
        <f t="shared" si="2"/>
        <v>3.9999999999999858</v>
      </c>
      <c r="F13" s="13">
        <f t="shared" si="3"/>
        <v>1.9999999999999964</v>
      </c>
      <c r="G13" s="13">
        <f t="shared" si="4"/>
        <v>0.99999999999999645</v>
      </c>
      <c r="H13" s="8">
        <f t="shared" si="5"/>
        <v>0</v>
      </c>
      <c r="I13" s="8">
        <f t="shared" si="0"/>
        <v>0</v>
      </c>
      <c r="J13" s="13">
        <f t="shared" si="6"/>
        <v>0.25399999999999912</v>
      </c>
      <c r="K13" s="2">
        <f t="shared" si="1"/>
        <v>0.50000000000000089</v>
      </c>
    </row>
    <row r="14" spans="1:11" x14ac:dyDescent="0.7">
      <c r="A14" s="15">
        <v>0.42708333333333331</v>
      </c>
      <c r="B14" s="9">
        <v>8.1999999999999993</v>
      </c>
      <c r="C14" s="9">
        <v>8.6999999999999993</v>
      </c>
      <c r="E14" s="13">
        <f t="shared" si="2"/>
        <v>8.999999999999968</v>
      </c>
      <c r="F14" s="13">
        <f t="shared" si="3"/>
        <v>2.9999999999999947</v>
      </c>
      <c r="G14" s="13">
        <f t="shared" si="4"/>
        <v>4.9999999999999822</v>
      </c>
      <c r="H14" s="8">
        <f t="shared" si="5"/>
        <v>0</v>
      </c>
      <c r="I14" s="8">
        <f t="shared" si="0"/>
        <v>0</v>
      </c>
      <c r="J14" s="13">
        <f t="shared" si="6"/>
        <v>0.25399999999999912</v>
      </c>
      <c r="K14" s="2">
        <f t="shared" si="1"/>
        <v>0.33333333333333393</v>
      </c>
    </row>
    <row r="15" spans="1:11" x14ac:dyDescent="0.7">
      <c r="A15" s="15">
        <v>0.43402777777777773</v>
      </c>
      <c r="B15" s="8">
        <v>8.1999999999999993</v>
      </c>
      <c r="C15" s="8">
        <v>8.6999999999999993</v>
      </c>
      <c r="E15" s="13">
        <f t="shared" si="2"/>
        <v>18.999999999999932</v>
      </c>
      <c r="F15" s="13">
        <f t="shared" si="3"/>
        <v>4.358898943540666</v>
      </c>
      <c r="G15" s="13">
        <f t="shared" si="4"/>
        <v>9.9999999999999645</v>
      </c>
      <c r="H15" s="8">
        <f t="shared" si="5"/>
        <v>0</v>
      </c>
      <c r="I15" s="8">
        <f t="shared" si="0"/>
        <v>0</v>
      </c>
      <c r="J15" s="13">
        <f t="shared" si="6"/>
        <v>0.25399999999999912</v>
      </c>
      <c r="K15" s="2">
        <f t="shared" si="1"/>
        <v>0.22941573387056216</v>
      </c>
    </row>
    <row r="16" spans="1:11" x14ac:dyDescent="0.7">
      <c r="A16" s="15">
        <v>0.44791666666666669</v>
      </c>
      <c r="B16" s="8">
        <v>8.25</v>
      </c>
      <c r="C16" s="8">
        <v>8.9</v>
      </c>
      <c r="D16" s="2"/>
      <c r="E16" s="13">
        <f t="shared" si="2"/>
        <v>39.000000000000021</v>
      </c>
      <c r="F16" s="13">
        <f t="shared" si="3"/>
        <v>6.2449979983984001</v>
      </c>
      <c r="G16" s="13">
        <f t="shared" si="4"/>
        <v>20.000000000000089</v>
      </c>
      <c r="H16" s="8">
        <f t="shared" si="5"/>
        <v>0.12700000000000181</v>
      </c>
      <c r="I16" s="8">
        <f t="shared" si="0"/>
        <v>0.50800000000000267</v>
      </c>
      <c r="J16" s="13">
        <f t="shared" si="6"/>
        <v>0.38100000000000089</v>
      </c>
      <c r="K16" s="2">
        <f t="shared" si="1"/>
        <v>0.16012815380508708</v>
      </c>
    </row>
    <row r="17" spans="1:11" x14ac:dyDescent="0.7">
      <c r="A17" s="15">
        <v>0.46875</v>
      </c>
      <c r="B17" s="8">
        <v>8.3000000000000007</v>
      </c>
      <c r="C17" s="8">
        <v>8.9</v>
      </c>
      <c r="E17" s="13">
        <f t="shared" si="2"/>
        <v>69</v>
      </c>
      <c r="F17" s="13">
        <f t="shared" si="3"/>
        <v>8.3066238629180749</v>
      </c>
      <c r="G17" s="13">
        <f t="shared" si="4"/>
        <v>29.999999999999972</v>
      </c>
      <c r="H17" s="8">
        <f t="shared" si="5"/>
        <v>0.12700000000000181</v>
      </c>
      <c r="I17" s="8">
        <f t="shared" si="0"/>
        <v>0</v>
      </c>
      <c r="J17" s="13">
        <f t="shared" si="6"/>
        <v>0.50800000000000267</v>
      </c>
      <c r="K17" s="2">
        <f t="shared" si="1"/>
        <v>0.1203858530857692</v>
      </c>
    </row>
    <row r="18" spans="1:11" x14ac:dyDescent="0.7">
      <c r="A18" s="15">
        <v>0.48958333333333331</v>
      </c>
      <c r="B18" s="8">
        <v>8.3000000000000007</v>
      </c>
      <c r="C18" s="8">
        <v>8.9</v>
      </c>
      <c r="E18" s="13">
        <f t="shared" si="2"/>
        <v>98.999999999999972</v>
      </c>
      <c r="F18" s="13">
        <f t="shared" si="3"/>
        <v>9.9498743710661977</v>
      </c>
      <c r="G18" s="13">
        <f t="shared" si="4"/>
        <v>29.999999999999972</v>
      </c>
      <c r="H18" s="8">
        <f t="shared" si="5"/>
        <v>0</v>
      </c>
      <c r="I18" s="8">
        <f t="shared" si="0"/>
        <v>0</v>
      </c>
      <c r="J18" s="13">
        <f t="shared" si="6"/>
        <v>0.50800000000000267</v>
      </c>
      <c r="K18" s="2">
        <f t="shared" si="1"/>
        <v>0.10050378152592122</v>
      </c>
    </row>
    <row r="19" spans="1:11" x14ac:dyDescent="0.7">
      <c r="A19" s="15">
        <v>0.51041666666666663</v>
      </c>
      <c r="B19" s="8">
        <v>8.35</v>
      </c>
      <c r="C19" s="8">
        <v>8.9499999999999993</v>
      </c>
      <c r="E19" s="13">
        <f t="shared" si="2"/>
        <v>128.99999999999994</v>
      </c>
      <c r="F19" s="13">
        <f t="shared" si="3"/>
        <v>11.357816691600545</v>
      </c>
      <c r="G19" s="13">
        <f t="shared" si="4"/>
        <v>29.999999999999972</v>
      </c>
      <c r="H19" s="8">
        <f t="shared" si="5"/>
        <v>0.12699999999999728</v>
      </c>
      <c r="I19" s="8">
        <f t="shared" si="0"/>
        <v>0.12699999999999728</v>
      </c>
      <c r="J19" s="13">
        <f t="shared" si="6"/>
        <v>0.63500000000000001</v>
      </c>
      <c r="K19" s="2">
        <f t="shared" si="1"/>
        <v>8.8045090632562398E-2</v>
      </c>
    </row>
    <row r="20" spans="1:11" x14ac:dyDescent="0.7">
      <c r="A20" s="15">
        <v>0.53125</v>
      </c>
      <c r="B20" s="9">
        <v>8.35</v>
      </c>
      <c r="C20" s="9">
        <v>9</v>
      </c>
      <c r="E20" s="13">
        <f t="shared" si="2"/>
        <v>159</v>
      </c>
      <c r="F20" s="13">
        <f t="shared" si="3"/>
        <v>12.609520212918492</v>
      </c>
      <c r="G20" s="13">
        <f t="shared" si="4"/>
        <v>30.000000000000053</v>
      </c>
      <c r="H20" s="8">
        <f t="shared" si="5"/>
        <v>0</v>
      </c>
      <c r="I20" s="8">
        <f t="shared" si="0"/>
        <v>0.12700000000000181</v>
      </c>
      <c r="J20" s="13">
        <f t="shared" si="6"/>
        <v>0.63500000000000001</v>
      </c>
      <c r="K20" s="2">
        <f t="shared" si="1"/>
        <v>7.9305158571814416E-2</v>
      </c>
    </row>
    <row r="21" spans="1:11" x14ac:dyDescent="0.7">
      <c r="A21" s="15">
        <v>0.55208333333333337</v>
      </c>
      <c r="B21" s="8">
        <v>8.4</v>
      </c>
      <c r="C21" s="8">
        <v>9.1</v>
      </c>
      <c r="E21" s="13">
        <f t="shared" si="2"/>
        <v>189.00000000000006</v>
      </c>
      <c r="F21" s="13">
        <f t="shared" si="3"/>
        <v>13.747727084867522</v>
      </c>
      <c r="G21" s="13">
        <f t="shared" si="4"/>
        <v>30.000000000000053</v>
      </c>
      <c r="H21" s="8">
        <f t="shared" si="5"/>
        <v>0.12700000000000181</v>
      </c>
      <c r="I21" s="8">
        <f t="shared" si="0"/>
        <v>0.25399999999999912</v>
      </c>
      <c r="J21" s="13">
        <f t="shared" si="6"/>
        <v>0.76200000000000179</v>
      </c>
      <c r="K21" s="2">
        <f t="shared" si="1"/>
        <v>7.2739296745330778E-2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69F7-4504-45DF-A462-50C42B27B579}">
  <sheetPr codeName="Sheet17"/>
  <dimension ref="A1:K31"/>
  <sheetViews>
    <sheetView workbookViewId="0">
      <selection activeCell="K21" sqref="K21"/>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44931</v>
      </c>
      <c r="C1" s="7"/>
      <c r="D1" s="17"/>
      <c r="E1" s="12"/>
      <c r="F1" s="12"/>
      <c r="G1" s="12"/>
      <c r="J1" s="12"/>
    </row>
    <row r="2" spans="1:11" x14ac:dyDescent="0.7">
      <c r="A2" s="3" t="s">
        <v>1</v>
      </c>
      <c r="B2" s="6" t="s">
        <v>47</v>
      </c>
    </row>
    <row r="3" spans="1:11" x14ac:dyDescent="0.7">
      <c r="A3" s="3" t="s">
        <v>7</v>
      </c>
      <c r="B3" s="6" t="s">
        <v>27</v>
      </c>
    </row>
    <row r="4" spans="1:11" x14ac:dyDescent="0.7">
      <c r="A4" s="3" t="s">
        <v>5</v>
      </c>
      <c r="B4" s="6" t="s">
        <v>77</v>
      </c>
    </row>
    <row r="5" spans="1:11" x14ac:dyDescent="0.7">
      <c r="A5" s="3" t="s">
        <v>6</v>
      </c>
      <c r="B5" s="6" t="s">
        <v>53</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0.40625</v>
      </c>
      <c r="B9" s="8">
        <v>10.3</v>
      </c>
      <c r="C9" s="8">
        <v>10.5</v>
      </c>
      <c r="E9" s="14">
        <v>0</v>
      </c>
      <c r="F9" s="14" t="s">
        <v>14</v>
      </c>
      <c r="G9" s="14">
        <v>0</v>
      </c>
      <c r="H9" s="14">
        <v>0</v>
      </c>
      <c r="I9" s="14">
        <v>0</v>
      </c>
      <c r="J9" s="14">
        <v>0</v>
      </c>
    </row>
    <row r="10" spans="1:11" x14ac:dyDescent="0.7">
      <c r="A10" s="15">
        <v>0.4069444444444445</v>
      </c>
      <c r="B10" s="8">
        <v>10.5</v>
      </c>
      <c r="C10" s="8">
        <v>10.8</v>
      </c>
      <c r="E10" s="13">
        <f>(A10-A$9)*24*60</f>
        <v>1.0000000000000764</v>
      </c>
      <c r="F10" s="13">
        <f>SQRT(E10)</f>
        <v>1.0000000000000382</v>
      </c>
      <c r="G10" s="13">
        <f>(A10-A9)*24*60</f>
        <v>1.0000000000000764</v>
      </c>
      <c r="H10" s="8">
        <f>2.54*(B10-B9)</f>
        <v>0.50799999999999823</v>
      </c>
      <c r="I10" s="8">
        <f t="shared" ref="I10:I21" si="0">2.54*(C10-C9)</f>
        <v>0.76200000000000179</v>
      </c>
      <c r="J10" s="13">
        <f>SUM(H10,J9)</f>
        <v>0.50799999999999823</v>
      </c>
      <c r="K10" s="2">
        <f t="shared" ref="K10:K21" si="1">1/SQRT(E10)</f>
        <v>0.99999999999996181</v>
      </c>
    </row>
    <row r="11" spans="1:11" x14ac:dyDescent="0.7">
      <c r="A11" s="15">
        <v>0.40763888888888888</v>
      </c>
      <c r="B11" s="8">
        <v>10.5</v>
      </c>
      <c r="C11" s="8">
        <v>10.8</v>
      </c>
      <c r="E11" s="13">
        <f t="shared" ref="E11:E21" si="2">(A11-A$9)*24*60</f>
        <v>1.9999999999999929</v>
      </c>
      <c r="F11" s="13">
        <f t="shared" ref="F11:F21" si="3">SQRT(E11)</f>
        <v>1.4142135623730925</v>
      </c>
      <c r="G11" s="13">
        <f t="shared" ref="G11:G21" si="4">(A11-A10)*24*60</f>
        <v>0.99999999999991651</v>
      </c>
      <c r="H11" s="8">
        <f t="shared" ref="H11:H21" si="5">2.54*(B11-B10)</f>
        <v>0</v>
      </c>
      <c r="I11" s="8">
        <f t="shared" si="0"/>
        <v>0</v>
      </c>
      <c r="J11" s="13">
        <f t="shared" ref="J11:J21" si="6">SUM(H11,J10)</f>
        <v>0.50799999999999823</v>
      </c>
      <c r="K11" s="2">
        <f t="shared" si="1"/>
        <v>0.70710678118654879</v>
      </c>
    </row>
    <row r="12" spans="1:11" x14ac:dyDescent="0.7">
      <c r="A12" s="15">
        <v>0.40833333333333338</v>
      </c>
      <c r="B12" s="8">
        <v>10.5</v>
      </c>
      <c r="C12" s="8">
        <v>10.8</v>
      </c>
      <c r="E12" s="13">
        <f t="shared" si="2"/>
        <v>3.0000000000000693</v>
      </c>
      <c r="F12" s="13">
        <f t="shared" si="3"/>
        <v>1.7320508075688974</v>
      </c>
      <c r="G12" s="13">
        <f t="shared" si="4"/>
        <v>1.0000000000000764</v>
      </c>
      <c r="H12" s="8">
        <f t="shared" si="5"/>
        <v>0</v>
      </c>
      <c r="I12" s="8">
        <f t="shared" si="0"/>
        <v>0</v>
      </c>
      <c r="J12" s="13">
        <f t="shared" si="6"/>
        <v>0.50799999999999823</v>
      </c>
      <c r="K12" s="2">
        <f t="shared" si="1"/>
        <v>0.57735026918961907</v>
      </c>
    </row>
    <row r="13" spans="1:11" x14ac:dyDescent="0.7">
      <c r="A13" s="15">
        <v>0.40902777777777777</v>
      </c>
      <c r="B13" s="8">
        <v>10.5</v>
      </c>
      <c r="C13" s="8">
        <v>10.8</v>
      </c>
      <c r="E13" s="13">
        <f t="shared" si="2"/>
        <v>3.9999999999999858</v>
      </c>
      <c r="F13" s="13">
        <f t="shared" si="3"/>
        <v>1.9999999999999964</v>
      </c>
      <c r="G13" s="13">
        <f t="shared" si="4"/>
        <v>0.99999999999991651</v>
      </c>
      <c r="H13" s="8">
        <f t="shared" si="5"/>
        <v>0</v>
      </c>
      <c r="I13" s="8">
        <f t="shared" si="0"/>
        <v>0</v>
      </c>
      <c r="J13" s="13">
        <f t="shared" si="6"/>
        <v>0.50799999999999823</v>
      </c>
      <c r="K13" s="2">
        <f t="shared" si="1"/>
        <v>0.50000000000000089</v>
      </c>
    </row>
    <row r="14" spans="1:11" x14ac:dyDescent="0.7">
      <c r="A14" s="15">
        <v>0.41250000000000003</v>
      </c>
      <c r="B14" s="9">
        <v>10.5</v>
      </c>
      <c r="C14" s="9">
        <v>10.85</v>
      </c>
      <c r="E14" s="13">
        <f t="shared" si="2"/>
        <v>9.000000000000048</v>
      </c>
      <c r="F14" s="13">
        <f t="shared" si="3"/>
        <v>3.000000000000008</v>
      </c>
      <c r="G14" s="13">
        <f t="shared" si="4"/>
        <v>5.0000000000000622</v>
      </c>
      <c r="H14" s="8">
        <f t="shared" si="5"/>
        <v>0</v>
      </c>
      <c r="I14" s="8">
        <f t="shared" si="0"/>
        <v>0.12699999999999728</v>
      </c>
      <c r="J14" s="13">
        <f t="shared" si="6"/>
        <v>0.50799999999999823</v>
      </c>
      <c r="K14" s="2">
        <f t="shared" si="1"/>
        <v>0.33333333333333243</v>
      </c>
    </row>
    <row r="15" spans="1:11" x14ac:dyDescent="0.7">
      <c r="A15" s="15">
        <v>0.41944444444444445</v>
      </c>
      <c r="B15" s="8">
        <v>10.5</v>
      </c>
      <c r="C15" s="8">
        <v>10.85</v>
      </c>
      <c r="E15" s="13">
        <f t="shared" si="2"/>
        <v>19.000000000000014</v>
      </c>
      <c r="F15" s="13">
        <f t="shared" si="3"/>
        <v>4.3588989435406749</v>
      </c>
      <c r="G15" s="13">
        <f t="shared" si="4"/>
        <v>9.9999999999999645</v>
      </c>
      <c r="H15" s="8">
        <f t="shared" si="5"/>
        <v>0</v>
      </c>
      <c r="I15" s="8">
        <f t="shared" si="0"/>
        <v>0</v>
      </c>
      <c r="J15" s="13">
        <f t="shared" si="6"/>
        <v>0.50799999999999823</v>
      </c>
      <c r="K15" s="2">
        <f t="shared" si="1"/>
        <v>0.22941573387056169</v>
      </c>
    </row>
    <row r="16" spans="1:11" x14ac:dyDescent="0.7">
      <c r="A16" s="15">
        <v>0.43333333333333335</v>
      </c>
      <c r="B16" s="8">
        <v>10.5</v>
      </c>
      <c r="C16" s="8">
        <v>10.85</v>
      </c>
      <c r="D16" s="2"/>
      <c r="E16" s="13">
        <f t="shared" si="2"/>
        <v>39.000000000000021</v>
      </c>
      <c r="F16" s="13">
        <f t="shared" si="3"/>
        <v>6.2449979983984001</v>
      </c>
      <c r="G16" s="13">
        <f t="shared" si="4"/>
        <v>20.000000000000007</v>
      </c>
      <c r="H16" s="8">
        <f t="shared" si="5"/>
        <v>0</v>
      </c>
      <c r="I16" s="8">
        <f t="shared" si="0"/>
        <v>0</v>
      </c>
      <c r="J16" s="13">
        <f t="shared" si="6"/>
        <v>0.50799999999999823</v>
      </c>
      <c r="K16" s="2">
        <f t="shared" si="1"/>
        <v>0.16012815380508708</v>
      </c>
    </row>
    <row r="17" spans="1:11" x14ac:dyDescent="0.7">
      <c r="A17" s="15">
        <v>0.45416666666666666</v>
      </c>
      <c r="B17" s="8">
        <v>10.55</v>
      </c>
      <c r="C17" s="8">
        <v>10.95</v>
      </c>
      <c r="E17" s="13">
        <f t="shared" si="2"/>
        <v>69</v>
      </c>
      <c r="F17" s="13">
        <f t="shared" si="3"/>
        <v>8.3066238629180749</v>
      </c>
      <c r="G17" s="13">
        <f t="shared" si="4"/>
        <v>29.999999999999972</v>
      </c>
      <c r="H17" s="8">
        <f t="shared" si="5"/>
        <v>0.12700000000000181</v>
      </c>
      <c r="I17" s="8">
        <f t="shared" si="0"/>
        <v>0.25399999999999912</v>
      </c>
      <c r="J17" s="13">
        <f t="shared" si="6"/>
        <v>0.63500000000000001</v>
      </c>
      <c r="K17" s="2">
        <f t="shared" si="1"/>
        <v>0.1203858530857692</v>
      </c>
    </row>
    <row r="18" spans="1:11" x14ac:dyDescent="0.7">
      <c r="A18" s="15">
        <v>0.47500000000000003</v>
      </c>
      <c r="B18" s="8">
        <v>10.55</v>
      </c>
      <c r="C18" s="8">
        <v>10.95</v>
      </c>
      <c r="E18" s="13">
        <f t="shared" si="2"/>
        <v>99.000000000000043</v>
      </c>
      <c r="F18" s="13">
        <f t="shared" si="3"/>
        <v>9.9498743710662012</v>
      </c>
      <c r="G18" s="13">
        <f t="shared" si="4"/>
        <v>30.000000000000053</v>
      </c>
      <c r="H18" s="8">
        <f t="shared" si="5"/>
        <v>0</v>
      </c>
      <c r="I18" s="8">
        <f t="shared" si="0"/>
        <v>0</v>
      </c>
      <c r="J18" s="13">
        <f t="shared" si="6"/>
        <v>0.63500000000000001</v>
      </c>
      <c r="K18" s="2">
        <f t="shared" si="1"/>
        <v>0.1005037815259212</v>
      </c>
    </row>
    <row r="19" spans="1:11" x14ac:dyDescent="0.7">
      <c r="A19" s="15">
        <v>0.49583333333333335</v>
      </c>
      <c r="B19" s="8">
        <v>10.6</v>
      </c>
      <c r="C19" s="8">
        <v>11</v>
      </c>
      <c r="E19" s="13">
        <f t="shared" si="2"/>
        <v>129.00000000000003</v>
      </c>
      <c r="F19" s="13">
        <f t="shared" si="3"/>
        <v>11.357816691600549</v>
      </c>
      <c r="G19" s="13">
        <f t="shared" si="4"/>
        <v>29.999999999999972</v>
      </c>
      <c r="H19" s="8">
        <f t="shared" si="5"/>
        <v>0.12699999999999728</v>
      </c>
      <c r="I19" s="8">
        <f t="shared" si="0"/>
        <v>0.12700000000000181</v>
      </c>
      <c r="J19" s="13">
        <f t="shared" si="6"/>
        <v>0.76199999999999735</v>
      </c>
      <c r="K19" s="2">
        <f t="shared" si="1"/>
        <v>8.804509063256237E-2</v>
      </c>
    </row>
    <row r="20" spans="1:11" x14ac:dyDescent="0.7">
      <c r="A20" s="15">
        <v>0.51666666666666672</v>
      </c>
      <c r="B20" s="9">
        <v>10.6</v>
      </c>
      <c r="C20" s="9">
        <v>11</v>
      </c>
      <c r="E20" s="13">
        <f t="shared" si="2"/>
        <v>159.00000000000009</v>
      </c>
      <c r="F20" s="13">
        <f t="shared" si="3"/>
        <v>12.609520212918495</v>
      </c>
      <c r="G20" s="13">
        <f t="shared" si="4"/>
        <v>30.000000000000053</v>
      </c>
      <c r="H20" s="8">
        <f t="shared" si="5"/>
        <v>0</v>
      </c>
      <c r="I20" s="8">
        <f t="shared" si="0"/>
        <v>0</v>
      </c>
      <c r="J20" s="13">
        <f t="shared" si="6"/>
        <v>0.76199999999999735</v>
      </c>
      <c r="K20" s="2">
        <f t="shared" si="1"/>
        <v>7.9305158571814388E-2</v>
      </c>
    </row>
    <row r="21" spans="1:11" x14ac:dyDescent="0.7">
      <c r="A21" s="15">
        <v>0.53749999999999998</v>
      </c>
      <c r="B21" s="8">
        <v>10.65</v>
      </c>
      <c r="C21" s="8">
        <v>11</v>
      </c>
      <c r="E21" s="13">
        <f t="shared" si="2"/>
        <v>188.99999999999997</v>
      </c>
      <c r="F21" s="13">
        <f t="shared" si="3"/>
        <v>13.747727084867519</v>
      </c>
      <c r="G21" s="13">
        <f t="shared" si="4"/>
        <v>29.999999999999893</v>
      </c>
      <c r="H21" s="8">
        <f t="shared" si="5"/>
        <v>0.12700000000000181</v>
      </c>
      <c r="I21" s="8">
        <f t="shared" si="0"/>
        <v>0</v>
      </c>
      <c r="J21" s="13">
        <f t="shared" si="6"/>
        <v>0.88899999999999912</v>
      </c>
      <c r="K21" s="2">
        <f t="shared" si="1"/>
        <v>7.2739296745330806E-2</v>
      </c>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024C-5C29-4361-9D29-0B072A5F76F6}">
  <sheetPr codeName="Sheet45"/>
  <dimension ref="A1:D193"/>
  <sheetViews>
    <sheetView workbookViewId="0">
      <selection activeCell="G181" sqref="G181"/>
    </sheetView>
  </sheetViews>
  <sheetFormatPr defaultRowHeight="18.3" x14ac:dyDescent="0.7"/>
  <cols>
    <col min="1" max="1" width="7.6640625" bestFit="1" customWidth="1"/>
    <col min="2" max="2" width="9.5390625" bestFit="1" customWidth="1"/>
    <col min="3" max="3" width="11.70703125" bestFit="1" customWidth="1"/>
    <col min="4" max="4" width="12.95703125" bestFit="1" customWidth="1"/>
  </cols>
  <sheetData>
    <row r="1" spans="1:4" x14ac:dyDescent="0.7">
      <c r="A1" s="27" t="s">
        <v>58</v>
      </c>
      <c r="B1" s="27" t="s">
        <v>81</v>
      </c>
      <c r="C1" s="27" t="s">
        <v>25</v>
      </c>
      <c r="D1" s="27" t="s">
        <v>59</v>
      </c>
    </row>
    <row r="2" spans="1:4" x14ac:dyDescent="0.7">
      <c r="A2" t="s">
        <v>60</v>
      </c>
      <c r="B2" t="s">
        <v>79</v>
      </c>
      <c r="C2">
        <v>24.999999997671694</v>
      </c>
      <c r="D2">
        <v>0.60960000000000059</v>
      </c>
    </row>
    <row r="3" spans="1:4" x14ac:dyDescent="0.7">
      <c r="A3" t="s">
        <v>60</v>
      </c>
      <c r="B3" t="s">
        <v>79</v>
      </c>
      <c r="C3">
        <v>46.000000003259629</v>
      </c>
      <c r="D3">
        <v>1.2192000000000012</v>
      </c>
    </row>
    <row r="4" spans="1:4" x14ac:dyDescent="0.7">
      <c r="A4" t="s">
        <v>60</v>
      </c>
      <c r="B4" t="s">
        <v>79</v>
      </c>
      <c r="C4">
        <v>1412.999999995809</v>
      </c>
      <c r="D4">
        <v>10.287000000000001</v>
      </c>
    </row>
    <row r="5" spans="1:4" x14ac:dyDescent="0.7">
      <c r="A5" t="s">
        <v>60</v>
      </c>
      <c r="B5" t="s">
        <v>79</v>
      </c>
      <c r="C5">
        <v>1524.9999999941792</v>
      </c>
      <c r="D5">
        <v>10.604500000000002</v>
      </c>
    </row>
    <row r="6" spans="1:4" x14ac:dyDescent="0.7">
      <c r="A6" t="s">
        <v>60</v>
      </c>
      <c r="B6" t="s">
        <v>79</v>
      </c>
      <c r="C6">
        <v>1627.9999999946449</v>
      </c>
      <c r="D6">
        <v>10.922000000000002</v>
      </c>
    </row>
    <row r="7" spans="1:4" x14ac:dyDescent="0.7">
      <c r="A7" t="s">
        <v>61</v>
      </c>
      <c r="B7" t="s">
        <v>79</v>
      </c>
      <c r="C7">
        <v>1.9999999999999929</v>
      </c>
      <c r="D7">
        <v>3.1749999999999998</v>
      </c>
    </row>
    <row r="8" spans="1:4" x14ac:dyDescent="0.7">
      <c r="A8" t="s">
        <v>61</v>
      </c>
      <c r="B8" t="s">
        <v>79</v>
      </c>
      <c r="C8">
        <v>2.9999999999999094</v>
      </c>
      <c r="D8">
        <v>3.1749999999999998</v>
      </c>
    </row>
    <row r="9" spans="1:4" x14ac:dyDescent="0.7">
      <c r="A9" t="s">
        <v>61</v>
      </c>
      <c r="B9" t="s">
        <v>79</v>
      </c>
      <c r="C9">
        <v>3.9999999999999858</v>
      </c>
      <c r="D9">
        <v>4.1274999999999995</v>
      </c>
    </row>
    <row r="10" spans="1:4" x14ac:dyDescent="0.7">
      <c r="A10" t="s">
        <v>61</v>
      </c>
      <c r="B10" t="s">
        <v>79</v>
      </c>
      <c r="C10">
        <v>11.000000000000041</v>
      </c>
      <c r="D10">
        <v>9.3662500000000009</v>
      </c>
    </row>
    <row r="11" spans="1:4" x14ac:dyDescent="0.7">
      <c r="A11" t="s">
        <v>61</v>
      </c>
      <c r="B11" t="s">
        <v>79</v>
      </c>
      <c r="C11">
        <v>17.999999999999936</v>
      </c>
      <c r="D11">
        <v>11.90625</v>
      </c>
    </row>
    <row r="12" spans="1:4" x14ac:dyDescent="0.7">
      <c r="A12" t="s">
        <v>61</v>
      </c>
      <c r="B12" t="s">
        <v>79</v>
      </c>
      <c r="C12">
        <v>23</v>
      </c>
      <c r="D12">
        <v>12.065</v>
      </c>
    </row>
    <row r="13" spans="1:4" x14ac:dyDescent="0.7">
      <c r="A13" t="s">
        <v>61</v>
      </c>
      <c r="B13" t="s">
        <v>79</v>
      </c>
      <c r="C13">
        <v>67.999999999999915</v>
      </c>
      <c r="D13">
        <v>17.303750000000001</v>
      </c>
    </row>
    <row r="14" spans="1:4" x14ac:dyDescent="0.7">
      <c r="A14" t="s">
        <v>61</v>
      </c>
      <c r="B14" t="s">
        <v>79</v>
      </c>
      <c r="C14">
        <v>77.999999999999886</v>
      </c>
      <c r="D14">
        <v>20.558125</v>
      </c>
    </row>
    <row r="15" spans="1:4" x14ac:dyDescent="0.7">
      <c r="A15" t="s">
        <v>61</v>
      </c>
      <c r="B15" t="s">
        <v>79</v>
      </c>
      <c r="C15">
        <v>90</v>
      </c>
      <c r="D15">
        <v>23.971250000000001</v>
      </c>
    </row>
    <row r="16" spans="1:4" x14ac:dyDescent="0.7">
      <c r="A16" t="s">
        <v>61</v>
      </c>
      <c r="B16" t="s">
        <v>79</v>
      </c>
      <c r="C16">
        <v>99.999999999999972</v>
      </c>
      <c r="D16">
        <v>25.241250000000001</v>
      </c>
    </row>
    <row r="17" spans="1:4" x14ac:dyDescent="0.7">
      <c r="A17" t="s">
        <v>61</v>
      </c>
      <c r="B17" t="s">
        <v>79</v>
      </c>
      <c r="C17">
        <v>171.99999999999986</v>
      </c>
      <c r="D17">
        <v>31.194375000000001</v>
      </c>
    </row>
    <row r="18" spans="1:4" x14ac:dyDescent="0.7">
      <c r="A18" t="s">
        <v>61</v>
      </c>
      <c r="B18" t="s">
        <v>79</v>
      </c>
      <c r="C18">
        <v>187.99999999999997</v>
      </c>
      <c r="D18">
        <v>35.401250000000005</v>
      </c>
    </row>
    <row r="19" spans="1:4" x14ac:dyDescent="0.7">
      <c r="A19" t="s">
        <v>61</v>
      </c>
      <c r="B19" t="s">
        <v>79</v>
      </c>
      <c r="C19">
        <v>202.99999999999991</v>
      </c>
      <c r="D19">
        <v>39.449375000000003</v>
      </c>
    </row>
    <row r="20" spans="1:4" x14ac:dyDescent="0.7">
      <c r="A20" t="s">
        <v>61</v>
      </c>
      <c r="B20" t="s">
        <v>79</v>
      </c>
      <c r="C20">
        <v>214.99999999999989</v>
      </c>
      <c r="D20">
        <v>41.354375000000005</v>
      </c>
    </row>
    <row r="21" spans="1:4" x14ac:dyDescent="0.7">
      <c r="A21" t="s">
        <v>62</v>
      </c>
      <c r="B21" t="s">
        <v>80</v>
      </c>
      <c r="C21">
        <v>1.9999999999999929</v>
      </c>
      <c r="D21">
        <v>0.15875</v>
      </c>
    </row>
    <row r="22" spans="1:4" x14ac:dyDescent="0.7">
      <c r="A22" t="s">
        <v>62</v>
      </c>
      <c r="B22" t="s">
        <v>80</v>
      </c>
      <c r="C22">
        <v>3.9999999999999858</v>
      </c>
      <c r="D22">
        <v>0.15875</v>
      </c>
    </row>
    <row r="23" spans="1:4" x14ac:dyDescent="0.7">
      <c r="A23" t="s">
        <v>62</v>
      </c>
      <c r="B23" t="s">
        <v>80</v>
      </c>
      <c r="C23">
        <v>4.9999999999999822</v>
      </c>
      <c r="D23">
        <v>0.15875</v>
      </c>
    </row>
    <row r="24" spans="1:4" x14ac:dyDescent="0.7">
      <c r="A24" t="s">
        <v>62</v>
      </c>
      <c r="B24" t="s">
        <v>80</v>
      </c>
      <c r="C24">
        <v>9.9999999999999645</v>
      </c>
      <c r="D24">
        <v>0.47625000000000001</v>
      </c>
    </row>
    <row r="25" spans="1:4" x14ac:dyDescent="0.7">
      <c r="A25" t="s">
        <v>62</v>
      </c>
      <c r="B25" t="s">
        <v>80</v>
      </c>
      <c r="C25">
        <v>15.000000000000107</v>
      </c>
      <c r="D25">
        <v>0.47625000000000001</v>
      </c>
    </row>
    <row r="26" spans="1:4" x14ac:dyDescent="0.7">
      <c r="A26" t="s">
        <v>62</v>
      </c>
      <c r="B26" t="s">
        <v>80</v>
      </c>
      <c r="C26">
        <v>45</v>
      </c>
      <c r="D26">
        <v>0.71437499999999998</v>
      </c>
    </row>
    <row r="27" spans="1:4" x14ac:dyDescent="0.7">
      <c r="A27" t="s">
        <v>62</v>
      </c>
      <c r="B27" t="s">
        <v>80</v>
      </c>
      <c r="C27">
        <v>121.00000000000006</v>
      </c>
      <c r="D27">
        <v>1.349375</v>
      </c>
    </row>
    <row r="28" spans="1:4" x14ac:dyDescent="0.7">
      <c r="A28" t="s">
        <v>62</v>
      </c>
      <c r="B28" t="s">
        <v>80</v>
      </c>
      <c r="C28">
        <v>150.99999999999994</v>
      </c>
      <c r="D28">
        <v>1.42875</v>
      </c>
    </row>
    <row r="29" spans="1:4" x14ac:dyDescent="0.7">
      <c r="A29" t="s">
        <v>63</v>
      </c>
      <c r="B29" t="s">
        <v>79</v>
      </c>
      <c r="C29">
        <v>0.99999999999991651</v>
      </c>
      <c r="D29">
        <v>0.10160000000000009</v>
      </c>
    </row>
    <row r="30" spans="1:4" x14ac:dyDescent="0.7">
      <c r="A30" t="s">
        <v>63</v>
      </c>
      <c r="B30" t="s">
        <v>79</v>
      </c>
      <c r="C30">
        <v>1.9999999999999929</v>
      </c>
      <c r="D30">
        <v>0.20320000000000019</v>
      </c>
    </row>
    <row r="31" spans="1:4" x14ac:dyDescent="0.7">
      <c r="A31" t="s">
        <v>63</v>
      </c>
      <c r="B31" t="s">
        <v>79</v>
      </c>
      <c r="C31">
        <v>3.0000000000000693</v>
      </c>
      <c r="D31">
        <v>0.27940000000000026</v>
      </c>
    </row>
    <row r="32" spans="1:4" x14ac:dyDescent="0.7">
      <c r="A32" t="s">
        <v>63</v>
      </c>
      <c r="B32" t="s">
        <v>79</v>
      </c>
      <c r="C32">
        <v>3.9999999999999858</v>
      </c>
      <c r="D32">
        <v>0.35560000000000003</v>
      </c>
    </row>
    <row r="33" spans="1:4" x14ac:dyDescent="0.7">
      <c r="A33" t="s">
        <v>63</v>
      </c>
      <c r="B33" t="s">
        <v>79</v>
      </c>
      <c r="C33">
        <v>9.000000000000048</v>
      </c>
      <c r="D33">
        <v>0.63500000000000001</v>
      </c>
    </row>
    <row r="34" spans="1:4" x14ac:dyDescent="0.7">
      <c r="A34" t="s">
        <v>63</v>
      </c>
      <c r="B34" t="s">
        <v>79</v>
      </c>
      <c r="C34">
        <v>23</v>
      </c>
      <c r="D34">
        <v>0.99060000000000004</v>
      </c>
    </row>
    <row r="35" spans="1:4" x14ac:dyDescent="0.7">
      <c r="A35" t="s">
        <v>63</v>
      </c>
      <c r="B35" t="s">
        <v>79</v>
      </c>
      <c r="C35">
        <v>67.000000000000085</v>
      </c>
      <c r="D35">
        <v>1.7271999999999998</v>
      </c>
    </row>
    <row r="36" spans="1:4" x14ac:dyDescent="0.7">
      <c r="A36" t="s">
        <v>63</v>
      </c>
      <c r="B36" t="s">
        <v>79</v>
      </c>
      <c r="C36">
        <v>97.999999999999972</v>
      </c>
      <c r="D36">
        <v>2.3367999999999998</v>
      </c>
    </row>
    <row r="37" spans="1:4" x14ac:dyDescent="0.7">
      <c r="A37" t="s">
        <v>63</v>
      </c>
      <c r="B37" t="s">
        <v>79</v>
      </c>
      <c r="C37">
        <v>146.99999999999994</v>
      </c>
      <c r="D37">
        <v>3.1496</v>
      </c>
    </row>
    <row r="38" spans="1:4" x14ac:dyDescent="0.7">
      <c r="A38" t="s">
        <v>63</v>
      </c>
      <c r="B38" t="s">
        <v>79</v>
      </c>
      <c r="C38">
        <v>177</v>
      </c>
      <c r="D38">
        <v>3.4544000000000001</v>
      </c>
    </row>
    <row r="39" spans="1:4" x14ac:dyDescent="0.7">
      <c r="A39" t="s">
        <v>63</v>
      </c>
      <c r="B39" t="s">
        <v>79</v>
      </c>
      <c r="C39">
        <v>206.99999999999991</v>
      </c>
      <c r="D39">
        <v>3.7084000000000001</v>
      </c>
    </row>
    <row r="40" spans="1:4" x14ac:dyDescent="0.7">
      <c r="A40" t="s">
        <v>63</v>
      </c>
      <c r="B40" t="s">
        <v>79</v>
      </c>
      <c r="C40">
        <v>236.99999999999994</v>
      </c>
      <c r="D40">
        <v>3.9370000000000003</v>
      </c>
    </row>
    <row r="41" spans="1:4" x14ac:dyDescent="0.7">
      <c r="A41" t="s">
        <v>64</v>
      </c>
      <c r="B41" t="s">
        <v>79</v>
      </c>
      <c r="C41">
        <v>1.0000000000000764</v>
      </c>
      <c r="D41">
        <v>0.12699999999999984</v>
      </c>
    </row>
    <row r="42" spans="1:4" x14ac:dyDescent="0.7">
      <c r="A42" t="s">
        <v>64</v>
      </c>
      <c r="B42" t="s">
        <v>79</v>
      </c>
      <c r="C42">
        <v>1.9999999999999929</v>
      </c>
      <c r="D42">
        <v>0.15239999999999987</v>
      </c>
    </row>
    <row r="43" spans="1:4" x14ac:dyDescent="0.7">
      <c r="A43" t="s">
        <v>64</v>
      </c>
      <c r="B43" t="s">
        <v>79</v>
      </c>
      <c r="C43">
        <v>3.0000000000000693</v>
      </c>
      <c r="D43">
        <v>0.24129999999999996</v>
      </c>
    </row>
    <row r="44" spans="1:4" x14ac:dyDescent="0.7">
      <c r="A44" t="s">
        <v>64</v>
      </c>
      <c r="B44" t="s">
        <v>79</v>
      </c>
      <c r="C44">
        <v>3.9999999999999858</v>
      </c>
      <c r="D44">
        <v>0.30480000000000002</v>
      </c>
    </row>
    <row r="45" spans="1:4" x14ac:dyDescent="0.7">
      <c r="A45" t="s">
        <v>64</v>
      </c>
      <c r="B45" t="s">
        <v>79</v>
      </c>
      <c r="C45">
        <v>9.000000000000048</v>
      </c>
      <c r="D45">
        <v>0.54609999999999992</v>
      </c>
    </row>
    <row r="46" spans="1:4" x14ac:dyDescent="0.7">
      <c r="A46" t="s">
        <v>64</v>
      </c>
      <c r="B46" t="s">
        <v>79</v>
      </c>
      <c r="C46">
        <v>19.000000000000014</v>
      </c>
      <c r="D46">
        <v>0.86360000000000015</v>
      </c>
    </row>
    <row r="47" spans="1:4" x14ac:dyDescent="0.7">
      <c r="A47" t="s">
        <v>64</v>
      </c>
      <c r="B47" t="s">
        <v>79</v>
      </c>
      <c r="C47">
        <v>39.000000000000021</v>
      </c>
      <c r="D47">
        <v>1.4224000000000001</v>
      </c>
    </row>
    <row r="48" spans="1:4" x14ac:dyDescent="0.7">
      <c r="A48" t="s">
        <v>64</v>
      </c>
      <c r="B48" t="s">
        <v>79</v>
      </c>
      <c r="C48">
        <v>79.000000000000043</v>
      </c>
      <c r="D48">
        <v>2.4638</v>
      </c>
    </row>
    <row r="49" spans="1:4" x14ac:dyDescent="0.7">
      <c r="A49" t="s">
        <v>64</v>
      </c>
      <c r="B49" t="s">
        <v>79</v>
      </c>
      <c r="C49">
        <v>109.00000000000001</v>
      </c>
      <c r="D49">
        <v>2.8956000000000004</v>
      </c>
    </row>
    <row r="50" spans="1:4" x14ac:dyDescent="0.7">
      <c r="A50" t="s">
        <v>64</v>
      </c>
      <c r="B50" t="s">
        <v>79</v>
      </c>
      <c r="C50">
        <v>119.00000000000006</v>
      </c>
      <c r="D50">
        <v>3.048</v>
      </c>
    </row>
    <row r="51" spans="1:4" x14ac:dyDescent="0.7">
      <c r="A51" t="s">
        <v>65</v>
      </c>
      <c r="B51" t="s">
        <v>80</v>
      </c>
      <c r="C51">
        <v>0.99999999999999645</v>
      </c>
      <c r="D51">
        <v>2.5400000000000023E-2</v>
      </c>
    </row>
    <row r="52" spans="1:4" x14ac:dyDescent="0.7">
      <c r="A52" t="s">
        <v>65</v>
      </c>
      <c r="B52" t="s">
        <v>80</v>
      </c>
      <c r="C52">
        <v>1.9999999999999929</v>
      </c>
      <c r="D52">
        <v>2.5400000000000023E-2</v>
      </c>
    </row>
    <row r="53" spans="1:4" x14ac:dyDescent="0.7">
      <c r="A53" t="s">
        <v>65</v>
      </c>
      <c r="B53" t="s">
        <v>80</v>
      </c>
      <c r="C53">
        <v>2.9999999999999893</v>
      </c>
      <c r="D53">
        <v>2.5400000000000023E-2</v>
      </c>
    </row>
    <row r="54" spans="1:4" x14ac:dyDescent="0.7">
      <c r="A54" t="s">
        <v>65</v>
      </c>
      <c r="B54" t="s">
        <v>80</v>
      </c>
      <c r="C54">
        <v>4.0000000000001457</v>
      </c>
      <c r="D54">
        <v>2.5400000000000023E-2</v>
      </c>
    </row>
    <row r="55" spans="1:4" x14ac:dyDescent="0.7">
      <c r="A55" t="s">
        <v>65</v>
      </c>
      <c r="B55" t="s">
        <v>80</v>
      </c>
      <c r="C55">
        <v>8.999999999999968</v>
      </c>
      <c r="D55">
        <v>2.5400000000000023E-2</v>
      </c>
    </row>
    <row r="56" spans="1:4" x14ac:dyDescent="0.7">
      <c r="A56" t="s">
        <v>65</v>
      </c>
      <c r="B56" t="s">
        <v>80</v>
      </c>
      <c r="C56">
        <v>19.000000000000092</v>
      </c>
      <c r="D56">
        <v>5.0800000000000047E-2</v>
      </c>
    </row>
    <row r="57" spans="1:4" x14ac:dyDescent="0.7">
      <c r="A57" t="s">
        <v>65</v>
      </c>
      <c r="B57" t="s">
        <v>80</v>
      </c>
      <c r="C57">
        <v>39.000000000000021</v>
      </c>
      <c r="D57">
        <v>0.10160000000000009</v>
      </c>
    </row>
    <row r="58" spans="1:4" x14ac:dyDescent="0.7">
      <c r="A58" t="s">
        <v>65</v>
      </c>
      <c r="B58" t="s">
        <v>80</v>
      </c>
      <c r="C58">
        <v>69.000000000000071</v>
      </c>
      <c r="D58">
        <v>0.10160000000000009</v>
      </c>
    </row>
    <row r="59" spans="1:4" x14ac:dyDescent="0.7">
      <c r="A59" t="s">
        <v>65</v>
      </c>
      <c r="B59" t="s">
        <v>80</v>
      </c>
      <c r="C59">
        <v>96.999999999999972</v>
      </c>
      <c r="D59">
        <v>0.15239999999999987</v>
      </c>
    </row>
    <row r="60" spans="1:4" x14ac:dyDescent="0.7">
      <c r="A60" t="s">
        <v>66</v>
      </c>
      <c r="B60" t="s">
        <v>80</v>
      </c>
      <c r="C60">
        <v>0.99999999999999645</v>
      </c>
      <c r="D60">
        <v>0.25399999999999912</v>
      </c>
    </row>
    <row r="61" spans="1:4" x14ac:dyDescent="0.7">
      <c r="A61" t="s">
        <v>66</v>
      </c>
      <c r="B61" t="s">
        <v>80</v>
      </c>
      <c r="C61">
        <v>1.9999999999999929</v>
      </c>
      <c r="D61">
        <v>0.50800000000000267</v>
      </c>
    </row>
    <row r="62" spans="1:4" x14ac:dyDescent="0.7">
      <c r="A62" t="s">
        <v>66</v>
      </c>
      <c r="B62" t="s">
        <v>80</v>
      </c>
      <c r="C62">
        <v>2.9999999999999893</v>
      </c>
      <c r="D62">
        <v>0.50800000000000267</v>
      </c>
    </row>
    <row r="63" spans="1:4" x14ac:dyDescent="0.7">
      <c r="A63" t="s">
        <v>66</v>
      </c>
      <c r="B63" t="s">
        <v>80</v>
      </c>
      <c r="C63">
        <v>3.9999999999999858</v>
      </c>
      <c r="D63">
        <v>0.50800000000000267</v>
      </c>
    </row>
    <row r="64" spans="1:4" x14ac:dyDescent="0.7">
      <c r="A64" t="s">
        <v>66</v>
      </c>
      <c r="B64" t="s">
        <v>80</v>
      </c>
      <c r="C64">
        <v>8.999999999999968</v>
      </c>
      <c r="D64">
        <v>0.76200000000000179</v>
      </c>
    </row>
    <row r="65" spans="1:4" x14ac:dyDescent="0.7">
      <c r="A65" t="s">
        <v>66</v>
      </c>
      <c r="B65" t="s">
        <v>80</v>
      </c>
      <c r="C65">
        <v>19.000000000000014</v>
      </c>
      <c r="D65">
        <v>1.5239999999999991</v>
      </c>
    </row>
    <row r="66" spans="1:4" x14ac:dyDescent="0.7">
      <c r="A66" t="s">
        <v>66</v>
      </c>
      <c r="B66" t="s">
        <v>80</v>
      </c>
      <c r="C66">
        <v>38.999999999999943</v>
      </c>
      <c r="D66">
        <v>2.2860000000000009</v>
      </c>
    </row>
    <row r="67" spans="1:4" x14ac:dyDescent="0.7">
      <c r="A67" t="s">
        <v>66</v>
      </c>
      <c r="B67" t="s">
        <v>80</v>
      </c>
      <c r="C67">
        <v>58.99999999999995</v>
      </c>
      <c r="D67">
        <v>2.7939999999999992</v>
      </c>
    </row>
    <row r="68" spans="1:4" x14ac:dyDescent="0.7">
      <c r="A68" t="s">
        <v>66</v>
      </c>
      <c r="B68" t="s">
        <v>80</v>
      </c>
      <c r="C68">
        <v>89</v>
      </c>
      <c r="D68">
        <v>3.81</v>
      </c>
    </row>
    <row r="69" spans="1:4" x14ac:dyDescent="0.7">
      <c r="A69" t="s">
        <v>66</v>
      </c>
      <c r="B69" t="s">
        <v>80</v>
      </c>
      <c r="C69">
        <v>118.99999999999997</v>
      </c>
      <c r="D69">
        <v>4.5720000000000018</v>
      </c>
    </row>
    <row r="70" spans="1:4" x14ac:dyDescent="0.7">
      <c r="A70" t="s">
        <v>66</v>
      </c>
      <c r="B70" t="s">
        <v>80</v>
      </c>
      <c r="C70">
        <v>149.00000000000003</v>
      </c>
      <c r="D70">
        <v>6.6039999999999992</v>
      </c>
    </row>
    <row r="71" spans="1:4" x14ac:dyDescent="0.7">
      <c r="A71" t="s">
        <v>66</v>
      </c>
      <c r="B71" t="s">
        <v>80</v>
      </c>
      <c r="C71">
        <v>178.99999999999991</v>
      </c>
      <c r="D71">
        <v>6.8580000000000032</v>
      </c>
    </row>
    <row r="72" spans="1:4" x14ac:dyDescent="0.7">
      <c r="A72" t="s">
        <v>66</v>
      </c>
      <c r="B72" t="s">
        <v>80</v>
      </c>
      <c r="C72">
        <v>225.00000000000009</v>
      </c>
      <c r="D72">
        <v>7.8739999999999997</v>
      </c>
    </row>
    <row r="73" spans="1:4" x14ac:dyDescent="0.7">
      <c r="A73" t="s">
        <v>66</v>
      </c>
      <c r="B73" t="s">
        <v>80</v>
      </c>
      <c r="C73">
        <v>247.00000000000003</v>
      </c>
      <c r="D73">
        <v>8.1280000000000037</v>
      </c>
    </row>
    <row r="74" spans="1:4" x14ac:dyDescent="0.7">
      <c r="A74" t="s">
        <v>67</v>
      </c>
      <c r="B74" t="s">
        <v>80</v>
      </c>
      <c r="C74">
        <v>0.99999999999991651</v>
      </c>
      <c r="D74">
        <v>0.25399999999999912</v>
      </c>
    </row>
    <row r="75" spans="1:4" x14ac:dyDescent="0.7">
      <c r="A75" t="s">
        <v>67</v>
      </c>
      <c r="B75" t="s">
        <v>80</v>
      </c>
      <c r="C75">
        <v>1.9999999999999929</v>
      </c>
      <c r="D75">
        <v>0.50799999999999823</v>
      </c>
    </row>
    <row r="76" spans="1:4" x14ac:dyDescent="0.7">
      <c r="A76" t="s">
        <v>67</v>
      </c>
      <c r="B76" t="s">
        <v>80</v>
      </c>
      <c r="C76">
        <v>2.9999999999999094</v>
      </c>
      <c r="D76">
        <v>0.50799999999999823</v>
      </c>
    </row>
    <row r="77" spans="1:4" x14ac:dyDescent="0.7">
      <c r="A77" t="s">
        <v>67</v>
      </c>
      <c r="B77" t="s">
        <v>80</v>
      </c>
      <c r="C77">
        <v>3.9999999999999858</v>
      </c>
      <c r="D77">
        <v>0.50799999999999823</v>
      </c>
    </row>
    <row r="78" spans="1:4" x14ac:dyDescent="0.7">
      <c r="A78" t="s">
        <v>67</v>
      </c>
      <c r="B78" t="s">
        <v>80</v>
      </c>
      <c r="C78">
        <v>9.000000000000048</v>
      </c>
      <c r="D78">
        <v>0.76199999999999735</v>
      </c>
    </row>
    <row r="79" spans="1:4" x14ac:dyDescent="0.7">
      <c r="A79" t="s">
        <v>67</v>
      </c>
      <c r="B79" t="s">
        <v>80</v>
      </c>
      <c r="C79">
        <v>19.000000000000014</v>
      </c>
      <c r="D79">
        <v>0.76199999999999735</v>
      </c>
    </row>
    <row r="80" spans="1:4" x14ac:dyDescent="0.7">
      <c r="A80" t="s">
        <v>67</v>
      </c>
      <c r="B80" t="s">
        <v>80</v>
      </c>
      <c r="C80">
        <v>39.000000000000021</v>
      </c>
      <c r="D80">
        <v>1.27</v>
      </c>
    </row>
    <row r="81" spans="1:4" x14ac:dyDescent="0.7">
      <c r="A81" t="s">
        <v>67</v>
      </c>
      <c r="B81" t="s">
        <v>80</v>
      </c>
      <c r="C81">
        <v>69</v>
      </c>
      <c r="D81">
        <v>2.0319999999999974</v>
      </c>
    </row>
    <row r="82" spans="1:4" x14ac:dyDescent="0.7">
      <c r="A82" t="s">
        <v>67</v>
      </c>
      <c r="B82" t="s">
        <v>80</v>
      </c>
      <c r="C82">
        <v>98.999999999999972</v>
      </c>
      <c r="D82">
        <v>2.0319999999999974</v>
      </c>
    </row>
    <row r="83" spans="1:4" x14ac:dyDescent="0.7">
      <c r="A83" t="s">
        <v>67</v>
      </c>
      <c r="B83" t="s">
        <v>80</v>
      </c>
      <c r="C83">
        <v>129.00000000000003</v>
      </c>
      <c r="D83">
        <v>2.7939999999999992</v>
      </c>
    </row>
    <row r="84" spans="1:4" x14ac:dyDescent="0.7">
      <c r="A84" t="s">
        <v>67</v>
      </c>
      <c r="B84" t="s">
        <v>80</v>
      </c>
      <c r="C84">
        <v>159.00000000000009</v>
      </c>
      <c r="D84">
        <v>3.3019999999999974</v>
      </c>
    </row>
    <row r="85" spans="1:4" x14ac:dyDescent="0.7">
      <c r="A85" t="s">
        <v>67</v>
      </c>
      <c r="B85" t="s">
        <v>80</v>
      </c>
      <c r="C85">
        <v>202.99999999999991</v>
      </c>
      <c r="D85">
        <v>3.81</v>
      </c>
    </row>
    <row r="86" spans="1:4" x14ac:dyDescent="0.7">
      <c r="A86" t="s">
        <v>67</v>
      </c>
      <c r="B86" t="s">
        <v>80</v>
      </c>
      <c r="C86">
        <v>224</v>
      </c>
      <c r="D86">
        <v>3.81</v>
      </c>
    </row>
    <row r="87" spans="1:4" x14ac:dyDescent="0.7">
      <c r="A87" t="s">
        <v>68</v>
      </c>
      <c r="B87" t="s">
        <v>80</v>
      </c>
      <c r="C87">
        <v>1.9999999999999929</v>
      </c>
      <c r="D87">
        <v>0.25399999999999912</v>
      </c>
    </row>
    <row r="88" spans="1:4" x14ac:dyDescent="0.7">
      <c r="A88" t="s">
        <v>68</v>
      </c>
      <c r="B88" t="s">
        <v>80</v>
      </c>
      <c r="C88">
        <v>2.9999999999999893</v>
      </c>
      <c r="D88">
        <v>0.25399999999999912</v>
      </c>
    </row>
    <row r="89" spans="1:4" x14ac:dyDescent="0.7">
      <c r="A89" t="s">
        <v>68</v>
      </c>
      <c r="B89" t="s">
        <v>80</v>
      </c>
      <c r="C89">
        <v>3.9999999999999858</v>
      </c>
      <c r="D89">
        <v>0.25399999999999912</v>
      </c>
    </row>
    <row r="90" spans="1:4" x14ac:dyDescent="0.7">
      <c r="A90" t="s">
        <v>68</v>
      </c>
      <c r="B90" t="s">
        <v>80</v>
      </c>
      <c r="C90">
        <v>8.999999999999968</v>
      </c>
      <c r="D90">
        <v>0.50799999999999823</v>
      </c>
    </row>
    <row r="91" spans="1:4" x14ac:dyDescent="0.7">
      <c r="A91" t="s">
        <v>68</v>
      </c>
      <c r="B91" t="s">
        <v>80</v>
      </c>
      <c r="C91">
        <v>19.000000000000014</v>
      </c>
      <c r="D91">
        <v>0.76199999999999735</v>
      </c>
    </row>
    <row r="92" spans="1:4" x14ac:dyDescent="0.7">
      <c r="A92" t="s">
        <v>68</v>
      </c>
      <c r="B92" t="s">
        <v>80</v>
      </c>
      <c r="C92">
        <v>38.999999999999943</v>
      </c>
      <c r="D92">
        <v>1.27</v>
      </c>
    </row>
    <row r="93" spans="1:4" x14ac:dyDescent="0.7">
      <c r="A93" t="s">
        <v>68</v>
      </c>
      <c r="B93" t="s">
        <v>80</v>
      </c>
      <c r="C93">
        <v>68.999999999999915</v>
      </c>
      <c r="D93">
        <v>1.5239999999999991</v>
      </c>
    </row>
    <row r="94" spans="1:4" x14ac:dyDescent="0.7">
      <c r="A94" t="s">
        <v>68</v>
      </c>
      <c r="B94" t="s">
        <v>80</v>
      </c>
      <c r="C94">
        <v>98.999999999999886</v>
      </c>
      <c r="D94">
        <v>1.5239999999999991</v>
      </c>
    </row>
    <row r="95" spans="1:4" x14ac:dyDescent="0.7">
      <c r="A95" t="s">
        <v>68</v>
      </c>
      <c r="B95" t="s">
        <v>80</v>
      </c>
      <c r="C95">
        <v>128.99999999999994</v>
      </c>
      <c r="D95">
        <v>2.2860000000000009</v>
      </c>
    </row>
    <row r="96" spans="1:4" x14ac:dyDescent="0.7">
      <c r="A96" t="s">
        <v>68</v>
      </c>
      <c r="B96" t="s">
        <v>80</v>
      </c>
      <c r="C96">
        <v>182.00000000000009</v>
      </c>
      <c r="D96">
        <v>2.7939999999999992</v>
      </c>
    </row>
    <row r="97" spans="1:4" x14ac:dyDescent="0.7">
      <c r="A97" t="s">
        <v>68</v>
      </c>
      <c r="B97" t="s">
        <v>80</v>
      </c>
      <c r="C97">
        <v>202</v>
      </c>
      <c r="D97">
        <v>2.7939999999999992</v>
      </c>
    </row>
    <row r="98" spans="1:4" x14ac:dyDescent="0.7">
      <c r="A98" t="s">
        <v>69</v>
      </c>
      <c r="B98" t="s">
        <v>79</v>
      </c>
      <c r="C98">
        <v>0.99999999999983658</v>
      </c>
      <c r="D98">
        <v>1.0160000000000009</v>
      </c>
    </row>
    <row r="99" spans="1:4" x14ac:dyDescent="0.7">
      <c r="A99" t="s">
        <v>69</v>
      </c>
      <c r="B99" t="s">
        <v>79</v>
      </c>
      <c r="C99">
        <v>1.9999999999999929</v>
      </c>
      <c r="D99">
        <v>1.0160000000000009</v>
      </c>
    </row>
    <row r="100" spans="1:4" x14ac:dyDescent="0.7">
      <c r="A100" t="s">
        <v>69</v>
      </c>
      <c r="B100" t="s">
        <v>79</v>
      </c>
      <c r="C100">
        <v>2.9999999999998295</v>
      </c>
      <c r="D100">
        <v>1.27</v>
      </c>
    </row>
    <row r="101" spans="1:4" x14ac:dyDescent="0.7">
      <c r="A101" t="s">
        <v>69</v>
      </c>
      <c r="B101" t="s">
        <v>79</v>
      </c>
      <c r="C101">
        <v>3.9999999999999858</v>
      </c>
      <c r="D101">
        <v>1.7779999999999982</v>
      </c>
    </row>
    <row r="102" spans="1:4" x14ac:dyDescent="0.7">
      <c r="A102" t="s">
        <v>69</v>
      </c>
      <c r="B102" t="s">
        <v>79</v>
      </c>
      <c r="C102">
        <v>8.9999999999998082</v>
      </c>
      <c r="D102">
        <v>3.5560000000000009</v>
      </c>
    </row>
    <row r="103" spans="1:4" x14ac:dyDescent="0.7">
      <c r="A103" t="s">
        <v>69</v>
      </c>
      <c r="B103" t="s">
        <v>79</v>
      </c>
      <c r="C103">
        <v>18.999999999999932</v>
      </c>
      <c r="D103">
        <v>6.6039999999999992</v>
      </c>
    </row>
    <row r="104" spans="1:4" x14ac:dyDescent="0.7">
      <c r="A104" t="s">
        <v>69</v>
      </c>
      <c r="B104" t="s">
        <v>79</v>
      </c>
      <c r="C104">
        <v>28.999999999999897</v>
      </c>
      <c r="D104">
        <v>8.636000000000001</v>
      </c>
    </row>
    <row r="105" spans="1:4" x14ac:dyDescent="0.7">
      <c r="A105" t="s">
        <v>69</v>
      </c>
      <c r="B105" t="s">
        <v>79</v>
      </c>
      <c r="C105">
        <v>49.999999999999822</v>
      </c>
      <c r="D105">
        <v>15.24</v>
      </c>
    </row>
    <row r="106" spans="1:4" x14ac:dyDescent="0.7">
      <c r="A106" t="s">
        <v>69</v>
      </c>
      <c r="B106" t="s">
        <v>79</v>
      </c>
      <c r="C106">
        <v>79.999999999999872</v>
      </c>
      <c r="D106">
        <v>21.59</v>
      </c>
    </row>
    <row r="107" spans="1:4" x14ac:dyDescent="0.7">
      <c r="A107" t="s">
        <v>69</v>
      </c>
      <c r="B107" t="s">
        <v>79</v>
      </c>
      <c r="C107">
        <v>110.99999999999993</v>
      </c>
      <c r="D107">
        <v>29.21</v>
      </c>
    </row>
    <row r="108" spans="1:4" x14ac:dyDescent="0.7">
      <c r="A108" t="s">
        <v>69</v>
      </c>
      <c r="B108" t="s">
        <v>79</v>
      </c>
      <c r="C108">
        <v>140.99999999999997</v>
      </c>
      <c r="D108">
        <v>36.321999999999996</v>
      </c>
    </row>
    <row r="109" spans="1:4" x14ac:dyDescent="0.7">
      <c r="A109" t="s">
        <v>69</v>
      </c>
      <c r="B109" t="s">
        <v>79</v>
      </c>
      <c r="C109">
        <v>155.99999999999991</v>
      </c>
      <c r="D109">
        <v>39.116</v>
      </c>
    </row>
    <row r="110" spans="1:4" x14ac:dyDescent="0.7">
      <c r="A110" t="s">
        <v>69</v>
      </c>
      <c r="B110" t="s">
        <v>79</v>
      </c>
      <c r="C110">
        <v>170.99999999999989</v>
      </c>
      <c r="D110">
        <v>41.91</v>
      </c>
    </row>
    <row r="111" spans="1:4" x14ac:dyDescent="0.7">
      <c r="A111" t="s">
        <v>70</v>
      </c>
      <c r="B111" t="s">
        <v>80</v>
      </c>
      <c r="C111">
        <v>0.99999999999999645</v>
      </c>
      <c r="D111">
        <v>0.25399999999999912</v>
      </c>
    </row>
    <row r="112" spans="1:4" x14ac:dyDescent="0.7">
      <c r="A112" t="s">
        <v>70</v>
      </c>
      <c r="B112" t="s">
        <v>80</v>
      </c>
      <c r="C112">
        <v>1.9999999999999929</v>
      </c>
      <c r="D112">
        <v>0.25399999999999912</v>
      </c>
    </row>
    <row r="113" spans="1:4" x14ac:dyDescent="0.7">
      <c r="A113" t="s">
        <v>70</v>
      </c>
      <c r="B113" t="s">
        <v>80</v>
      </c>
      <c r="C113">
        <v>2.9999999999999893</v>
      </c>
      <c r="D113">
        <v>0.25399999999999912</v>
      </c>
    </row>
    <row r="114" spans="1:4" x14ac:dyDescent="0.7">
      <c r="A114" t="s">
        <v>70</v>
      </c>
      <c r="B114" t="s">
        <v>80</v>
      </c>
      <c r="C114">
        <v>3.9999999999999858</v>
      </c>
      <c r="D114">
        <v>0.25399999999999912</v>
      </c>
    </row>
    <row r="115" spans="1:4" x14ac:dyDescent="0.7">
      <c r="A115" t="s">
        <v>70</v>
      </c>
      <c r="B115" t="s">
        <v>80</v>
      </c>
      <c r="C115">
        <v>8.999999999999968</v>
      </c>
      <c r="D115">
        <v>0.25399999999999912</v>
      </c>
    </row>
    <row r="116" spans="1:4" x14ac:dyDescent="0.7">
      <c r="A116" t="s">
        <v>70</v>
      </c>
      <c r="B116" t="s">
        <v>80</v>
      </c>
      <c r="C116">
        <v>18.999999999999932</v>
      </c>
      <c r="D116">
        <v>0.76199999999999735</v>
      </c>
    </row>
    <row r="117" spans="1:4" x14ac:dyDescent="0.7">
      <c r="A117" t="s">
        <v>70</v>
      </c>
      <c r="B117" t="s">
        <v>80</v>
      </c>
      <c r="C117">
        <v>39.000000000000021</v>
      </c>
      <c r="D117">
        <v>1.5239999999999991</v>
      </c>
    </row>
    <row r="118" spans="1:4" x14ac:dyDescent="0.7">
      <c r="A118" t="s">
        <v>70</v>
      </c>
      <c r="B118" t="s">
        <v>80</v>
      </c>
      <c r="C118">
        <v>69.000000000000071</v>
      </c>
      <c r="D118">
        <v>1.5239999999999991</v>
      </c>
    </row>
    <row r="119" spans="1:4" x14ac:dyDescent="0.7">
      <c r="A119" t="s">
        <v>70</v>
      </c>
      <c r="B119" t="s">
        <v>80</v>
      </c>
      <c r="C119">
        <v>98.999999999999972</v>
      </c>
      <c r="D119">
        <v>3.3019999999999974</v>
      </c>
    </row>
    <row r="120" spans="1:4" x14ac:dyDescent="0.7">
      <c r="A120" t="s">
        <v>70</v>
      </c>
      <c r="B120" t="s">
        <v>80</v>
      </c>
      <c r="C120">
        <v>129.00000000000003</v>
      </c>
      <c r="D120">
        <v>3.5559999999999965</v>
      </c>
    </row>
    <row r="121" spans="1:4" x14ac:dyDescent="0.7">
      <c r="A121" t="s">
        <v>70</v>
      </c>
      <c r="B121" t="s">
        <v>80</v>
      </c>
      <c r="C121">
        <v>159.00000000000009</v>
      </c>
      <c r="D121">
        <v>5.08</v>
      </c>
    </row>
    <row r="122" spans="1:4" x14ac:dyDescent="0.7">
      <c r="A122" t="s">
        <v>70</v>
      </c>
      <c r="B122" t="s">
        <v>80</v>
      </c>
      <c r="C122">
        <v>188.99999999999997</v>
      </c>
      <c r="D122">
        <v>5.3339999999999996</v>
      </c>
    </row>
    <row r="123" spans="1:4" x14ac:dyDescent="0.7">
      <c r="A123" t="s">
        <v>71</v>
      </c>
      <c r="B123" t="s">
        <v>80</v>
      </c>
      <c r="C123">
        <v>1.9999999999999929</v>
      </c>
      <c r="D123">
        <v>0.25400000000000134</v>
      </c>
    </row>
    <row r="124" spans="1:4" x14ac:dyDescent="0.7">
      <c r="A124" t="s">
        <v>71</v>
      </c>
      <c r="B124" t="s">
        <v>80</v>
      </c>
      <c r="C124">
        <v>3.0000000000000693</v>
      </c>
      <c r="D124">
        <v>0.50800000000000045</v>
      </c>
    </row>
    <row r="125" spans="1:4" x14ac:dyDescent="0.7">
      <c r="A125" t="s">
        <v>71</v>
      </c>
      <c r="B125" t="s">
        <v>80</v>
      </c>
      <c r="C125">
        <v>3.9999999999999858</v>
      </c>
      <c r="D125">
        <v>1.0159999999999987</v>
      </c>
    </row>
    <row r="126" spans="1:4" x14ac:dyDescent="0.7">
      <c r="A126" t="s">
        <v>71</v>
      </c>
      <c r="B126" t="s">
        <v>80</v>
      </c>
      <c r="C126">
        <v>9.000000000000048</v>
      </c>
      <c r="D126">
        <v>2.5400000000000023</v>
      </c>
    </row>
    <row r="127" spans="1:4" x14ac:dyDescent="0.7">
      <c r="A127" t="s">
        <v>71</v>
      </c>
      <c r="B127" t="s">
        <v>80</v>
      </c>
      <c r="C127">
        <v>19.000000000000014</v>
      </c>
      <c r="D127">
        <v>5.0800000000000018</v>
      </c>
    </row>
    <row r="128" spans="1:4" x14ac:dyDescent="0.7">
      <c r="A128" t="s">
        <v>71</v>
      </c>
      <c r="B128" t="s">
        <v>80</v>
      </c>
      <c r="C128">
        <v>39.000000000000021</v>
      </c>
      <c r="D128">
        <v>9.1440000000000019</v>
      </c>
    </row>
    <row r="129" spans="1:4" x14ac:dyDescent="0.7">
      <c r="A129" t="s">
        <v>71</v>
      </c>
      <c r="B129" t="s">
        <v>80</v>
      </c>
      <c r="C129">
        <v>69.000000000000071</v>
      </c>
      <c r="D129">
        <v>14.732000000000005</v>
      </c>
    </row>
    <row r="130" spans="1:4" x14ac:dyDescent="0.7">
      <c r="A130" t="s">
        <v>71</v>
      </c>
      <c r="B130" t="s">
        <v>80</v>
      </c>
      <c r="C130">
        <v>99.000000000000043</v>
      </c>
      <c r="D130">
        <v>19.304000000000002</v>
      </c>
    </row>
    <row r="131" spans="1:4" x14ac:dyDescent="0.7">
      <c r="A131" t="s">
        <v>71</v>
      </c>
      <c r="B131" t="s">
        <v>80</v>
      </c>
      <c r="C131">
        <v>135.00000000000009</v>
      </c>
      <c r="D131">
        <v>24.384</v>
      </c>
    </row>
    <row r="132" spans="1:4" x14ac:dyDescent="0.7">
      <c r="A132" t="s">
        <v>71</v>
      </c>
      <c r="B132" t="s">
        <v>80</v>
      </c>
      <c r="C132">
        <v>164.99999999999997</v>
      </c>
      <c r="D132">
        <v>28.448</v>
      </c>
    </row>
    <row r="133" spans="1:4" x14ac:dyDescent="0.7">
      <c r="A133" t="s">
        <v>71</v>
      </c>
      <c r="B133" t="s">
        <v>80</v>
      </c>
      <c r="C133">
        <v>195.00000000000003</v>
      </c>
      <c r="D133">
        <v>32.512</v>
      </c>
    </row>
    <row r="134" spans="1:4" x14ac:dyDescent="0.7">
      <c r="A134" t="s">
        <v>72</v>
      </c>
      <c r="B134" t="s">
        <v>80</v>
      </c>
      <c r="C134">
        <v>1.0000000000000764</v>
      </c>
      <c r="D134">
        <v>0.50799999999999823</v>
      </c>
    </row>
    <row r="135" spans="1:4" x14ac:dyDescent="0.7">
      <c r="A135" t="s">
        <v>72</v>
      </c>
      <c r="B135" t="s">
        <v>80</v>
      </c>
      <c r="C135">
        <v>1.9999999999999929</v>
      </c>
      <c r="D135">
        <v>1.0160000000000009</v>
      </c>
    </row>
    <row r="136" spans="1:4" x14ac:dyDescent="0.7">
      <c r="A136" t="s">
        <v>72</v>
      </c>
      <c r="B136" t="s">
        <v>80</v>
      </c>
      <c r="C136">
        <v>3.0000000000000693</v>
      </c>
      <c r="D136">
        <v>1.27</v>
      </c>
    </row>
    <row r="137" spans="1:4" x14ac:dyDescent="0.7">
      <c r="A137" t="s">
        <v>72</v>
      </c>
      <c r="B137" t="s">
        <v>80</v>
      </c>
      <c r="C137">
        <v>3.9999999999999858</v>
      </c>
      <c r="D137">
        <v>1.27</v>
      </c>
    </row>
    <row r="138" spans="1:4" x14ac:dyDescent="0.7">
      <c r="A138" t="s">
        <v>72</v>
      </c>
      <c r="B138" t="s">
        <v>80</v>
      </c>
      <c r="C138">
        <v>9.000000000000048</v>
      </c>
      <c r="D138">
        <v>1.27</v>
      </c>
    </row>
    <row r="139" spans="1:4" x14ac:dyDescent="0.7">
      <c r="A139" t="s">
        <v>72</v>
      </c>
      <c r="B139" t="s">
        <v>80</v>
      </c>
      <c r="C139">
        <v>19.000000000000014</v>
      </c>
      <c r="D139">
        <v>1.27</v>
      </c>
    </row>
    <row r="140" spans="1:4" x14ac:dyDescent="0.7">
      <c r="A140" t="s">
        <v>72</v>
      </c>
      <c r="B140" t="s">
        <v>80</v>
      </c>
      <c r="C140">
        <v>39.000000000000021</v>
      </c>
      <c r="D140">
        <v>1.5239999999999991</v>
      </c>
    </row>
    <row r="141" spans="1:4" x14ac:dyDescent="0.7">
      <c r="A141" t="s">
        <v>72</v>
      </c>
      <c r="B141" t="s">
        <v>80</v>
      </c>
      <c r="C141">
        <v>69</v>
      </c>
      <c r="D141">
        <v>1.5239999999999991</v>
      </c>
    </row>
    <row r="142" spans="1:4" x14ac:dyDescent="0.7">
      <c r="A142" t="s">
        <v>72</v>
      </c>
      <c r="B142" t="s">
        <v>80</v>
      </c>
      <c r="C142">
        <v>98.999999999999972</v>
      </c>
      <c r="D142">
        <v>1.5239999999999991</v>
      </c>
    </row>
    <row r="143" spans="1:4" x14ac:dyDescent="0.7">
      <c r="A143" t="s">
        <v>72</v>
      </c>
      <c r="B143" t="s">
        <v>80</v>
      </c>
      <c r="C143">
        <v>129.00000000000003</v>
      </c>
      <c r="D143">
        <v>1.5239999999999991</v>
      </c>
    </row>
    <row r="144" spans="1:4" x14ac:dyDescent="0.7">
      <c r="A144" t="s">
        <v>72</v>
      </c>
      <c r="B144" t="s">
        <v>80</v>
      </c>
      <c r="C144">
        <v>159.00000000000009</v>
      </c>
      <c r="D144">
        <v>1.5239999999999991</v>
      </c>
    </row>
    <row r="145" spans="1:4" x14ac:dyDescent="0.7">
      <c r="A145" t="s">
        <v>72</v>
      </c>
      <c r="B145" t="s">
        <v>80</v>
      </c>
      <c r="C145">
        <v>188.99999999999997</v>
      </c>
      <c r="D145">
        <v>1.7779999999999982</v>
      </c>
    </row>
    <row r="146" spans="1:4" x14ac:dyDescent="0.7">
      <c r="A146" t="s">
        <v>73</v>
      </c>
      <c r="B146" t="s">
        <v>80</v>
      </c>
      <c r="C146">
        <v>1.0000000000000764</v>
      </c>
      <c r="D146">
        <v>0.25399999999999912</v>
      </c>
    </row>
    <row r="147" spans="1:4" x14ac:dyDescent="0.7">
      <c r="A147" t="s">
        <v>73</v>
      </c>
      <c r="B147" t="s">
        <v>80</v>
      </c>
      <c r="C147">
        <v>1.9999999999999929</v>
      </c>
      <c r="D147">
        <v>0.25399999999999912</v>
      </c>
    </row>
    <row r="148" spans="1:4" x14ac:dyDescent="0.7">
      <c r="A148" t="s">
        <v>73</v>
      </c>
      <c r="B148" t="s">
        <v>80</v>
      </c>
      <c r="C148">
        <v>3.0000000000000693</v>
      </c>
      <c r="D148">
        <v>0.25399999999999912</v>
      </c>
    </row>
    <row r="149" spans="1:4" x14ac:dyDescent="0.7">
      <c r="A149" t="s">
        <v>73</v>
      </c>
      <c r="B149" t="s">
        <v>80</v>
      </c>
      <c r="C149">
        <v>3.9999999999999858</v>
      </c>
      <c r="D149">
        <v>0.25399999999999912</v>
      </c>
    </row>
    <row r="150" spans="1:4" x14ac:dyDescent="0.7">
      <c r="A150" t="s">
        <v>73</v>
      </c>
      <c r="B150" t="s">
        <v>80</v>
      </c>
      <c r="C150">
        <v>9.000000000000048</v>
      </c>
      <c r="D150">
        <v>0.25399999999999912</v>
      </c>
    </row>
    <row r="151" spans="1:4" x14ac:dyDescent="0.7">
      <c r="A151" t="s">
        <v>73</v>
      </c>
      <c r="B151" t="s">
        <v>80</v>
      </c>
      <c r="C151">
        <v>19.000000000000014</v>
      </c>
      <c r="D151">
        <v>0.25399999999999912</v>
      </c>
    </row>
    <row r="152" spans="1:4" x14ac:dyDescent="0.7">
      <c r="A152" t="s">
        <v>73</v>
      </c>
      <c r="B152" t="s">
        <v>80</v>
      </c>
      <c r="C152">
        <v>39.000000000000021</v>
      </c>
      <c r="D152">
        <v>0.25399999999999912</v>
      </c>
    </row>
    <row r="153" spans="1:4" x14ac:dyDescent="0.7">
      <c r="A153" t="s">
        <v>73</v>
      </c>
      <c r="B153" t="s">
        <v>80</v>
      </c>
      <c r="C153">
        <v>69</v>
      </c>
      <c r="D153">
        <v>0.25399999999999912</v>
      </c>
    </row>
    <row r="154" spans="1:4" x14ac:dyDescent="0.7">
      <c r="A154" t="s">
        <v>73</v>
      </c>
      <c r="B154" t="s">
        <v>80</v>
      </c>
      <c r="C154">
        <v>99.000000000000043</v>
      </c>
      <c r="D154">
        <v>0.25399999999999912</v>
      </c>
    </row>
    <row r="155" spans="1:4" x14ac:dyDescent="0.7">
      <c r="A155" t="s">
        <v>73</v>
      </c>
      <c r="B155" t="s">
        <v>80</v>
      </c>
      <c r="C155">
        <v>129.00000000000011</v>
      </c>
      <c r="D155">
        <v>0.38100000000000089</v>
      </c>
    </row>
    <row r="156" spans="1:4" x14ac:dyDescent="0.7">
      <c r="A156" t="s">
        <v>73</v>
      </c>
      <c r="B156" t="s">
        <v>80</v>
      </c>
      <c r="C156">
        <v>159</v>
      </c>
      <c r="D156">
        <v>0.38100000000000089</v>
      </c>
    </row>
    <row r="157" spans="1:4" x14ac:dyDescent="0.7">
      <c r="A157" t="s">
        <v>73</v>
      </c>
      <c r="B157" t="s">
        <v>80</v>
      </c>
      <c r="C157">
        <v>189.00000000000006</v>
      </c>
      <c r="D157">
        <v>0.50799999999999823</v>
      </c>
    </row>
    <row r="158" spans="1:4" x14ac:dyDescent="0.7">
      <c r="A158" t="s">
        <v>74</v>
      </c>
      <c r="B158" t="s">
        <v>80</v>
      </c>
      <c r="C158">
        <v>1.0000000000000764</v>
      </c>
      <c r="D158">
        <v>0.50800000000000267</v>
      </c>
    </row>
    <row r="159" spans="1:4" x14ac:dyDescent="0.7">
      <c r="A159" t="s">
        <v>74</v>
      </c>
      <c r="B159" t="s">
        <v>80</v>
      </c>
      <c r="C159">
        <v>1.9999999999999929</v>
      </c>
      <c r="D159">
        <v>0.50800000000000267</v>
      </c>
    </row>
    <row r="160" spans="1:4" x14ac:dyDescent="0.7">
      <c r="A160" t="s">
        <v>74</v>
      </c>
      <c r="B160" t="s">
        <v>80</v>
      </c>
      <c r="C160">
        <v>3.0000000000000693</v>
      </c>
      <c r="D160">
        <v>0.63500000000000001</v>
      </c>
    </row>
    <row r="161" spans="1:4" x14ac:dyDescent="0.7">
      <c r="A161" t="s">
        <v>74</v>
      </c>
      <c r="B161" t="s">
        <v>80</v>
      </c>
      <c r="C161">
        <v>4.0000000000001457</v>
      </c>
      <c r="D161">
        <v>0.63500000000000001</v>
      </c>
    </row>
    <row r="162" spans="1:4" x14ac:dyDescent="0.7">
      <c r="A162" t="s">
        <v>74</v>
      </c>
      <c r="B162" t="s">
        <v>80</v>
      </c>
      <c r="C162">
        <v>9.000000000000048</v>
      </c>
      <c r="D162">
        <v>0.63500000000000001</v>
      </c>
    </row>
    <row r="163" spans="1:4" x14ac:dyDescent="0.7">
      <c r="A163" t="s">
        <v>74</v>
      </c>
      <c r="B163" t="s">
        <v>80</v>
      </c>
      <c r="C163">
        <v>19.000000000000092</v>
      </c>
      <c r="D163">
        <v>0.63500000000000001</v>
      </c>
    </row>
    <row r="164" spans="1:4" x14ac:dyDescent="0.7">
      <c r="A164" t="s">
        <v>74</v>
      </c>
      <c r="B164" t="s">
        <v>80</v>
      </c>
      <c r="C164">
        <v>39.000000000000021</v>
      </c>
      <c r="D164">
        <v>1.0160000000000009</v>
      </c>
    </row>
    <row r="165" spans="1:4" x14ac:dyDescent="0.7">
      <c r="A165" t="s">
        <v>74</v>
      </c>
      <c r="B165" t="s">
        <v>80</v>
      </c>
      <c r="C165">
        <v>69.000000000000071</v>
      </c>
      <c r="D165">
        <v>1.27</v>
      </c>
    </row>
    <row r="166" spans="1:4" x14ac:dyDescent="0.7">
      <c r="A166" t="s">
        <v>74</v>
      </c>
      <c r="B166" t="s">
        <v>80</v>
      </c>
      <c r="C166">
        <v>99.000000000000043</v>
      </c>
      <c r="D166">
        <v>1.7780000000000027</v>
      </c>
    </row>
    <row r="167" spans="1:4" x14ac:dyDescent="0.7">
      <c r="A167" t="s">
        <v>74</v>
      </c>
      <c r="B167" t="s">
        <v>80</v>
      </c>
      <c r="C167">
        <v>129.00000000000011</v>
      </c>
      <c r="D167">
        <v>2.0320000000000018</v>
      </c>
    </row>
    <row r="168" spans="1:4" x14ac:dyDescent="0.7">
      <c r="A168" t="s">
        <v>74</v>
      </c>
      <c r="B168" t="s">
        <v>80</v>
      </c>
      <c r="C168">
        <v>159</v>
      </c>
      <c r="D168">
        <v>2.2860000000000009</v>
      </c>
    </row>
    <row r="169" spans="1:4" x14ac:dyDescent="0.7">
      <c r="A169" t="s">
        <v>74</v>
      </c>
      <c r="B169" t="s">
        <v>80</v>
      </c>
      <c r="C169">
        <v>189.00000000000006</v>
      </c>
      <c r="D169">
        <v>2.2860000000000009</v>
      </c>
    </row>
    <row r="170" spans="1:4" x14ac:dyDescent="0.7">
      <c r="A170" t="s">
        <v>75</v>
      </c>
      <c r="B170" t="s">
        <v>80</v>
      </c>
      <c r="C170">
        <v>0.99999999999999645</v>
      </c>
      <c r="D170">
        <v>0.25399999999999912</v>
      </c>
    </row>
    <row r="171" spans="1:4" x14ac:dyDescent="0.7">
      <c r="A171" t="s">
        <v>75</v>
      </c>
      <c r="B171" t="s">
        <v>80</v>
      </c>
      <c r="C171">
        <v>1.9999999999999929</v>
      </c>
      <c r="D171">
        <v>0.25399999999999912</v>
      </c>
    </row>
    <row r="172" spans="1:4" x14ac:dyDescent="0.7">
      <c r="A172" t="s">
        <v>75</v>
      </c>
      <c r="B172" t="s">
        <v>80</v>
      </c>
      <c r="C172">
        <v>2.9999999999999893</v>
      </c>
      <c r="D172">
        <v>0.25399999999999912</v>
      </c>
    </row>
    <row r="173" spans="1:4" x14ac:dyDescent="0.7">
      <c r="A173" t="s">
        <v>75</v>
      </c>
      <c r="B173" t="s">
        <v>80</v>
      </c>
      <c r="C173">
        <v>3.9999999999999858</v>
      </c>
      <c r="D173">
        <v>0.25399999999999912</v>
      </c>
    </row>
    <row r="174" spans="1:4" x14ac:dyDescent="0.7">
      <c r="A174" t="s">
        <v>75</v>
      </c>
      <c r="B174" t="s">
        <v>80</v>
      </c>
      <c r="C174">
        <v>8.999999999999968</v>
      </c>
      <c r="D174">
        <v>0.25399999999999912</v>
      </c>
    </row>
    <row r="175" spans="1:4" x14ac:dyDescent="0.7">
      <c r="A175" t="s">
        <v>75</v>
      </c>
      <c r="B175" t="s">
        <v>80</v>
      </c>
      <c r="C175">
        <v>18.999999999999932</v>
      </c>
      <c r="D175">
        <v>0.25399999999999912</v>
      </c>
    </row>
    <row r="176" spans="1:4" x14ac:dyDescent="0.7">
      <c r="A176" t="s">
        <v>75</v>
      </c>
      <c r="B176" t="s">
        <v>80</v>
      </c>
      <c r="C176">
        <v>39.000000000000021</v>
      </c>
      <c r="D176">
        <v>0.38100000000000089</v>
      </c>
    </row>
    <row r="177" spans="1:4" x14ac:dyDescent="0.7">
      <c r="A177" t="s">
        <v>75</v>
      </c>
      <c r="B177" t="s">
        <v>80</v>
      </c>
      <c r="C177">
        <v>69</v>
      </c>
      <c r="D177">
        <v>0.50800000000000267</v>
      </c>
    </row>
    <row r="178" spans="1:4" x14ac:dyDescent="0.7">
      <c r="A178" t="s">
        <v>75</v>
      </c>
      <c r="B178" t="s">
        <v>80</v>
      </c>
      <c r="C178">
        <v>98.999999999999972</v>
      </c>
      <c r="D178">
        <v>0.50800000000000267</v>
      </c>
    </row>
    <row r="179" spans="1:4" x14ac:dyDescent="0.7">
      <c r="A179" t="s">
        <v>75</v>
      </c>
      <c r="B179" t="s">
        <v>80</v>
      </c>
      <c r="C179">
        <v>128.99999999999994</v>
      </c>
      <c r="D179">
        <v>0.63500000000000001</v>
      </c>
    </row>
    <row r="180" spans="1:4" x14ac:dyDescent="0.7">
      <c r="A180" t="s">
        <v>75</v>
      </c>
      <c r="B180" t="s">
        <v>80</v>
      </c>
      <c r="C180">
        <v>159</v>
      </c>
      <c r="D180">
        <v>0.63500000000000001</v>
      </c>
    </row>
    <row r="181" spans="1:4" x14ac:dyDescent="0.7">
      <c r="A181" t="s">
        <v>75</v>
      </c>
      <c r="B181" t="s">
        <v>80</v>
      </c>
      <c r="C181">
        <v>189.00000000000006</v>
      </c>
      <c r="D181">
        <v>0.76200000000000179</v>
      </c>
    </row>
    <row r="182" spans="1:4" x14ac:dyDescent="0.7">
      <c r="A182" t="s">
        <v>76</v>
      </c>
      <c r="B182" t="s">
        <v>80</v>
      </c>
      <c r="C182">
        <v>1.0000000000000764</v>
      </c>
      <c r="D182">
        <v>0.50799999999999823</v>
      </c>
    </row>
    <row r="183" spans="1:4" x14ac:dyDescent="0.7">
      <c r="A183" t="s">
        <v>76</v>
      </c>
      <c r="B183" t="s">
        <v>80</v>
      </c>
      <c r="C183">
        <v>1.9999999999999929</v>
      </c>
      <c r="D183">
        <v>0.50799999999999823</v>
      </c>
    </row>
    <row r="184" spans="1:4" x14ac:dyDescent="0.7">
      <c r="A184" t="s">
        <v>76</v>
      </c>
      <c r="B184" t="s">
        <v>80</v>
      </c>
      <c r="C184">
        <v>3.0000000000000693</v>
      </c>
      <c r="D184">
        <v>0.50799999999999823</v>
      </c>
    </row>
    <row r="185" spans="1:4" x14ac:dyDescent="0.7">
      <c r="A185" t="s">
        <v>76</v>
      </c>
      <c r="B185" t="s">
        <v>80</v>
      </c>
      <c r="C185">
        <v>3.9999999999999858</v>
      </c>
      <c r="D185">
        <v>0.50799999999999823</v>
      </c>
    </row>
    <row r="186" spans="1:4" x14ac:dyDescent="0.7">
      <c r="A186" t="s">
        <v>76</v>
      </c>
      <c r="B186" t="s">
        <v>80</v>
      </c>
      <c r="C186">
        <v>9.000000000000048</v>
      </c>
      <c r="D186">
        <v>0.50799999999999823</v>
      </c>
    </row>
    <row r="187" spans="1:4" x14ac:dyDescent="0.7">
      <c r="A187" t="s">
        <v>76</v>
      </c>
      <c r="B187" t="s">
        <v>80</v>
      </c>
      <c r="C187">
        <v>19.000000000000014</v>
      </c>
      <c r="D187">
        <v>0.50799999999999823</v>
      </c>
    </row>
    <row r="188" spans="1:4" x14ac:dyDescent="0.7">
      <c r="A188" t="s">
        <v>76</v>
      </c>
      <c r="B188" t="s">
        <v>80</v>
      </c>
      <c r="C188">
        <v>39.000000000000021</v>
      </c>
      <c r="D188">
        <v>0.50799999999999823</v>
      </c>
    </row>
    <row r="189" spans="1:4" x14ac:dyDescent="0.7">
      <c r="A189" t="s">
        <v>76</v>
      </c>
      <c r="B189" t="s">
        <v>80</v>
      </c>
      <c r="C189">
        <v>69</v>
      </c>
      <c r="D189">
        <v>0.63500000000000001</v>
      </c>
    </row>
    <row r="190" spans="1:4" x14ac:dyDescent="0.7">
      <c r="A190" t="s">
        <v>76</v>
      </c>
      <c r="B190" t="s">
        <v>80</v>
      </c>
      <c r="C190">
        <v>99.000000000000043</v>
      </c>
      <c r="D190">
        <v>0.63500000000000001</v>
      </c>
    </row>
    <row r="191" spans="1:4" x14ac:dyDescent="0.7">
      <c r="A191" t="s">
        <v>76</v>
      </c>
      <c r="B191" t="s">
        <v>80</v>
      </c>
      <c r="C191">
        <v>129.00000000000003</v>
      </c>
      <c r="D191">
        <v>0.76199999999999735</v>
      </c>
    </row>
    <row r="192" spans="1:4" x14ac:dyDescent="0.7">
      <c r="A192" t="s">
        <v>76</v>
      </c>
      <c r="B192" t="s">
        <v>80</v>
      </c>
      <c r="C192">
        <v>159.00000000000009</v>
      </c>
      <c r="D192">
        <v>0.76199999999999735</v>
      </c>
    </row>
    <row r="193" spans="1:4" x14ac:dyDescent="0.7">
      <c r="A193" s="26" t="s">
        <v>76</v>
      </c>
      <c r="B193" s="26" t="s">
        <v>80</v>
      </c>
      <c r="C193" s="26">
        <v>188.99999999999997</v>
      </c>
      <c r="D193" s="26">
        <v>0.88899999999999912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525B2-4973-4DB0-BF09-0956236DD970}">
  <sheetPr codeName="Sheet18"/>
  <dimension ref="A1:K33"/>
  <sheetViews>
    <sheetView topLeftCell="A5" workbookViewId="0">
      <selection activeCell="K28" sqref="K28"/>
    </sheetView>
  </sheetViews>
  <sheetFormatPr defaultRowHeight="18.3" x14ac:dyDescent="0.7"/>
  <cols>
    <col min="1" max="1" width="20.6640625" style="4" bestFit="1" customWidth="1"/>
    <col min="2" max="2" width="13.33203125" style="8" customWidth="1"/>
    <col min="3" max="3" width="13.9140625" style="8" customWidth="1"/>
    <col min="4" max="4" width="11.75" style="4" customWidth="1"/>
    <col min="5" max="5" width="11.5" style="2" bestFit="1" customWidth="1"/>
    <col min="6" max="6" width="11.5" style="2" customWidth="1"/>
    <col min="7" max="7" width="7.08203125" style="2" bestFit="1" customWidth="1"/>
    <col min="8" max="8" width="7.33203125" style="2" bestFit="1" customWidth="1"/>
    <col min="9" max="9" width="8.1640625" style="2" bestFit="1" customWidth="1"/>
    <col min="10" max="10" width="12.08203125" style="2" bestFit="1" customWidth="1"/>
    <col min="11" max="16384" width="8.6640625" style="2"/>
  </cols>
  <sheetData>
    <row r="1" spans="1:11" s="1" customFormat="1" x14ac:dyDescent="0.7">
      <c r="A1" s="3" t="s">
        <v>0</v>
      </c>
      <c r="B1" s="10">
        <v>44978</v>
      </c>
      <c r="C1" s="7"/>
      <c r="D1" s="3"/>
    </row>
    <row r="2" spans="1:11" x14ac:dyDescent="0.7">
      <c r="A2" s="3" t="s">
        <v>1</v>
      </c>
      <c r="B2" s="6" t="s">
        <v>83</v>
      </c>
    </row>
    <row r="3" spans="1:11" x14ac:dyDescent="0.7">
      <c r="A3" s="3" t="s">
        <v>7</v>
      </c>
      <c r="B3" s="6" t="s">
        <v>27</v>
      </c>
    </row>
    <row r="4" spans="1:11" x14ac:dyDescent="0.7">
      <c r="A4" s="3" t="s">
        <v>5</v>
      </c>
      <c r="B4" s="6" t="s">
        <v>82</v>
      </c>
    </row>
    <row r="5" spans="1:11" x14ac:dyDescent="0.7">
      <c r="A5" s="3" t="s">
        <v>6</v>
      </c>
      <c r="B5" s="6" t="s">
        <v>84</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row>
    <row r="9" spans="1:11" x14ac:dyDescent="0.7">
      <c r="A9" s="15">
        <v>0.44097222222222227</v>
      </c>
      <c r="B9" s="8">
        <v>6.8</v>
      </c>
      <c r="C9" s="8">
        <v>7.95</v>
      </c>
      <c r="E9" s="14" t="s">
        <v>14</v>
      </c>
      <c r="F9" s="14" t="s">
        <v>14</v>
      </c>
      <c r="G9" s="14" t="s">
        <v>14</v>
      </c>
      <c r="H9" s="11" t="s">
        <v>14</v>
      </c>
      <c r="I9" s="11" t="s">
        <v>14</v>
      </c>
      <c r="J9" s="9" t="s">
        <v>14</v>
      </c>
    </row>
    <row r="10" spans="1:11" x14ac:dyDescent="0.7">
      <c r="A10" s="15">
        <v>0.44166666666666665</v>
      </c>
      <c r="B10" s="8">
        <v>7</v>
      </c>
      <c r="C10" s="8">
        <v>8.8000000000000007</v>
      </c>
      <c r="E10" s="13">
        <f>(A10-A$9)*24*60</f>
        <v>0.99999999999991651</v>
      </c>
      <c r="F10" s="13">
        <f>SQRT(E10)</f>
        <v>0.99999999999995826</v>
      </c>
      <c r="G10" s="13">
        <f>(A10-A9)*24*60</f>
        <v>0.99999999999991651</v>
      </c>
      <c r="H10" s="8">
        <f>2.54*(B10-B9)</f>
        <v>0.50800000000000045</v>
      </c>
      <c r="I10" s="8">
        <f t="shared" ref="I10" si="0">2.54*(C10-C9)</f>
        <v>2.1590000000000016</v>
      </c>
      <c r="J10" s="8">
        <f>SUM(H10,J9)</f>
        <v>0.50800000000000045</v>
      </c>
      <c r="K10" s="2">
        <f t="shared" ref="K10:K28" si="1">1/SQRT(E10)</f>
        <v>1.0000000000000417</v>
      </c>
    </row>
    <row r="11" spans="1:11" x14ac:dyDescent="0.7">
      <c r="A11" s="15">
        <v>0.44236111111111115</v>
      </c>
      <c r="B11" s="8">
        <v>7</v>
      </c>
      <c r="C11" s="8">
        <v>9.4</v>
      </c>
      <c r="E11" s="13">
        <f t="shared" ref="E11:E28" si="2">(A11-A$9)*24*60</f>
        <v>1.9999999999999929</v>
      </c>
      <c r="F11" s="13">
        <f t="shared" ref="F11:F28" si="3">SQRT(E11)</f>
        <v>1.4142135623730925</v>
      </c>
      <c r="G11" s="13">
        <f t="shared" ref="G11:G28" si="4">(A11-A10)*24*60</f>
        <v>1.0000000000000764</v>
      </c>
      <c r="H11" s="8">
        <f t="shared" ref="H11:H28" si="5">2.54*(B11-B10)</f>
        <v>0</v>
      </c>
      <c r="I11" s="8">
        <f t="shared" ref="I11:I28" si="6">2.54*(C11-C10)</f>
        <v>1.5239999999999991</v>
      </c>
      <c r="J11" s="8">
        <f t="shared" ref="J11:J28" si="7">SUM(H11,J10)</f>
        <v>0.50800000000000045</v>
      </c>
      <c r="K11" s="2">
        <f t="shared" si="1"/>
        <v>0.70710678118654879</v>
      </c>
    </row>
    <row r="12" spans="1:11" x14ac:dyDescent="0.7">
      <c r="A12" s="15">
        <v>0.44305555555555554</v>
      </c>
      <c r="B12" s="8">
        <v>7.2</v>
      </c>
      <c r="C12" s="8">
        <v>10.1</v>
      </c>
      <c r="E12" s="13">
        <f t="shared" si="2"/>
        <v>2.9999999999999094</v>
      </c>
      <c r="F12" s="13">
        <f t="shared" si="3"/>
        <v>1.7320508075688512</v>
      </c>
      <c r="G12" s="13">
        <f t="shared" si="4"/>
        <v>0.99999999999991651</v>
      </c>
      <c r="H12" s="8">
        <f t="shared" si="5"/>
        <v>0.50800000000000045</v>
      </c>
      <c r="I12" s="8">
        <f t="shared" si="6"/>
        <v>1.7779999999999982</v>
      </c>
      <c r="J12" s="8">
        <f t="shared" si="7"/>
        <v>1.0160000000000009</v>
      </c>
      <c r="K12" s="2">
        <f t="shared" si="1"/>
        <v>0.5773502691896345</v>
      </c>
    </row>
    <row r="13" spans="1:11" x14ac:dyDescent="0.7">
      <c r="A13" s="15">
        <v>0.44375000000000003</v>
      </c>
      <c r="B13" s="8">
        <v>7.35</v>
      </c>
      <c r="C13" s="8">
        <v>10.6</v>
      </c>
      <c r="E13" s="13">
        <f t="shared" si="2"/>
        <v>3.9999999999999858</v>
      </c>
      <c r="F13" s="13">
        <f t="shared" si="3"/>
        <v>1.9999999999999964</v>
      </c>
      <c r="G13" s="13">
        <f t="shared" si="4"/>
        <v>1.0000000000000764</v>
      </c>
      <c r="H13" s="8">
        <f t="shared" si="5"/>
        <v>0.38099999999999867</v>
      </c>
      <c r="I13" s="8">
        <f t="shared" si="6"/>
        <v>1.27</v>
      </c>
      <c r="J13" s="8">
        <f t="shared" si="7"/>
        <v>1.3969999999999996</v>
      </c>
      <c r="K13" s="2">
        <f t="shared" si="1"/>
        <v>0.50000000000000089</v>
      </c>
    </row>
    <row r="14" spans="1:11" x14ac:dyDescent="0.7">
      <c r="A14" s="15">
        <v>0.44722222222222219</v>
      </c>
      <c r="B14" s="8">
        <v>7.8</v>
      </c>
      <c r="C14" s="8">
        <v>12.8</v>
      </c>
      <c r="E14" s="13">
        <f t="shared" si="2"/>
        <v>8.9999999999998881</v>
      </c>
      <c r="F14" s="13">
        <f t="shared" si="3"/>
        <v>2.9999999999999813</v>
      </c>
      <c r="G14" s="13">
        <f t="shared" si="4"/>
        <v>4.9999999999999023</v>
      </c>
      <c r="H14" s="8">
        <f t="shared" si="5"/>
        <v>1.1430000000000005</v>
      </c>
      <c r="I14" s="8">
        <f t="shared" si="6"/>
        <v>5.5880000000000027</v>
      </c>
      <c r="J14" s="8">
        <f t="shared" si="7"/>
        <v>2.54</v>
      </c>
      <c r="K14" s="2">
        <f t="shared" si="1"/>
        <v>0.33333333333333542</v>
      </c>
    </row>
    <row r="15" spans="1:11" x14ac:dyDescent="0.7">
      <c r="A15" s="15">
        <v>0.44722222222222219</v>
      </c>
      <c r="C15" s="8">
        <v>9.9</v>
      </c>
      <c r="D15" s="4" t="s">
        <v>45</v>
      </c>
      <c r="E15" s="13">
        <f t="shared" si="2"/>
        <v>8.9999999999998881</v>
      </c>
      <c r="F15" s="13">
        <f t="shared" si="3"/>
        <v>2.9999999999999813</v>
      </c>
      <c r="G15" s="13">
        <f t="shared" si="4"/>
        <v>0</v>
      </c>
      <c r="H15" s="8"/>
      <c r="I15" s="8"/>
      <c r="J15" s="8"/>
      <c r="K15" s="2">
        <f t="shared" si="1"/>
        <v>0.33333333333333542</v>
      </c>
    </row>
    <row r="16" spans="1:11" x14ac:dyDescent="0.7">
      <c r="A16" s="15">
        <v>0.45416666666666666</v>
      </c>
      <c r="B16" s="8">
        <v>8.85</v>
      </c>
      <c r="C16" s="8">
        <v>13.7</v>
      </c>
      <c r="E16" s="13">
        <f t="shared" si="2"/>
        <v>18.999999999999932</v>
      </c>
      <c r="F16" s="13">
        <f t="shared" si="3"/>
        <v>4.358898943540666</v>
      </c>
      <c r="G16" s="13">
        <f>(A16-A14)*24*60</f>
        <v>10.000000000000044</v>
      </c>
      <c r="H16" s="8">
        <f>2.54*(B16-B14)</f>
        <v>2.6669999999999994</v>
      </c>
      <c r="I16" s="8">
        <f>2.54*(C16-C15)</f>
        <v>9.6519999999999975</v>
      </c>
      <c r="J16" s="8">
        <f>SUM(H16,J14)</f>
        <v>5.206999999999999</v>
      </c>
      <c r="K16" s="2">
        <f t="shared" si="1"/>
        <v>0.22941573387056216</v>
      </c>
    </row>
    <row r="17" spans="1:11" x14ac:dyDescent="0.7">
      <c r="A17" s="15">
        <v>0.45416666666666666</v>
      </c>
      <c r="C17" s="8">
        <v>7.75</v>
      </c>
      <c r="D17" s="4" t="s">
        <v>45</v>
      </c>
      <c r="E17" s="13">
        <f t="shared" si="2"/>
        <v>18.999999999999932</v>
      </c>
      <c r="F17" s="13">
        <f t="shared" si="3"/>
        <v>4.358898943540666</v>
      </c>
      <c r="G17" s="13">
        <f t="shared" si="4"/>
        <v>0</v>
      </c>
      <c r="H17" s="8"/>
      <c r="I17" s="8"/>
      <c r="J17" s="8"/>
      <c r="K17" s="2">
        <f t="shared" si="1"/>
        <v>0.22941573387056216</v>
      </c>
    </row>
    <row r="18" spans="1:11" x14ac:dyDescent="0.7">
      <c r="A18" s="15">
        <v>0.4680555555555555</v>
      </c>
      <c r="B18" s="8">
        <v>9.98</v>
      </c>
      <c r="C18" s="8">
        <v>13.7</v>
      </c>
      <c r="E18" s="13">
        <f t="shared" si="2"/>
        <v>38.999999999999858</v>
      </c>
      <c r="F18" s="13">
        <f t="shared" si="3"/>
        <v>6.2449979983983868</v>
      </c>
      <c r="G18" s="13">
        <f t="shared" si="4"/>
        <v>19.999999999999929</v>
      </c>
      <c r="H18" s="8">
        <f>2.54*(B18-B16)</f>
        <v>2.8702000000000019</v>
      </c>
      <c r="I18" s="8">
        <f>2.54*(C18-C17)</f>
        <v>15.112999999999998</v>
      </c>
      <c r="J18" s="8">
        <f>SUM(H18,J16)</f>
        <v>8.0772000000000013</v>
      </c>
      <c r="K18" s="2">
        <f t="shared" si="1"/>
        <v>0.16012815380508744</v>
      </c>
    </row>
    <row r="19" spans="1:11" x14ac:dyDescent="0.7">
      <c r="A19" s="15">
        <v>0.4680555555555555</v>
      </c>
      <c r="C19" s="8">
        <v>9.98</v>
      </c>
      <c r="D19" s="4" t="s">
        <v>45</v>
      </c>
      <c r="E19" s="13">
        <f t="shared" si="2"/>
        <v>38.999999999999858</v>
      </c>
      <c r="F19" s="13">
        <f t="shared" si="3"/>
        <v>6.2449979983983868</v>
      </c>
      <c r="G19" s="13">
        <f t="shared" si="4"/>
        <v>0</v>
      </c>
      <c r="H19" s="8"/>
      <c r="I19" s="8"/>
      <c r="J19" s="8"/>
      <c r="K19" s="2">
        <f t="shared" si="1"/>
        <v>0.16012815380508744</v>
      </c>
    </row>
    <row r="20" spans="1:11" x14ac:dyDescent="0.7">
      <c r="A20" s="15">
        <v>0.48472222222222222</v>
      </c>
      <c r="C20" s="8" t="s">
        <v>86</v>
      </c>
      <c r="E20" s="13">
        <f t="shared" si="2"/>
        <v>62.999999999999936</v>
      </c>
      <c r="F20" s="13">
        <f t="shared" si="3"/>
        <v>7.9372539331937677</v>
      </c>
      <c r="G20" s="13">
        <f t="shared" si="4"/>
        <v>24.000000000000075</v>
      </c>
      <c r="H20" s="8"/>
      <c r="I20" s="8"/>
      <c r="J20" s="8"/>
      <c r="K20" s="2">
        <f t="shared" si="1"/>
        <v>0.12598815766974247</v>
      </c>
    </row>
    <row r="21" spans="1:11" x14ac:dyDescent="0.7">
      <c r="A21" s="15">
        <v>0.48472222222222222</v>
      </c>
      <c r="C21" s="8">
        <v>8.4</v>
      </c>
      <c r="D21" s="4" t="s">
        <v>45</v>
      </c>
      <c r="E21" s="13">
        <f t="shared" si="2"/>
        <v>62.999999999999936</v>
      </c>
      <c r="F21" s="13">
        <f t="shared" si="3"/>
        <v>7.9372539331937677</v>
      </c>
      <c r="G21" s="13">
        <f t="shared" si="4"/>
        <v>0</v>
      </c>
      <c r="H21" s="8"/>
      <c r="I21" s="8"/>
      <c r="J21" s="8"/>
      <c r="K21" s="2">
        <f t="shared" si="1"/>
        <v>0.12598815766974247</v>
      </c>
    </row>
    <row r="22" spans="1:11" x14ac:dyDescent="0.7">
      <c r="A22" s="15">
        <v>0.48888888888888887</v>
      </c>
      <c r="B22" s="8">
        <v>11.6</v>
      </c>
      <c r="C22" s="8">
        <v>9.42</v>
      </c>
      <c r="E22" s="13">
        <f t="shared" si="2"/>
        <v>68.999999999999915</v>
      </c>
      <c r="F22" s="13">
        <f t="shared" si="3"/>
        <v>8.3066238629180695</v>
      </c>
      <c r="G22" s="13">
        <f t="shared" si="4"/>
        <v>5.9999999999999787</v>
      </c>
      <c r="H22" s="8">
        <f>2.54*(B22-B18)</f>
        <v>4.114799999999998</v>
      </c>
      <c r="I22" s="8">
        <f t="shared" si="6"/>
        <v>2.5907999999999989</v>
      </c>
      <c r="J22" s="8">
        <f>SUM(H22,J18)</f>
        <v>12.192</v>
      </c>
      <c r="K22" s="2">
        <f t="shared" si="1"/>
        <v>0.12038585308576928</v>
      </c>
    </row>
    <row r="23" spans="1:11" x14ac:dyDescent="0.7">
      <c r="A23" s="15">
        <v>0.50972222222222219</v>
      </c>
      <c r="B23" s="8">
        <v>12.5</v>
      </c>
      <c r="C23" s="8">
        <v>15.3</v>
      </c>
      <c r="E23" s="13">
        <f t="shared" si="2"/>
        <v>98.999999999999886</v>
      </c>
      <c r="F23" s="13">
        <f t="shared" si="3"/>
        <v>9.9498743710661941</v>
      </c>
      <c r="G23" s="13">
        <f t="shared" si="4"/>
        <v>29.999999999999972</v>
      </c>
      <c r="H23" s="8">
        <f t="shared" si="5"/>
        <v>2.2860000000000009</v>
      </c>
      <c r="I23" s="8">
        <f t="shared" si="6"/>
        <v>14.935200000000002</v>
      </c>
      <c r="J23" s="8">
        <f t="shared" si="7"/>
        <v>14.478000000000002</v>
      </c>
      <c r="K23" s="2">
        <f t="shared" si="1"/>
        <v>0.10050378152592127</v>
      </c>
    </row>
    <row r="24" spans="1:11" x14ac:dyDescent="0.7">
      <c r="A24" s="15">
        <v>0.50972222222222219</v>
      </c>
      <c r="C24" s="8">
        <v>9.6999999999999993</v>
      </c>
      <c r="D24" s="4" t="s">
        <v>45</v>
      </c>
      <c r="E24" s="13">
        <f t="shared" si="2"/>
        <v>98.999999999999886</v>
      </c>
      <c r="F24" s="13">
        <f t="shared" si="3"/>
        <v>9.9498743710661941</v>
      </c>
      <c r="G24" s="13">
        <f t="shared" si="4"/>
        <v>0</v>
      </c>
      <c r="H24" s="8"/>
      <c r="I24" s="8"/>
      <c r="J24" s="8"/>
      <c r="K24" s="2">
        <f t="shared" si="1"/>
        <v>0.10050378152592127</v>
      </c>
    </row>
    <row r="25" spans="1:11" x14ac:dyDescent="0.7">
      <c r="A25" s="15">
        <v>0.53055555555555556</v>
      </c>
      <c r="B25" s="8">
        <v>13.4</v>
      </c>
      <c r="C25" s="8">
        <v>14.6</v>
      </c>
      <c r="E25" s="13">
        <f t="shared" si="2"/>
        <v>128.99999999999994</v>
      </c>
      <c r="F25" s="13">
        <f t="shared" si="3"/>
        <v>11.357816691600545</v>
      </c>
      <c r="G25" s="13">
        <f t="shared" si="4"/>
        <v>30.000000000000053</v>
      </c>
      <c r="H25" s="8">
        <f>2.54*(B25-B23)</f>
        <v>2.2860000000000009</v>
      </c>
      <c r="I25" s="8">
        <f t="shared" si="6"/>
        <v>12.446000000000002</v>
      </c>
      <c r="J25" s="8">
        <f>SUM(H25,J23)</f>
        <v>16.764000000000003</v>
      </c>
      <c r="K25" s="2">
        <f t="shared" si="1"/>
        <v>8.8045090632562398E-2</v>
      </c>
    </row>
    <row r="26" spans="1:11" x14ac:dyDescent="0.7">
      <c r="A26" s="15">
        <v>0.53055555555555556</v>
      </c>
      <c r="B26" s="8">
        <v>6.8</v>
      </c>
      <c r="C26" s="8">
        <v>7.3</v>
      </c>
      <c r="D26" s="4" t="s">
        <v>45</v>
      </c>
      <c r="E26" s="13">
        <f t="shared" si="2"/>
        <v>128.99999999999994</v>
      </c>
      <c r="F26" s="13">
        <f t="shared" si="3"/>
        <v>11.357816691600545</v>
      </c>
      <c r="G26" s="13">
        <f t="shared" si="4"/>
        <v>0</v>
      </c>
      <c r="H26" s="8"/>
      <c r="I26" s="8"/>
      <c r="J26" s="8"/>
      <c r="K26" s="2">
        <f t="shared" si="1"/>
        <v>8.8045090632562398E-2</v>
      </c>
    </row>
    <row r="27" spans="1:11" x14ac:dyDescent="0.7">
      <c r="A27" s="15">
        <v>0.55138888888888882</v>
      </c>
      <c r="B27" s="8">
        <v>8.8000000000000007</v>
      </c>
      <c r="C27" s="8">
        <v>12.9</v>
      </c>
      <c r="E27" s="13">
        <f t="shared" si="2"/>
        <v>158.99999999999983</v>
      </c>
      <c r="F27" s="13">
        <f t="shared" si="3"/>
        <v>12.609520212918484</v>
      </c>
      <c r="G27" s="13">
        <f t="shared" si="4"/>
        <v>29.999999999999893</v>
      </c>
      <c r="H27" s="8">
        <f t="shared" si="5"/>
        <v>5.0800000000000027</v>
      </c>
      <c r="I27" s="8">
        <f t="shared" si="6"/>
        <v>14.224000000000002</v>
      </c>
      <c r="J27" s="8">
        <f>SUM(H27,J25)</f>
        <v>21.844000000000005</v>
      </c>
      <c r="K27" s="2">
        <f t="shared" si="1"/>
        <v>7.9305158571814457E-2</v>
      </c>
    </row>
    <row r="28" spans="1:11" x14ac:dyDescent="0.7">
      <c r="A28" s="15">
        <v>0.57222222222222219</v>
      </c>
      <c r="B28" s="8">
        <v>10.5</v>
      </c>
      <c r="C28" s="8">
        <v>15.1</v>
      </c>
      <c r="E28" s="13">
        <f t="shared" si="2"/>
        <v>188.99999999999989</v>
      </c>
      <c r="F28" s="13">
        <f t="shared" si="3"/>
        <v>13.747727084867515</v>
      </c>
      <c r="G28" s="13">
        <f t="shared" si="4"/>
        <v>30.000000000000053</v>
      </c>
      <c r="H28" s="8">
        <f t="shared" si="5"/>
        <v>4.3179999999999978</v>
      </c>
      <c r="I28" s="8">
        <f t="shared" si="6"/>
        <v>5.5879999999999983</v>
      </c>
      <c r="J28" s="8">
        <f t="shared" si="7"/>
        <v>26.162000000000003</v>
      </c>
      <c r="K28" s="2">
        <f t="shared" si="1"/>
        <v>7.273929674533082E-2</v>
      </c>
    </row>
    <row r="29" spans="1:11" x14ac:dyDescent="0.7">
      <c r="E29" s="13"/>
      <c r="F29" s="13"/>
      <c r="J29" s="8"/>
    </row>
    <row r="30" spans="1:11" x14ac:dyDescent="0.7">
      <c r="E30" s="13"/>
      <c r="F30" s="13"/>
      <c r="J30" s="8"/>
    </row>
    <row r="31" spans="1:11" x14ac:dyDescent="0.7">
      <c r="E31" s="13"/>
      <c r="F31" s="13"/>
      <c r="J31" s="8"/>
    </row>
    <row r="32" spans="1:11" x14ac:dyDescent="0.7">
      <c r="E32" s="13"/>
      <c r="F32" s="13"/>
      <c r="J32" s="8"/>
    </row>
    <row r="33" spans="5:10" x14ac:dyDescent="0.7">
      <c r="E33" s="13"/>
      <c r="F33" s="13"/>
      <c r="J33" s="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1EBF-88AD-4F55-B69F-8AC57A7084E9}">
  <sheetPr codeName="Sheet19"/>
  <dimension ref="A1:K28"/>
  <sheetViews>
    <sheetView workbookViewId="0">
      <selection activeCell="K10" sqref="K10:K24"/>
    </sheetView>
  </sheetViews>
  <sheetFormatPr defaultRowHeight="18.3" x14ac:dyDescent="0.7"/>
  <cols>
    <col min="1" max="1" width="20.6640625" style="4" bestFit="1" customWidth="1"/>
    <col min="2" max="2" width="13.33203125" style="8" customWidth="1"/>
    <col min="3" max="3" width="13.9140625" style="8" customWidth="1"/>
    <col min="4" max="4" width="11.75" style="4" customWidth="1"/>
    <col min="5" max="5" width="11.5" style="2" bestFit="1" customWidth="1"/>
    <col min="6" max="6" width="11.5" style="2" customWidth="1"/>
    <col min="7" max="7" width="7.08203125" style="2" bestFit="1" customWidth="1"/>
    <col min="8" max="8" width="7.33203125" style="2" bestFit="1" customWidth="1"/>
    <col min="9" max="9" width="8.1640625" style="2" bestFit="1" customWidth="1"/>
    <col min="10" max="10" width="12.08203125" style="2" bestFit="1" customWidth="1"/>
    <col min="11" max="16384" width="8.6640625" style="2"/>
  </cols>
  <sheetData>
    <row r="1" spans="1:11" s="1" customFormat="1" x14ac:dyDescent="0.7">
      <c r="A1" s="3" t="s">
        <v>0</v>
      </c>
      <c r="B1" s="10">
        <v>44978</v>
      </c>
      <c r="C1" s="7"/>
      <c r="D1" s="3"/>
    </row>
    <row r="2" spans="1:11" x14ac:dyDescent="0.7">
      <c r="A2" s="3" t="s">
        <v>1</v>
      </c>
      <c r="B2" s="6" t="s">
        <v>83</v>
      </c>
    </row>
    <row r="3" spans="1:11" x14ac:dyDescent="0.7">
      <c r="A3" s="3" t="s">
        <v>7</v>
      </c>
      <c r="B3" s="6" t="s">
        <v>27</v>
      </c>
    </row>
    <row r="4" spans="1:11" x14ac:dyDescent="0.7">
      <c r="A4" s="3" t="s">
        <v>5</v>
      </c>
      <c r="B4" s="6" t="s">
        <v>87</v>
      </c>
    </row>
    <row r="5" spans="1:11" x14ac:dyDescent="0.7">
      <c r="A5" s="3" t="s">
        <v>6</v>
      </c>
      <c r="B5" s="6" t="s">
        <v>88</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row>
    <row r="9" spans="1:11" x14ac:dyDescent="0.7">
      <c r="A9" s="19">
        <v>0.45763888888888887</v>
      </c>
      <c r="B9" s="8">
        <v>8.4</v>
      </c>
      <c r="C9" s="8">
        <v>9</v>
      </c>
      <c r="E9" s="14" t="s">
        <v>14</v>
      </c>
      <c r="F9" s="14" t="s">
        <v>14</v>
      </c>
      <c r="G9" s="14" t="s">
        <v>14</v>
      </c>
      <c r="H9" s="11" t="s">
        <v>14</v>
      </c>
      <c r="I9" s="11" t="s">
        <v>14</v>
      </c>
      <c r="J9" s="9" t="s">
        <v>14</v>
      </c>
    </row>
    <row r="10" spans="1:11" x14ac:dyDescent="0.7">
      <c r="A10" s="19">
        <v>0.45833333333333331</v>
      </c>
      <c r="B10" s="8">
        <v>8.5500000000000007</v>
      </c>
      <c r="C10" s="8">
        <v>9.3000000000000007</v>
      </c>
      <c r="E10" s="13">
        <f>(A10-A$9)*24*60</f>
        <v>0.99999999999999645</v>
      </c>
      <c r="F10" s="13">
        <f>SQRT(E10)</f>
        <v>0.99999999999999822</v>
      </c>
      <c r="G10" s="13">
        <f>(A10-A9)*24*60</f>
        <v>0.99999999999999645</v>
      </c>
      <c r="H10" s="8">
        <f>2.54*(B10-B9)</f>
        <v>0.38100000000000089</v>
      </c>
      <c r="I10" s="8">
        <f t="shared" ref="I10" si="0">2.54*(C10-C9)</f>
        <v>0.76200000000000179</v>
      </c>
      <c r="J10" s="8">
        <f>SUM(H10,J9)</f>
        <v>0.38100000000000089</v>
      </c>
      <c r="K10" s="2">
        <f t="shared" ref="K10:K24" si="1">1/SQRT(E10)</f>
        <v>1.0000000000000018</v>
      </c>
    </row>
    <row r="11" spans="1:11" x14ac:dyDescent="0.7">
      <c r="A11" s="19">
        <v>0.45902777777777781</v>
      </c>
      <c r="B11" s="8">
        <v>8.6</v>
      </c>
      <c r="C11" s="8">
        <v>9.5299999999999994</v>
      </c>
      <c r="E11" s="13">
        <f t="shared" ref="E11:E24" si="2">(A11-A$9)*24*60</f>
        <v>2.0000000000000728</v>
      </c>
      <c r="F11" s="13">
        <f t="shared" ref="F11:F24" si="3">SQRT(E11)</f>
        <v>1.4142135623731209</v>
      </c>
      <c r="G11" s="13">
        <f t="shared" ref="G11:G24" si="4">(A11-A10)*24*60</f>
        <v>1.0000000000000764</v>
      </c>
      <c r="H11" s="8">
        <f t="shared" ref="H11:H24" si="5">2.54*(B11-B10)</f>
        <v>0.12699999999999728</v>
      </c>
      <c r="I11" s="8">
        <f t="shared" ref="I11:I24" si="6">2.54*(C11-C10)</f>
        <v>0.58419999999999661</v>
      </c>
      <c r="J11" s="8">
        <f t="shared" ref="J11:J24" si="7">SUM(H11,J10)</f>
        <v>0.50799999999999823</v>
      </c>
      <c r="K11" s="2">
        <f t="shared" si="1"/>
        <v>0.70710678118653458</v>
      </c>
    </row>
    <row r="12" spans="1:11" x14ac:dyDescent="0.7">
      <c r="A12" s="19">
        <v>0.4597222222222222</v>
      </c>
      <c r="B12" s="8">
        <v>8.65</v>
      </c>
      <c r="C12" s="8">
        <v>9.8000000000000007</v>
      </c>
      <c r="E12" s="13">
        <f t="shared" si="2"/>
        <v>2.9999999999999893</v>
      </c>
      <c r="F12" s="13">
        <f t="shared" si="3"/>
        <v>1.7320508075688743</v>
      </c>
      <c r="G12" s="13">
        <f t="shared" si="4"/>
        <v>0.99999999999991651</v>
      </c>
      <c r="H12" s="8">
        <f t="shared" si="5"/>
        <v>0.12700000000000181</v>
      </c>
      <c r="I12" s="8">
        <f t="shared" si="6"/>
        <v>0.68580000000000341</v>
      </c>
      <c r="J12" s="8">
        <f t="shared" si="7"/>
        <v>0.63500000000000001</v>
      </c>
      <c r="K12" s="2">
        <f t="shared" si="1"/>
        <v>0.57735026918962673</v>
      </c>
    </row>
    <row r="13" spans="1:11" x14ac:dyDescent="0.7">
      <c r="A13" s="19">
        <v>0.4604166666666667</v>
      </c>
      <c r="B13" s="8">
        <v>8.7200000000000006</v>
      </c>
      <c r="C13" s="8">
        <v>10</v>
      </c>
      <c r="E13" s="13">
        <f t="shared" si="2"/>
        <v>4.0000000000000657</v>
      </c>
      <c r="F13" s="13">
        <f t="shared" si="3"/>
        <v>2.0000000000000164</v>
      </c>
      <c r="G13" s="13">
        <f t="shared" si="4"/>
        <v>1.0000000000000764</v>
      </c>
      <c r="H13" s="8">
        <f t="shared" si="5"/>
        <v>0.17780000000000074</v>
      </c>
      <c r="I13" s="8">
        <f t="shared" si="6"/>
        <v>0.50799999999999823</v>
      </c>
      <c r="J13" s="8">
        <f t="shared" si="7"/>
        <v>0.81280000000000074</v>
      </c>
      <c r="K13" s="2">
        <f t="shared" si="1"/>
        <v>0.49999999999999589</v>
      </c>
    </row>
    <row r="14" spans="1:11" x14ac:dyDescent="0.7">
      <c r="A14" s="19">
        <v>0.46388888888888885</v>
      </c>
      <c r="B14" s="8">
        <v>8.92</v>
      </c>
      <c r="C14" s="8">
        <v>10.93</v>
      </c>
      <c r="E14" s="13">
        <f t="shared" si="2"/>
        <v>8.999999999999968</v>
      </c>
      <c r="F14" s="13">
        <f t="shared" si="3"/>
        <v>2.9999999999999947</v>
      </c>
      <c r="G14" s="13">
        <f t="shared" si="4"/>
        <v>4.9999999999999023</v>
      </c>
      <c r="H14" s="8">
        <f t="shared" si="5"/>
        <v>0.50799999999999823</v>
      </c>
      <c r="I14" s="8">
        <f t="shared" si="6"/>
        <v>2.3621999999999992</v>
      </c>
      <c r="J14" s="8">
        <f t="shared" si="7"/>
        <v>1.3207999999999989</v>
      </c>
      <c r="K14" s="2">
        <f t="shared" si="1"/>
        <v>0.33333333333333393</v>
      </c>
    </row>
    <row r="15" spans="1:11" x14ac:dyDescent="0.7">
      <c r="A15" s="19">
        <v>0.47083333333333338</v>
      </c>
      <c r="B15" s="8">
        <v>9.1999999999999993</v>
      </c>
      <c r="C15" s="8">
        <v>11.9</v>
      </c>
      <c r="E15" s="13">
        <f t="shared" si="2"/>
        <v>19.000000000000092</v>
      </c>
      <c r="F15" s="13">
        <f t="shared" si="3"/>
        <v>4.3588989435406837</v>
      </c>
      <c r="G15" s="13">
        <f t="shared" si="4"/>
        <v>10.000000000000124</v>
      </c>
      <c r="H15" s="8">
        <f t="shared" si="5"/>
        <v>0.71119999999999839</v>
      </c>
      <c r="I15" s="8">
        <f t="shared" si="6"/>
        <v>2.4638000000000018</v>
      </c>
      <c r="J15" s="8">
        <f t="shared" si="7"/>
        <v>2.0319999999999974</v>
      </c>
      <c r="K15" s="2">
        <f t="shared" si="1"/>
        <v>0.22941573387056122</v>
      </c>
    </row>
    <row r="16" spans="1:11" x14ac:dyDescent="0.7">
      <c r="A16" s="19">
        <v>0.47083333333333338</v>
      </c>
      <c r="C16" s="8">
        <v>8.7799999999999994</v>
      </c>
      <c r="E16" s="13">
        <f t="shared" si="2"/>
        <v>19.000000000000092</v>
      </c>
      <c r="F16" s="13">
        <f t="shared" si="3"/>
        <v>4.3588989435406837</v>
      </c>
      <c r="G16" s="13"/>
      <c r="H16" s="8"/>
      <c r="I16" s="8"/>
      <c r="J16" s="8"/>
      <c r="K16" s="2">
        <f t="shared" si="1"/>
        <v>0.22941573387056122</v>
      </c>
    </row>
    <row r="17" spans="1:11" x14ac:dyDescent="0.7">
      <c r="A17" s="19">
        <v>0.48472222222222222</v>
      </c>
      <c r="B17" s="8">
        <v>9.67</v>
      </c>
      <c r="C17" s="8">
        <v>11.2</v>
      </c>
      <c r="E17" s="13">
        <f t="shared" si="2"/>
        <v>39.000000000000021</v>
      </c>
      <c r="F17" s="13">
        <f t="shared" si="3"/>
        <v>6.2449979983984001</v>
      </c>
      <c r="G17" s="13">
        <f>(A17-A15)*24*60</f>
        <v>19.999999999999929</v>
      </c>
      <c r="H17" s="8">
        <f>2.54*(B17-B15)</f>
        <v>1.1938000000000017</v>
      </c>
      <c r="I17" s="8">
        <f t="shared" si="6"/>
        <v>6.1467999999999998</v>
      </c>
      <c r="J17" s="8">
        <f>SUM(H17,J15)</f>
        <v>3.2257999999999991</v>
      </c>
      <c r="K17" s="2">
        <f t="shared" si="1"/>
        <v>0.16012815380508708</v>
      </c>
    </row>
    <row r="18" spans="1:11" x14ac:dyDescent="0.7">
      <c r="A18" s="19">
        <v>0.48472222222222222</v>
      </c>
      <c r="C18" s="8">
        <v>9.6999999999999993</v>
      </c>
      <c r="E18" s="13">
        <f t="shared" si="2"/>
        <v>39.000000000000021</v>
      </c>
      <c r="F18" s="13">
        <f t="shared" si="3"/>
        <v>6.2449979983984001</v>
      </c>
      <c r="G18" s="13"/>
      <c r="H18" s="8"/>
      <c r="I18" s="8"/>
      <c r="J18" s="8"/>
      <c r="K18" s="2">
        <f t="shared" si="1"/>
        <v>0.16012815380508708</v>
      </c>
    </row>
    <row r="19" spans="1:11" x14ac:dyDescent="0.7">
      <c r="A19" s="19">
        <v>0.50555555555555554</v>
      </c>
      <c r="B19" s="8">
        <v>10.199999999999999</v>
      </c>
      <c r="C19" s="8">
        <v>12.5</v>
      </c>
      <c r="E19" s="13">
        <f t="shared" si="2"/>
        <v>69</v>
      </c>
      <c r="F19" s="13">
        <f t="shared" si="3"/>
        <v>8.3066238629180749</v>
      </c>
      <c r="G19" s="13">
        <f t="shared" si="4"/>
        <v>29.999999999999972</v>
      </c>
      <c r="H19" s="8">
        <f>2.54*(B19-B17)</f>
        <v>1.3461999999999983</v>
      </c>
      <c r="I19" s="8">
        <f t="shared" si="6"/>
        <v>7.1120000000000019</v>
      </c>
      <c r="J19" s="8">
        <f>SUM(H19,J17)</f>
        <v>4.5719999999999974</v>
      </c>
      <c r="K19" s="2">
        <f t="shared" si="1"/>
        <v>0.1203858530857692</v>
      </c>
    </row>
    <row r="20" spans="1:11" x14ac:dyDescent="0.7">
      <c r="A20" s="19">
        <v>0.50555555555555554</v>
      </c>
      <c r="B20" s="8">
        <v>7.5</v>
      </c>
      <c r="C20" s="8">
        <v>7.1</v>
      </c>
      <c r="E20" s="13">
        <f t="shared" si="2"/>
        <v>69</v>
      </c>
      <c r="F20" s="13">
        <f t="shared" si="3"/>
        <v>8.3066238629180749</v>
      </c>
      <c r="G20" s="13"/>
      <c r="H20" s="8"/>
      <c r="I20" s="8"/>
      <c r="J20" s="8"/>
      <c r="K20" s="2">
        <f t="shared" si="1"/>
        <v>0.1203858530857692</v>
      </c>
    </row>
    <row r="21" spans="1:11" x14ac:dyDescent="0.7">
      <c r="A21" s="19">
        <v>0.52638888888888891</v>
      </c>
      <c r="B21" s="8">
        <v>8.0500000000000007</v>
      </c>
      <c r="C21" s="8">
        <v>9.6999999999999993</v>
      </c>
      <c r="E21" s="13">
        <f t="shared" si="2"/>
        <v>99.000000000000043</v>
      </c>
      <c r="F21" s="13">
        <f t="shared" si="3"/>
        <v>9.9498743710662012</v>
      </c>
      <c r="G21" s="13">
        <f t="shared" si="4"/>
        <v>30.000000000000053</v>
      </c>
      <c r="H21" s="8">
        <f t="shared" si="5"/>
        <v>1.3970000000000018</v>
      </c>
      <c r="I21" s="8">
        <f t="shared" si="6"/>
        <v>6.6039999999999992</v>
      </c>
      <c r="J21" s="8">
        <f>SUM(H21,J19)</f>
        <v>5.9689999999999994</v>
      </c>
      <c r="K21" s="2">
        <f t="shared" si="1"/>
        <v>0.1005037815259212</v>
      </c>
    </row>
    <row r="22" spans="1:11" x14ac:dyDescent="0.7">
      <c r="A22" s="19">
        <v>0.54722222222222217</v>
      </c>
      <c r="B22" s="8">
        <v>8.6</v>
      </c>
      <c r="C22" s="8">
        <v>12</v>
      </c>
      <c r="E22" s="13">
        <f t="shared" si="2"/>
        <v>128.99999999999994</v>
      </c>
      <c r="F22" s="13">
        <f t="shared" si="3"/>
        <v>11.357816691600545</v>
      </c>
      <c r="G22" s="13">
        <f t="shared" si="4"/>
        <v>29.999999999999893</v>
      </c>
      <c r="H22" s="8">
        <f t="shared" si="5"/>
        <v>1.3969999999999974</v>
      </c>
      <c r="I22" s="8">
        <f t="shared" si="6"/>
        <v>5.8420000000000023</v>
      </c>
      <c r="J22" s="8">
        <f t="shared" si="7"/>
        <v>7.365999999999997</v>
      </c>
      <c r="K22" s="2">
        <f t="shared" si="1"/>
        <v>8.8045090632562398E-2</v>
      </c>
    </row>
    <row r="23" spans="1:11" x14ac:dyDescent="0.7">
      <c r="A23" s="19">
        <v>0.56805555555555554</v>
      </c>
      <c r="B23" s="8">
        <v>8.98</v>
      </c>
      <c r="C23" s="8">
        <v>13.4</v>
      </c>
      <c r="E23" s="13">
        <f t="shared" si="2"/>
        <v>159</v>
      </c>
      <c r="F23" s="13">
        <f t="shared" si="3"/>
        <v>12.609520212918492</v>
      </c>
      <c r="G23" s="13">
        <f t="shared" si="4"/>
        <v>30.000000000000053</v>
      </c>
      <c r="H23" s="8">
        <f t="shared" si="5"/>
        <v>0.96520000000000195</v>
      </c>
      <c r="I23" s="8">
        <f t="shared" si="6"/>
        <v>3.5560000000000009</v>
      </c>
      <c r="J23" s="8">
        <f t="shared" si="7"/>
        <v>8.3311999999999991</v>
      </c>
      <c r="K23" s="2">
        <f t="shared" si="1"/>
        <v>7.9305158571814416E-2</v>
      </c>
    </row>
    <row r="24" spans="1:11" x14ac:dyDescent="0.7">
      <c r="A24" s="19">
        <v>0.58888888888888891</v>
      </c>
      <c r="B24" s="8">
        <v>9.33</v>
      </c>
      <c r="C24" s="8">
        <v>14.5</v>
      </c>
      <c r="E24" s="13">
        <f t="shared" si="2"/>
        <v>189.00000000000006</v>
      </c>
      <c r="F24" s="13">
        <f t="shared" si="3"/>
        <v>13.747727084867522</v>
      </c>
      <c r="G24" s="13">
        <f t="shared" si="4"/>
        <v>30.000000000000053</v>
      </c>
      <c r="H24" s="8">
        <f t="shared" si="5"/>
        <v>0.88899999999999912</v>
      </c>
      <c r="I24" s="8">
        <f t="shared" si="6"/>
        <v>2.7939999999999992</v>
      </c>
      <c r="J24" s="8">
        <f t="shared" si="7"/>
        <v>9.2201999999999984</v>
      </c>
      <c r="K24" s="2">
        <f t="shared" si="1"/>
        <v>7.2739296745330778E-2</v>
      </c>
    </row>
    <row r="25" spans="1:11" x14ac:dyDescent="0.7">
      <c r="E25" s="13"/>
      <c r="F25" s="13"/>
      <c r="J25" s="8"/>
    </row>
    <row r="26" spans="1:11" x14ac:dyDescent="0.7">
      <c r="E26" s="13"/>
      <c r="F26" s="13"/>
      <c r="J26" s="8"/>
    </row>
    <row r="27" spans="1:11" x14ac:dyDescent="0.7">
      <c r="E27" s="13"/>
      <c r="F27" s="13"/>
      <c r="J27" s="8"/>
    </row>
    <row r="28" spans="1:11" x14ac:dyDescent="0.7">
      <c r="E28" s="13"/>
      <c r="F28" s="13"/>
      <c r="J28"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0C7A-0CA2-40BA-AB49-9ACEE15B36CA}">
  <sheetPr codeName="Sheet1"/>
  <dimension ref="A1:K28"/>
  <sheetViews>
    <sheetView workbookViewId="0">
      <selection activeCell="B8" sqref="B8:J8"/>
    </sheetView>
  </sheetViews>
  <sheetFormatPr defaultRowHeight="18.3" x14ac:dyDescent="0.7"/>
  <cols>
    <col min="1" max="1" width="20.6640625" style="4" bestFit="1" customWidth="1"/>
    <col min="2" max="2" width="13.33203125" style="8" customWidth="1"/>
    <col min="3" max="3" width="13.9140625" style="8" customWidth="1"/>
    <col min="4" max="4" width="11.75" style="4" customWidth="1"/>
    <col min="5" max="5" width="11.5" style="2" bestFit="1" customWidth="1"/>
    <col min="6" max="6" width="11.5" style="2" customWidth="1"/>
    <col min="7" max="7" width="7.08203125" style="2" bestFit="1" customWidth="1"/>
    <col min="8" max="8" width="7.33203125" style="2" bestFit="1" customWidth="1"/>
    <col min="9" max="9" width="8.1640625" style="2" bestFit="1" customWidth="1"/>
    <col min="10" max="10" width="12.08203125" style="2" bestFit="1" customWidth="1"/>
    <col min="11" max="16384" width="8.6640625" style="2"/>
  </cols>
  <sheetData>
    <row r="1" spans="1:11" s="1" customFormat="1" x14ac:dyDescent="0.7">
      <c r="A1" s="3" t="s">
        <v>0</v>
      </c>
      <c r="B1" s="10">
        <v>44867</v>
      </c>
      <c r="C1" s="7"/>
      <c r="D1" s="3"/>
    </row>
    <row r="2" spans="1:11" x14ac:dyDescent="0.7">
      <c r="A2" s="3" t="s">
        <v>1</v>
      </c>
      <c r="B2" s="6" t="s">
        <v>4</v>
      </c>
    </row>
    <row r="3" spans="1:11" x14ac:dyDescent="0.7">
      <c r="A3" s="3" t="s">
        <v>7</v>
      </c>
      <c r="B3" s="6" t="s">
        <v>8</v>
      </c>
    </row>
    <row r="4" spans="1:11" x14ac:dyDescent="0.7">
      <c r="A4" s="3" t="s">
        <v>5</v>
      </c>
      <c r="B4" s="6" t="s">
        <v>78</v>
      </c>
    </row>
    <row r="5" spans="1:11" x14ac:dyDescent="0.7">
      <c r="A5" s="3" t="s">
        <v>6</v>
      </c>
      <c r="B5" s="6" t="s">
        <v>9</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row>
    <row r="9" spans="1:11" x14ac:dyDescent="0.7">
      <c r="A9" s="16">
        <v>44867.473611111112</v>
      </c>
      <c r="B9" s="8">
        <f>0.6*12</f>
        <v>7.1999999999999993</v>
      </c>
      <c r="C9" s="8">
        <f>0.72*12</f>
        <v>8.64</v>
      </c>
      <c r="E9" s="14">
        <v>1</v>
      </c>
      <c r="F9" s="14" t="s">
        <v>14</v>
      </c>
      <c r="G9" s="14" t="s">
        <v>14</v>
      </c>
      <c r="H9" s="11" t="s">
        <v>14</v>
      </c>
      <c r="I9" s="11" t="s">
        <v>14</v>
      </c>
      <c r="J9" s="9" t="s">
        <v>14</v>
      </c>
    </row>
    <row r="10" spans="1:11" x14ac:dyDescent="0.7">
      <c r="A10" s="16">
        <v>44867.490972222222</v>
      </c>
      <c r="B10" s="8">
        <f>0.62*12</f>
        <v>7.4399999999999995</v>
      </c>
      <c r="C10" s="8">
        <f>0.7*12</f>
        <v>8.3999999999999986</v>
      </c>
      <c r="E10" s="13">
        <f>(A10-A$9)*24*60</f>
        <v>24.999999997671694</v>
      </c>
      <c r="F10" s="13">
        <f>SQRT(E10)</f>
        <v>4.9999999997671694</v>
      </c>
      <c r="G10" s="13">
        <f>(A10-A9)*24*60</f>
        <v>24.999999997671694</v>
      </c>
      <c r="H10" s="8">
        <f>2.54*(B10-B9)</f>
        <v>0.60960000000000059</v>
      </c>
      <c r="I10" s="8">
        <f t="shared" ref="I10" si="0">2.54*(C10-C9)</f>
        <v>-0.60960000000000503</v>
      </c>
      <c r="J10" s="8">
        <f>SUM(H10,J9)</f>
        <v>0.60960000000000059</v>
      </c>
      <c r="K10" s="2">
        <f>1/SQRT(E10)</f>
        <v>0.20000000000931323</v>
      </c>
    </row>
    <row r="11" spans="1:11" x14ac:dyDescent="0.7">
      <c r="A11" s="16">
        <v>44867.505555555559</v>
      </c>
      <c r="B11" s="8">
        <f>0.64*12</f>
        <v>7.68</v>
      </c>
      <c r="C11" s="8">
        <f>0.71*12</f>
        <v>8.52</v>
      </c>
      <c r="E11" s="13">
        <f t="shared" ref="E11:E14" si="1">(A11-A$9)*24*60</f>
        <v>46.000000003259629</v>
      </c>
      <c r="F11" s="13">
        <f t="shared" ref="F11:F14" si="2">SQRT(E11)</f>
        <v>6.782329983365571</v>
      </c>
      <c r="G11" s="13">
        <f t="shared" ref="G11:G14" si="3">(A11-A10)*24*60</f>
        <v>21.000000005587935</v>
      </c>
      <c r="H11" s="8">
        <f t="shared" ref="H11:H14" si="4">2.54*(B11-B10)</f>
        <v>0.60960000000000059</v>
      </c>
      <c r="I11" s="8">
        <f t="shared" ref="I11:I14" si="5">2.54*(C11-C10)</f>
        <v>0.30480000000000251</v>
      </c>
      <c r="J11" s="8">
        <f t="shared" ref="J11:J14" si="6">SUM(H11,J10)</f>
        <v>1.2192000000000012</v>
      </c>
      <c r="K11" s="2">
        <f t="shared" ref="K11:K14" si="7">1/SQRT(E11)</f>
        <v>0.14744195614967315</v>
      </c>
    </row>
    <row r="12" spans="1:11" x14ac:dyDescent="0.7">
      <c r="A12" s="16">
        <v>44868.454861111109</v>
      </c>
      <c r="B12" s="8">
        <f>11.25</f>
        <v>11.25</v>
      </c>
      <c r="C12" s="8">
        <f>11+3/32</f>
        <v>11.09375</v>
      </c>
      <c r="E12" s="13">
        <f t="shared" si="1"/>
        <v>1412.999999995809</v>
      </c>
      <c r="F12" s="13">
        <f t="shared" si="2"/>
        <v>37.589892258369261</v>
      </c>
      <c r="G12" s="13">
        <f t="shared" si="3"/>
        <v>1366.9999999925494</v>
      </c>
      <c r="H12" s="8">
        <f t="shared" si="4"/>
        <v>9.0678000000000001</v>
      </c>
      <c r="I12" s="8">
        <f t="shared" si="5"/>
        <v>6.5373250000000009</v>
      </c>
      <c r="J12" s="8">
        <f t="shared" si="6"/>
        <v>10.287000000000001</v>
      </c>
      <c r="K12" s="2">
        <f t="shared" si="7"/>
        <v>2.6602896148960189E-2</v>
      </c>
    </row>
    <row r="13" spans="1:11" x14ac:dyDescent="0.7">
      <c r="A13" s="16">
        <v>44868.532638888886</v>
      </c>
      <c r="B13" s="8">
        <f>11+3/8</f>
        <v>11.375</v>
      </c>
      <c r="C13" s="8">
        <v>11.25</v>
      </c>
      <c r="E13" s="13">
        <f t="shared" si="1"/>
        <v>1524.9999999941792</v>
      </c>
      <c r="F13" s="13">
        <f t="shared" si="2"/>
        <v>39.051248379458748</v>
      </c>
      <c r="G13" s="13">
        <f t="shared" si="3"/>
        <v>111.99999999837019</v>
      </c>
      <c r="H13" s="8">
        <f t="shared" si="4"/>
        <v>0.3175</v>
      </c>
      <c r="I13" s="8">
        <f t="shared" si="5"/>
        <v>0.39687499999999998</v>
      </c>
      <c r="J13" s="8">
        <f t="shared" si="6"/>
        <v>10.604500000000002</v>
      </c>
      <c r="K13" s="2">
        <f t="shared" si="7"/>
        <v>2.5607375986628062E-2</v>
      </c>
    </row>
    <row r="14" spans="1:11" x14ac:dyDescent="0.7">
      <c r="A14" s="16">
        <v>44868.604166666664</v>
      </c>
      <c r="B14" s="8">
        <v>11.5</v>
      </c>
      <c r="C14" s="8">
        <f>11+31/32</f>
        <v>11.96875</v>
      </c>
      <c r="E14" s="13">
        <f t="shared" si="1"/>
        <v>1627.9999999946449</v>
      </c>
      <c r="F14" s="13">
        <f t="shared" si="2"/>
        <v>40.348482003597667</v>
      </c>
      <c r="G14" s="13">
        <f t="shared" si="3"/>
        <v>103.00000000046566</v>
      </c>
      <c r="H14" s="8">
        <f t="shared" si="4"/>
        <v>0.3175</v>
      </c>
      <c r="I14" s="8">
        <f t="shared" si="5"/>
        <v>1.8256250000000001</v>
      </c>
      <c r="J14" s="8">
        <f t="shared" si="6"/>
        <v>10.922000000000002</v>
      </c>
      <c r="K14" s="2">
        <f t="shared" si="7"/>
        <v>2.4784079854871247E-2</v>
      </c>
    </row>
    <row r="15" spans="1:11" x14ac:dyDescent="0.7">
      <c r="E15" s="13"/>
      <c r="F15" s="13"/>
      <c r="J15" s="8"/>
    </row>
    <row r="16" spans="1:11" x14ac:dyDescent="0.7">
      <c r="E16" s="13"/>
      <c r="F16" s="13"/>
      <c r="J16" s="8"/>
    </row>
    <row r="17" spans="5:10" x14ac:dyDescent="0.7">
      <c r="E17" s="13"/>
      <c r="F17" s="13"/>
      <c r="J17" s="8"/>
    </row>
    <row r="18" spans="5:10" x14ac:dyDescent="0.7">
      <c r="E18" s="13"/>
      <c r="F18" s="13"/>
      <c r="J18" s="8"/>
    </row>
    <row r="19" spans="5:10" x14ac:dyDescent="0.7">
      <c r="E19" s="13"/>
      <c r="F19" s="13"/>
      <c r="J19" s="8"/>
    </row>
    <row r="20" spans="5:10" x14ac:dyDescent="0.7">
      <c r="E20" s="13"/>
      <c r="F20" s="13"/>
      <c r="J20" s="8"/>
    </row>
    <row r="21" spans="5:10" x14ac:dyDescent="0.7">
      <c r="E21" s="13"/>
      <c r="F21" s="13"/>
      <c r="J21" s="8"/>
    </row>
    <row r="22" spans="5:10" x14ac:dyDescent="0.7">
      <c r="E22" s="13"/>
      <c r="F22" s="13"/>
      <c r="J22" s="8"/>
    </row>
    <row r="23" spans="5:10" x14ac:dyDescent="0.7">
      <c r="E23" s="13"/>
      <c r="F23" s="13"/>
      <c r="J23" s="8"/>
    </row>
    <row r="24" spans="5:10" x14ac:dyDescent="0.7">
      <c r="E24" s="13"/>
      <c r="F24" s="13"/>
      <c r="J24" s="8"/>
    </row>
    <row r="25" spans="5:10" x14ac:dyDescent="0.7">
      <c r="E25" s="13"/>
      <c r="F25" s="13"/>
      <c r="J25" s="8"/>
    </row>
    <row r="26" spans="5:10" x14ac:dyDescent="0.7">
      <c r="E26" s="13"/>
      <c r="F26" s="13"/>
      <c r="J26" s="8"/>
    </row>
    <row r="27" spans="5:10" x14ac:dyDescent="0.7">
      <c r="E27" s="13"/>
      <c r="F27" s="13"/>
      <c r="J27" s="8"/>
    </row>
    <row r="28" spans="5:10" x14ac:dyDescent="0.7">
      <c r="E28" s="13"/>
      <c r="F28" s="13"/>
      <c r="J28" s="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DEBC-860F-4FE8-A536-2E5770F326A3}">
  <sheetPr codeName="Sheet2"/>
  <dimension ref="A1:K28"/>
  <sheetViews>
    <sheetView topLeftCell="A4" workbookViewId="0">
      <selection activeCell="K10" sqref="K10:K28"/>
    </sheetView>
  </sheetViews>
  <sheetFormatPr defaultRowHeight="18.3" x14ac:dyDescent="0.7"/>
  <cols>
    <col min="1" max="1" width="20.6640625" style="4" bestFit="1" customWidth="1"/>
    <col min="2" max="2" width="13.33203125" style="8" customWidth="1"/>
    <col min="3" max="3" width="13.9140625" style="8" customWidth="1"/>
    <col min="4" max="4" width="10.58203125" style="4" customWidth="1"/>
    <col min="5" max="5" width="11.5" style="2" bestFit="1" customWidth="1"/>
    <col min="6" max="6" width="11.5" style="2" customWidth="1"/>
    <col min="7" max="7" width="7.08203125" style="2" bestFit="1" customWidth="1"/>
    <col min="8" max="8" width="7.33203125" style="2" bestFit="1" customWidth="1"/>
    <col min="9" max="9" width="8.1640625" style="2" bestFit="1" customWidth="1"/>
    <col min="10" max="10" width="12.08203125" style="13" bestFit="1" customWidth="1"/>
    <col min="11" max="16384" width="8.6640625" style="2"/>
  </cols>
  <sheetData>
    <row r="1" spans="1:11" s="1" customFormat="1" x14ac:dyDescent="0.7">
      <c r="A1" s="3" t="s">
        <v>0</v>
      </c>
      <c r="B1" s="10">
        <v>44868</v>
      </c>
      <c r="C1" s="7"/>
      <c r="D1" s="3"/>
      <c r="J1" s="12"/>
    </row>
    <row r="2" spans="1:11" x14ac:dyDescent="0.7">
      <c r="A2" s="3" t="s">
        <v>1</v>
      </c>
      <c r="B2" s="6" t="s">
        <v>4</v>
      </c>
    </row>
    <row r="3" spans="1:11" x14ac:dyDescent="0.7">
      <c r="A3" s="3" t="s">
        <v>7</v>
      </c>
      <c r="B3" s="6" t="s">
        <v>8</v>
      </c>
    </row>
    <row r="4" spans="1:11" x14ac:dyDescent="0.7">
      <c r="A4" s="3" t="s">
        <v>5</v>
      </c>
      <c r="B4" s="6" t="s">
        <v>16</v>
      </c>
    </row>
    <row r="5" spans="1:11" x14ac:dyDescent="0.7">
      <c r="A5" s="3" t="s">
        <v>6</v>
      </c>
      <c r="B5" s="6" t="s">
        <v>12</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row>
    <row r="9" spans="1:11" x14ac:dyDescent="0.7">
      <c r="A9" s="15">
        <v>0.46180555555555558</v>
      </c>
      <c r="B9" s="8">
        <f>12+3/8</f>
        <v>12.375</v>
      </c>
      <c r="C9" s="8">
        <v>12.5</v>
      </c>
      <c r="E9" s="14" t="s">
        <v>14</v>
      </c>
      <c r="F9" s="14" t="s">
        <v>14</v>
      </c>
      <c r="G9" s="14" t="s">
        <v>14</v>
      </c>
      <c r="H9" s="11" t="s">
        <v>14</v>
      </c>
      <c r="I9" s="11" t="s">
        <v>14</v>
      </c>
      <c r="J9" s="14" t="s">
        <v>14</v>
      </c>
    </row>
    <row r="10" spans="1:11" x14ac:dyDescent="0.7">
      <c r="A10" s="15">
        <v>0.46249999999999997</v>
      </c>
      <c r="B10" s="8">
        <f>12+6/16</f>
        <v>12.375</v>
      </c>
      <c r="C10" s="8">
        <f>13.25</f>
        <v>13.25</v>
      </c>
      <c r="E10" s="13">
        <f>(A10-A$9)*24*60</f>
        <v>0.99999999999991651</v>
      </c>
      <c r="F10" s="13">
        <f>SQRT(E10)</f>
        <v>0.99999999999995826</v>
      </c>
      <c r="G10" s="13">
        <f>(A10-A9)*24*60</f>
        <v>0.99999999999991651</v>
      </c>
      <c r="H10" s="8">
        <f>2.54*(B10-B9)</f>
        <v>0</v>
      </c>
      <c r="I10" s="8">
        <f t="shared" ref="I10" si="0">2.54*(C10-C9)</f>
        <v>1.905</v>
      </c>
      <c r="J10" s="13">
        <f>SUM(H10,J9)</f>
        <v>0</v>
      </c>
      <c r="K10" s="2">
        <f t="shared" ref="K10:K28" si="1">1/SQRT(E10)</f>
        <v>1.0000000000000417</v>
      </c>
    </row>
    <row r="11" spans="1:11" x14ac:dyDescent="0.7">
      <c r="A11" s="15">
        <v>0.46319444444444446</v>
      </c>
      <c r="B11" s="8">
        <f>13+5/8</f>
        <v>13.625</v>
      </c>
      <c r="C11" s="8">
        <v>13.75</v>
      </c>
      <c r="E11" s="13">
        <f t="shared" ref="E11:E28" si="2">(A11-A$9)*24*60</f>
        <v>1.9999999999999929</v>
      </c>
      <c r="F11" s="13">
        <f t="shared" ref="F11:F28" si="3">SQRT(E11)</f>
        <v>1.4142135623730925</v>
      </c>
      <c r="G11" s="13">
        <f t="shared" ref="G11:G28" si="4">(A11-A10)*24*60</f>
        <v>1.0000000000000764</v>
      </c>
      <c r="H11" s="8">
        <f t="shared" ref="H11:H28" si="5">2.54*(B11-B10)</f>
        <v>3.1749999999999998</v>
      </c>
      <c r="I11" s="8">
        <f t="shared" ref="I11:I28" si="6">2.54*(C11-C10)</f>
        <v>1.27</v>
      </c>
      <c r="J11" s="13">
        <f t="shared" ref="J11:J28" si="7">SUM(H11,J10)</f>
        <v>3.1749999999999998</v>
      </c>
      <c r="K11" s="2">
        <f t="shared" si="1"/>
        <v>0.70710678118654879</v>
      </c>
    </row>
    <row r="12" spans="1:11" x14ac:dyDescent="0.7">
      <c r="A12" s="15">
        <v>0.46388888888888885</v>
      </c>
      <c r="B12" s="8">
        <f>13+5/8</f>
        <v>13.625</v>
      </c>
      <c r="C12" s="8">
        <f>14+3/8</f>
        <v>14.375</v>
      </c>
      <c r="E12" s="13">
        <f t="shared" si="2"/>
        <v>2.9999999999999094</v>
      </c>
      <c r="F12" s="13">
        <f t="shared" si="3"/>
        <v>1.7320508075688512</v>
      </c>
      <c r="G12" s="13">
        <f t="shared" si="4"/>
        <v>0.99999999999991651</v>
      </c>
      <c r="H12" s="8">
        <f t="shared" si="5"/>
        <v>0</v>
      </c>
      <c r="I12" s="8">
        <f t="shared" si="6"/>
        <v>1.5874999999999999</v>
      </c>
      <c r="J12" s="13">
        <f t="shared" si="7"/>
        <v>3.1749999999999998</v>
      </c>
      <c r="K12" s="2">
        <f t="shared" si="1"/>
        <v>0.5773502691896345</v>
      </c>
    </row>
    <row r="13" spans="1:11" x14ac:dyDescent="0.7">
      <c r="A13" s="15">
        <v>0.46458333333333335</v>
      </c>
      <c r="B13" s="8">
        <v>14</v>
      </c>
      <c r="C13" s="8">
        <f>14+5/8</f>
        <v>14.625</v>
      </c>
      <c r="E13" s="13">
        <f t="shared" si="2"/>
        <v>3.9999999999999858</v>
      </c>
      <c r="F13" s="13">
        <f t="shared" si="3"/>
        <v>1.9999999999999964</v>
      </c>
      <c r="G13" s="13">
        <f t="shared" si="4"/>
        <v>1.0000000000000764</v>
      </c>
      <c r="H13" s="8">
        <f t="shared" si="5"/>
        <v>0.95250000000000001</v>
      </c>
      <c r="I13" s="8">
        <f t="shared" si="6"/>
        <v>0.63500000000000001</v>
      </c>
      <c r="J13" s="13">
        <f t="shared" si="7"/>
        <v>4.1274999999999995</v>
      </c>
      <c r="K13" s="2">
        <f t="shared" si="1"/>
        <v>0.50000000000000089</v>
      </c>
    </row>
    <row r="14" spans="1:11" x14ac:dyDescent="0.7">
      <c r="A14" s="15">
        <v>0.46597222222222223</v>
      </c>
      <c r="B14" s="8">
        <f>10+7/8</f>
        <v>10.875</v>
      </c>
      <c r="C14" s="8">
        <f>11+5/8</f>
        <v>11.625</v>
      </c>
      <c r="D14" s="4" t="s">
        <v>20</v>
      </c>
      <c r="E14" s="13">
        <f t="shared" si="2"/>
        <v>5.9999999999999787</v>
      </c>
      <c r="F14" s="13">
        <f t="shared" si="3"/>
        <v>2.4494897427831739</v>
      </c>
      <c r="G14" s="13">
        <f t="shared" si="4"/>
        <v>1.9999999999999929</v>
      </c>
      <c r="H14" s="8" t="e">
        <v>#N/A</v>
      </c>
      <c r="I14" s="8" t="e">
        <v>#N/A</v>
      </c>
      <c r="J14" s="13" t="e">
        <f t="shared" si="7"/>
        <v>#N/A</v>
      </c>
      <c r="K14" s="2">
        <f t="shared" si="1"/>
        <v>0.40824829046386374</v>
      </c>
    </row>
    <row r="15" spans="1:11" x14ac:dyDescent="0.7">
      <c r="A15" s="15">
        <v>0.4694444444444445</v>
      </c>
      <c r="B15" s="8">
        <f>12+15/16</f>
        <v>12.9375</v>
      </c>
      <c r="C15" s="8">
        <f>13+5/8</f>
        <v>13.625</v>
      </c>
      <c r="E15" s="13">
        <f t="shared" si="2"/>
        <v>11.000000000000041</v>
      </c>
      <c r="F15" s="13">
        <f t="shared" si="3"/>
        <v>3.316624790355406</v>
      </c>
      <c r="G15" s="13">
        <f t="shared" si="4"/>
        <v>5.0000000000000622</v>
      </c>
      <c r="H15" s="8">
        <f t="shared" si="5"/>
        <v>5.2387500000000005</v>
      </c>
      <c r="I15" s="8">
        <f t="shared" si="6"/>
        <v>5.08</v>
      </c>
      <c r="J15" s="13">
        <f>SUM(H15,J13)</f>
        <v>9.3662500000000009</v>
      </c>
      <c r="K15" s="2">
        <f t="shared" si="1"/>
        <v>0.30151134457776307</v>
      </c>
    </row>
    <row r="16" spans="1:11" x14ac:dyDescent="0.7">
      <c r="A16" s="15">
        <v>0.47430555555555554</v>
      </c>
      <c r="B16" s="8">
        <f>13+15/16</f>
        <v>13.9375</v>
      </c>
      <c r="C16" s="8">
        <f>14+3/8</f>
        <v>14.375</v>
      </c>
      <c r="E16" s="13">
        <f t="shared" si="2"/>
        <v>17.999999999999936</v>
      </c>
      <c r="F16" s="13">
        <f t="shared" si="3"/>
        <v>4.2426406871192777</v>
      </c>
      <c r="G16" s="13">
        <f t="shared" si="4"/>
        <v>6.9999999999998952</v>
      </c>
      <c r="H16" s="8">
        <f t="shared" si="5"/>
        <v>2.54</v>
      </c>
      <c r="I16" s="8">
        <f t="shared" si="6"/>
        <v>1.905</v>
      </c>
      <c r="J16" s="13">
        <f t="shared" si="7"/>
        <v>11.90625</v>
      </c>
      <c r="K16" s="2">
        <f t="shared" si="1"/>
        <v>0.23570226039551626</v>
      </c>
    </row>
    <row r="17" spans="1:11" x14ac:dyDescent="0.7">
      <c r="A17" s="15">
        <v>0.4777777777777778</v>
      </c>
      <c r="B17" s="8">
        <v>14</v>
      </c>
      <c r="C17" s="8">
        <f>14+7/8</f>
        <v>14.875</v>
      </c>
      <c r="E17" s="13">
        <f t="shared" si="2"/>
        <v>23</v>
      </c>
      <c r="F17" s="13">
        <f t="shared" si="3"/>
        <v>4.7958315233127191</v>
      </c>
      <c r="G17" s="13">
        <f t="shared" si="4"/>
        <v>5.0000000000000622</v>
      </c>
      <c r="H17" s="8">
        <f t="shared" si="5"/>
        <v>0.15875</v>
      </c>
      <c r="I17" s="8">
        <f t="shared" si="6"/>
        <v>1.27</v>
      </c>
      <c r="J17" s="13">
        <f t="shared" si="7"/>
        <v>12.065</v>
      </c>
      <c r="K17" s="2">
        <f t="shared" si="1"/>
        <v>0.20851441405707477</v>
      </c>
    </row>
    <row r="18" spans="1:11" x14ac:dyDescent="0.7">
      <c r="A18" s="15">
        <v>0.48194444444444445</v>
      </c>
      <c r="B18" s="8" t="s">
        <v>13</v>
      </c>
      <c r="C18" s="8" t="s">
        <v>13</v>
      </c>
      <c r="E18" s="13">
        <f t="shared" si="2"/>
        <v>28.999999999999979</v>
      </c>
      <c r="F18" s="13">
        <f t="shared" si="3"/>
        <v>5.385164807134502</v>
      </c>
      <c r="G18" s="13">
        <f t="shared" si="4"/>
        <v>5.9999999999999787</v>
      </c>
      <c r="H18" s="8" t="e">
        <v>#N/A</v>
      </c>
      <c r="I18" s="8" t="e">
        <v>#N/A</v>
      </c>
      <c r="J18" s="13" t="e">
        <f t="shared" si="7"/>
        <v>#N/A</v>
      </c>
      <c r="K18" s="2">
        <f t="shared" si="1"/>
        <v>0.18569533817705194</v>
      </c>
    </row>
    <row r="19" spans="1:11" x14ac:dyDescent="0.7">
      <c r="A19" s="15">
        <v>0.50208333333333333</v>
      </c>
      <c r="B19" s="8">
        <f>8+3/8+2/32</f>
        <v>8.4375</v>
      </c>
      <c r="C19" s="8">
        <f>8+7/32</f>
        <v>8.21875</v>
      </c>
      <c r="D19" s="4" t="s">
        <v>21</v>
      </c>
      <c r="E19" s="13">
        <f t="shared" si="2"/>
        <v>57.999999999999957</v>
      </c>
      <c r="F19" s="13">
        <f t="shared" si="3"/>
        <v>7.6157731058639051</v>
      </c>
      <c r="G19" s="13">
        <f t="shared" si="4"/>
        <v>28.999999999999979</v>
      </c>
      <c r="H19" s="8" t="e">
        <v>#N/A</v>
      </c>
      <c r="I19" s="8" t="e">
        <v>#N/A</v>
      </c>
      <c r="J19" s="13" t="e">
        <f t="shared" si="7"/>
        <v>#N/A</v>
      </c>
      <c r="K19" s="2">
        <f t="shared" si="1"/>
        <v>0.1313064328597226</v>
      </c>
    </row>
    <row r="20" spans="1:11" x14ac:dyDescent="0.7">
      <c r="A20" s="15">
        <v>0.50902777777777775</v>
      </c>
      <c r="B20" s="8">
        <v>10.5</v>
      </c>
      <c r="C20" s="8">
        <f>10+3/8</f>
        <v>10.375</v>
      </c>
      <c r="E20" s="13">
        <f t="shared" si="2"/>
        <v>67.999999999999915</v>
      </c>
      <c r="F20" s="13">
        <f t="shared" si="3"/>
        <v>8.2462112512353158</v>
      </c>
      <c r="G20" s="13">
        <f t="shared" si="4"/>
        <v>9.9999999999999645</v>
      </c>
      <c r="H20" s="8">
        <f t="shared" si="5"/>
        <v>5.2387500000000005</v>
      </c>
      <c r="I20" s="8">
        <f t="shared" si="6"/>
        <v>5.4768749999999997</v>
      </c>
      <c r="J20" s="13">
        <f>SUM(H20,J17)</f>
        <v>17.303750000000001</v>
      </c>
      <c r="K20" s="2">
        <f t="shared" si="1"/>
        <v>0.12126781251816657</v>
      </c>
    </row>
    <row r="21" spans="1:11" x14ac:dyDescent="0.7">
      <c r="A21" s="15">
        <v>0.51597222222222217</v>
      </c>
      <c r="B21" s="8">
        <f>11+25/32</f>
        <v>11.78125</v>
      </c>
      <c r="C21" s="8">
        <f>11+5/8</f>
        <v>11.625</v>
      </c>
      <c r="E21" s="13">
        <f t="shared" si="2"/>
        <v>77.999999999999886</v>
      </c>
      <c r="F21" s="13">
        <f t="shared" si="3"/>
        <v>8.8317608663278406</v>
      </c>
      <c r="G21" s="13">
        <f t="shared" si="4"/>
        <v>9.9999999999999645</v>
      </c>
      <c r="H21" s="8">
        <f t="shared" si="5"/>
        <v>3.254375</v>
      </c>
      <c r="I21" s="8">
        <f t="shared" si="6"/>
        <v>3.1749999999999998</v>
      </c>
      <c r="J21" s="13">
        <f t="shared" si="7"/>
        <v>20.558125</v>
      </c>
      <c r="K21" s="2">
        <f t="shared" si="1"/>
        <v>0.11322770341445966</v>
      </c>
    </row>
    <row r="22" spans="1:11" x14ac:dyDescent="0.7">
      <c r="A22" s="15">
        <v>0.52430555555555558</v>
      </c>
      <c r="B22" s="8">
        <f>13+1/8</f>
        <v>13.125</v>
      </c>
      <c r="C22" s="8">
        <f>12+9/16</f>
        <v>12.5625</v>
      </c>
      <c r="E22" s="13">
        <f t="shared" si="2"/>
        <v>90</v>
      </c>
      <c r="F22" s="13">
        <f t="shared" si="3"/>
        <v>9.4868329805051381</v>
      </c>
      <c r="G22" s="13">
        <f t="shared" si="4"/>
        <v>12.000000000000117</v>
      </c>
      <c r="H22" s="8">
        <f t="shared" si="5"/>
        <v>3.413125</v>
      </c>
      <c r="I22" s="8">
        <f t="shared" si="6"/>
        <v>2.3812500000000001</v>
      </c>
      <c r="J22" s="13">
        <f t="shared" si="7"/>
        <v>23.971250000000001</v>
      </c>
      <c r="K22" s="2">
        <f t="shared" si="1"/>
        <v>0.10540925533894598</v>
      </c>
    </row>
    <row r="23" spans="1:11" x14ac:dyDescent="0.7">
      <c r="A23" s="15">
        <v>0.53125</v>
      </c>
      <c r="B23" s="8">
        <f>13+5/8</f>
        <v>13.625</v>
      </c>
      <c r="C23" s="8">
        <f>13+1/4</f>
        <v>13.25</v>
      </c>
      <c r="E23" s="13">
        <f t="shared" si="2"/>
        <v>99.999999999999972</v>
      </c>
      <c r="F23" s="13">
        <f t="shared" si="3"/>
        <v>9.9999999999999982</v>
      </c>
      <c r="G23" s="13">
        <f t="shared" si="4"/>
        <v>9.9999999999999645</v>
      </c>
      <c r="H23" s="8">
        <f t="shared" si="5"/>
        <v>1.27</v>
      </c>
      <c r="I23" s="8">
        <f t="shared" si="6"/>
        <v>1.7462500000000001</v>
      </c>
      <c r="J23" s="13">
        <f t="shared" si="7"/>
        <v>25.241250000000001</v>
      </c>
      <c r="K23" s="2">
        <f t="shared" si="1"/>
        <v>0.10000000000000002</v>
      </c>
    </row>
    <row r="24" spans="1:11" x14ac:dyDescent="0.7">
      <c r="A24" s="15">
        <v>0.57013888888888886</v>
      </c>
      <c r="B24" s="8">
        <f>7+17/32</f>
        <v>7.53125</v>
      </c>
      <c r="C24" s="8">
        <f>7+5/16</f>
        <v>7.3125</v>
      </c>
      <c r="D24" s="4" t="s">
        <v>22</v>
      </c>
      <c r="E24" s="13">
        <f t="shared" si="2"/>
        <v>155.99999999999991</v>
      </c>
      <c r="F24" s="13">
        <f t="shared" si="3"/>
        <v>12.489995996796793</v>
      </c>
      <c r="G24" s="13">
        <f t="shared" si="4"/>
        <v>55.999999999999957</v>
      </c>
      <c r="H24" s="8" t="e">
        <v>#N/A</v>
      </c>
      <c r="I24" s="8" t="e">
        <v>#N/A</v>
      </c>
      <c r="J24" s="13" t="e">
        <f t="shared" si="7"/>
        <v>#N/A</v>
      </c>
      <c r="K24" s="2">
        <f t="shared" si="1"/>
        <v>8.0064076902543593E-2</v>
      </c>
    </row>
    <row r="25" spans="1:11" x14ac:dyDescent="0.7">
      <c r="A25" s="15">
        <v>0.58124999999999993</v>
      </c>
      <c r="B25" s="8">
        <f>9+28/32</f>
        <v>9.875</v>
      </c>
      <c r="C25" s="8">
        <f>9+3/8</f>
        <v>9.375</v>
      </c>
      <c r="E25" s="13">
        <f t="shared" si="2"/>
        <v>171.99999999999986</v>
      </c>
      <c r="F25" s="13">
        <f t="shared" si="3"/>
        <v>13.114877048603995</v>
      </c>
      <c r="G25" s="13">
        <f t="shared" si="4"/>
        <v>15.999999999999943</v>
      </c>
      <c r="H25" s="8">
        <f t="shared" si="5"/>
        <v>5.953125</v>
      </c>
      <c r="I25" s="8">
        <f t="shared" si="6"/>
        <v>5.2387500000000005</v>
      </c>
      <c r="J25" s="13">
        <f>SUM(H25,J23)</f>
        <v>31.194375000000001</v>
      </c>
      <c r="K25" s="2">
        <f t="shared" si="1"/>
        <v>7.6249285166302361E-2</v>
      </c>
    </row>
    <row r="26" spans="1:11" x14ac:dyDescent="0.7">
      <c r="A26" s="15">
        <v>0.59236111111111112</v>
      </c>
      <c r="B26" s="8">
        <f>11+17/32</f>
        <v>11.53125</v>
      </c>
      <c r="C26" s="8">
        <f>11+5/32</f>
        <v>11.15625</v>
      </c>
      <c r="E26" s="13">
        <f t="shared" si="2"/>
        <v>187.99999999999997</v>
      </c>
      <c r="F26" s="13">
        <f t="shared" si="3"/>
        <v>13.711309200802088</v>
      </c>
      <c r="G26" s="13">
        <f t="shared" si="4"/>
        <v>16.000000000000103</v>
      </c>
      <c r="H26" s="8">
        <f t="shared" si="5"/>
        <v>4.2068750000000001</v>
      </c>
      <c r="I26" s="8">
        <f t="shared" si="6"/>
        <v>4.524375</v>
      </c>
      <c r="J26" s="13">
        <f t="shared" si="7"/>
        <v>35.401250000000005</v>
      </c>
      <c r="K26" s="2">
        <f t="shared" si="1"/>
        <v>7.2932495748947279E-2</v>
      </c>
    </row>
    <row r="27" spans="1:11" x14ac:dyDescent="0.7">
      <c r="A27" s="15">
        <v>0.60277777777777775</v>
      </c>
      <c r="B27" s="8">
        <f>13+1/8</f>
        <v>13.125</v>
      </c>
      <c r="C27" s="8">
        <v>12</v>
      </c>
      <c r="E27" s="13">
        <f t="shared" si="2"/>
        <v>202.99999999999991</v>
      </c>
      <c r="F27" s="13">
        <f t="shared" si="3"/>
        <v>14.247806848775005</v>
      </c>
      <c r="G27" s="13">
        <f t="shared" si="4"/>
        <v>14.999999999999947</v>
      </c>
      <c r="H27" s="8">
        <f t="shared" si="5"/>
        <v>4.0481249999999998</v>
      </c>
      <c r="I27" s="8">
        <f t="shared" si="6"/>
        <v>2.1431249999999999</v>
      </c>
      <c r="J27" s="13">
        <f t="shared" si="7"/>
        <v>39.449375000000003</v>
      </c>
      <c r="K27" s="2">
        <f t="shared" si="1"/>
        <v>7.0186240634359659E-2</v>
      </c>
    </row>
    <row r="28" spans="1:11" x14ac:dyDescent="0.7">
      <c r="A28" s="15">
        <v>0.61111111111111105</v>
      </c>
      <c r="B28" s="8">
        <f>13+7/8</f>
        <v>13.875</v>
      </c>
      <c r="C28" s="8">
        <f>12+6/8</f>
        <v>12.75</v>
      </c>
      <c r="E28" s="13">
        <f t="shared" si="2"/>
        <v>214.99999999999989</v>
      </c>
      <c r="F28" s="13">
        <f t="shared" si="3"/>
        <v>14.662878298615176</v>
      </c>
      <c r="G28" s="13">
        <f t="shared" si="4"/>
        <v>11.999999999999957</v>
      </c>
      <c r="H28" s="8">
        <f t="shared" si="5"/>
        <v>1.905</v>
      </c>
      <c r="I28" s="8">
        <f t="shared" si="6"/>
        <v>1.905</v>
      </c>
      <c r="J28" s="13">
        <f t="shared" si="7"/>
        <v>41.354375000000005</v>
      </c>
      <c r="K28" s="2">
        <f t="shared" si="1"/>
        <v>6.8199433947047361E-2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C38B-9051-448B-BE5B-879A70F848BF}">
  <sheetPr codeName="Sheet3"/>
  <dimension ref="A1:K31"/>
  <sheetViews>
    <sheetView workbookViewId="0">
      <selection activeCell="K10" sqref="K10:K20"/>
    </sheetView>
  </sheetViews>
  <sheetFormatPr defaultRowHeight="18.3" x14ac:dyDescent="0.7"/>
  <cols>
    <col min="1" max="1" width="20.6640625" style="4" bestFit="1" customWidth="1"/>
    <col min="2" max="2" width="13.33203125" style="8" customWidth="1"/>
    <col min="3" max="3" width="13.9140625" style="8" customWidth="1"/>
    <col min="4" max="4" width="10.58203125" style="4"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44868</v>
      </c>
      <c r="C1" s="7"/>
      <c r="D1" s="3"/>
      <c r="E1" s="12"/>
      <c r="F1" s="12"/>
      <c r="G1" s="12"/>
      <c r="J1" s="12"/>
    </row>
    <row r="2" spans="1:11" x14ac:dyDescent="0.7">
      <c r="A2" s="3" t="s">
        <v>1</v>
      </c>
      <c r="B2" s="6" t="s">
        <v>4</v>
      </c>
    </row>
    <row r="3" spans="1:11" x14ac:dyDescent="0.7">
      <c r="A3" s="3" t="s">
        <v>7</v>
      </c>
      <c r="B3" s="6" t="s">
        <v>8</v>
      </c>
    </row>
    <row r="4" spans="1:11" x14ac:dyDescent="0.7">
      <c r="A4" s="3" t="s">
        <v>5</v>
      </c>
      <c r="B4" s="6" t="s">
        <v>17</v>
      </c>
    </row>
    <row r="5" spans="1:11" x14ac:dyDescent="0.7">
      <c r="A5" s="3" t="s">
        <v>6</v>
      </c>
      <c r="B5" s="6" t="s">
        <v>15</v>
      </c>
    </row>
    <row r="6" spans="1:11" x14ac:dyDescent="0.7">
      <c r="A6" s="3" t="s">
        <v>23</v>
      </c>
      <c r="B6" s="6">
        <f>3.14159*(2.54*(12/2))</f>
        <v>47.8778316</v>
      </c>
    </row>
    <row r="8" spans="1:11" x14ac:dyDescent="0.7">
      <c r="A8" s="1" t="s">
        <v>3</v>
      </c>
      <c r="B8" s="7" t="s">
        <v>10</v>
      </c>
      <c r="C8" s="7" t="s">
        <v>11</v>
      </c>
      <c r="D8" s="3" t="s">
        <v>2</v>
      </c>
      <c r="E8" s="12" t="s">
        <v>25</v>
      </c>
      <c r="F8" s="12" t="s">
        <v>85</v>
      </c>
      <c r="G8" s="12" t="s">
        <v>24</v>
      </c>
      <c r="H8" s="1" t="s">
        <v>18</v>
      </c>
      <c r="I8" s="1" t="s">
        <v>19</v>
      </c>
      <c r="J8" s="12" t="s">
        <v>44</v>
      </c>
      <c r="K8" s="1"/>
    </row>
    <row r="9" spans="1:11" x14ac:dyDescent="0.7">
      <c r="A9" s="15">
        <v>0.50486111111111109</v>
      </c>
      <c r="B9" s="8">
        <f>8+3/8</f>
        <v>8.375</v>
      </c>
      <c r="C9" s="8">
        <f>8+3/4</f>
        <v>8.75</v>
      </c>
      <c r="E9" s="14" t="s">
        <v>14</v>
      </c>
      <c r="F9" s="14" t="s">
        <v>14</v>
      </c>
      <c r="G9" s="14" t="s">
        <v>14</v>
      </c>
      <c r="H9" s="11" t="s">
        <v>14</v>
      </c>
      <c r="I9" s="11" t="s">
        <v>14</v>
      </c>
      <c r="J9" s="11" t="s">
        <v>14</v>
      </c>
    </row>
    <row r="10" spans="1:11" x14ac:dyDescent="0.7">
      <c r="A10" s="15">
        <v>0.50624999999999998</v>
      </c>
      <c r="B10" s="8">
        <f>8+14/32</f>
        <v>8.4375</v>
      </c>
      <c r="C10" s="8">
        <f>8+3/4</f>
        <v>8.75</v>
      </c>
      <c r="E10" s="13">
        <f>(A10-A$9)*24*60</f>
        <v>1.9999999999999929</v>
      </c>
      <c r="F10" s="13">
        <f>SQRT(E10)</f>
        <v>1.4142135623730925</v>
      </c>
      <c r="G10" s="13">
        <f>(A10-A9)*24*60</f>
        <v>1.9999999999999929</v>
      </c>
      <c r="H10" s="8">
        <f>2.54*(B10-B9)</f>
        <v>0.15875</v>
      </c>
      <c r="I10" s="8">
        <f t="shared" ref="I10:I20" si="0">2.54*(C10-C9)</f>
        <v>0</v>
      </c>
      <c r="J10" s="8">
        <f>SUM(H10,J9)</f>
        <v>0.15875</v>
      </c>
      <c r="K10" s="2">
        <f t="shared" ref="K10:K20" si="1">1/SQRT(E10)</f>
        <v>0.70710678118654879</v>
      </c>
    </row>
    <row r="11" spans="1:11" x14ac:dyDescent="0.7">
      <c r="A11" s="15">
        <v>0.50694444444444442</v>
      </c>
      <c r="B11" s="8">
        <f>8+3/8</f>
        <v>8.375</v>
      </c>
      <c r="C11" s="8">
        <f>8+5/8</f>
        <v>8.625</v>
      </c>
      <c r="E11" s="13">
        <f t="shared" ref="E11:E20" si="2">(A11-A$9)*24*60</f>
        <v>2.9999999999999893</v>
      </c>
      <c r="F11" s="13">
        <f t="shared" ref="F11:F20" si="3">SQRT(E11)</f>
        <v>1.7320508075688743</v>
      </c>
      <c r="G11" s="13">
        <f t="shared" ref="G11:G20" si="4">(A11-A10)*24*60</f>
        <v>0.99999999999999645</v>
      </c>
      <c r="H11" s="8" t="e">
        <v>#N/A</v>
      </c>
      <c r="I11" s="8" t="e">
        <v>#N/A</v>
      </c>
      <c r="J11" s="8" t="e">
        <f t="shared" ref="J11:J20" si="5">SUM(H11,J10)</f>
        <v>#N/A</v>
      </c>
      <c r="K11" s="2">
        <f t="shared" si="1"/>
        <v>0.57735026918962673</v>
      </c>
    </row>
    <row r="12" spans="1:11" x14ac:dyDescent="0.7">
      <c r="A12" s="15">
        <v>0.50763888888888886</v>
      </c>
      <c r="B12" s="8">
        <f>8+3/8</f>
        <v>8.375</v>
      </c>
      <c r="C12" s="8">
        <f>8+7/8</f>
        <v>8.875</v>
      </c>
      <c r="E12" s="13">
        <f t="shared" si="2"/>
        <v>3.9999999999999858</v>
      </c>
      <c r="F12" s="13">
        <f t="shared" si="3"/>
        <v>1.9999999999999964</v>
      </c>
      <c r="G12" s="13">
        <f t="shared" si="4"/>
        <v>0.99999999999999645</v>
      </c>
      <c r="H12" s="8">
        <f t="shared" ref="H12:H20" si="6">2.54*(B12-B11)</f>
        <v>0</v>
      </c>
      <c r="I12" s="8">
        <f t="shared" si="0"/>
        <v>0.63500000000000001</v>
      </c>
      <c r="J12" s="8">
        <f>SUM(H12,J10)</f>
        <v>0.15875</v>
      </c>
      <c r="K12" s="2">
        <f t="shared" si="1"/>
        <v>0.50000000000000089</v>
      </c>
    </row>
    <row r="13" spans="1:11" x14ac:dyDescent="0.7">
      <c r="A13" s="15">
        <v>0.5083333333333333</v>
      </c>
      <c r="B13" s="8">
        <f>8+3/8</f>
        <v>8.375</v>
      </c>
      <c r="C13" s="8">
        <f>8+7/8</f>
        <v>8.875</v>
      </c>
      <c r="E13" s="13">
        <f t="shared" si="2"/>
        <v>4.9999999999999822</v>
      </c>
      <c r="F13" s="13">
        <f t="shared" si="3"/>
        <v>2.2360679774997858</v>
      </c>
      <c r="G13" s="13">
        <f t="shared" si="4"/>
        <v>0.99999999999999645</v>
      </c>
      <c r="H13" s="8">
        <f t="shared" si="6"/>
        <v>0</v>
      </c>
      <c r="I13" s="8">
        <f t="shared" si="0"/>
        <v>0</v>
      </c>
      <c r="J13" s="8">
        <f t="shared" si="5"/>
        <v>0.15875</v>
      </c>
      <c r="K13" s="2">
        <f t="shared" si="1"/>
        <v>0.4472135954999587</v>
      </c>
    </row>
    <row r="14" spans="1:11" x14ac:dyDescent="0.7">
      <c r="A14" s="15">
        <v>0.51180555555555551</v>
      </c>
      <c r="B14" s="9">
        <f>8.5</f>
        <v>8.5</v>
      </c>
      <c r="C14" s="9">
        <f>8+7/8</f>
        <v>8.875</v>
      </c>
      <c r="E14" s="13">
        <f t="shared" si="2"/>
        <v>9.9999999999999645</v>
      </c>
      <c r="F14" s="13">
        <f t="shared" si="3"/>
        <v>3.1622776601683737</v>
      </c>
      <c r="G14" s="13">
        <f t="shared" si="4"/>
        <v>4.9999999999999822</v>
      </c>
      <c r="H14" s="8">
        <f t="shared" si="6"/>
        <v>0.3175</v>
      </c>
      <c r="I14" s="8">
        <f t="shared" si="0"/>
        <v>0</v>
      </c>
      <c r="J14" s="8">
        <f t="shared" si="5"/>
        <v>0.47625000000000001</v>
      </c>
      <c r="K14" s="2">
        <f t="shared" si="1"/>
        <v>0.3162277660168385</v>
      </c>
    </row>
    <row r="15" spans="1:11" x14ac:dyDescent="0.7">
      <c r="A15" s="15">
        <v>0.51527777777777783</v>
      </c>
      <c r="B15" s="8">
        <v>8.5</v>
      </c>
      <c r="C15" s="8">
        <f>8+15/16</f>
        <v>8.9375</v>
      </c>
      <c r="E15" s="13">
        <f t="shared" si="2"/>
        <v>15.000000000000107</v>
      </c>
      <c r="F15" s="13">
        <f t="shared" si="3"/>
        <v>3.8729833462074308</v>
      </c>
      <c r="G15" s="13">
        <f t="shared" si="4"/>
        <v>5.0000000000001421</v>
      </c>
      <c r="H15" s="8">
        <f t="shared" si="6"/>
        <v>0</v>
      </c>
      <c r="I15" s="8">
        <f t="shared" si="0"/>
        <v>0.15875</v>
      </c>
      <c r="J15" s="8">
        <f t="shared" si="5"/>
        <v>0.47625000000000001</v>
      </c>
      <c r="K15" s="2">
        <f t="shared" si="1"/>
        <v>0.25819888974716021</v>
      </c>
    </row>
    <row r="16" spans="1:11" x14ac:dyDescent="0.7">
      <c r="A16" s="15">
        <v>0.52222222222222225</v>
      </c>
      <c r="B16" s="8">
        <f>8+15/32</f>
        <v>8.46875</v>
      </c>
      <c r="C16" s="8">
        <f>8+11/16</f>
        <v>8.6875</v>
      </c>
      <c r="E16" s="13">
        <f t="shared" si="2"/>
        <v>25.000000000000071</v>
      </c>
      <c r="F16" s="13">
        <f t="shared" si="3"/>
        <v>5.0000000000000071</v>
      </c>
      <c r="G16" s="13">
        <f t="shared" si="4"/>
        <v>9.9999999999999645</v>
      </c>
      <c r="H16" s="8" t="e">
        <v>#N/A</v>
      </c>
      <c r="I16" s="8" t="e">
        <v>#N/A</v>
      </c>
      <c r="J16" s="8" t="e">
        <f t="shared" si="5"/>
        <v>#N/A</v>
      </c>
      <c r="K16" s="2">
        <f t="shared" si="1"/>
        <v>0.19999999999999971</v>
      </c>
    </row>
    <row r="17" spans="1:11" x14ac:dyDescent="0.7">
      <c r="A17" s="15">
        <v>0.53611111111111109</v>
      </c>
      <c r="B17" s="8">
        <f>8+18/32</f>
        <v>8.5625</v>
      </c>
      <c r="C17" s="8">
        <f>8+23/32</f>
        <v>8.71875</v>
      </c>
      <c r="E17" s="13">
        <f t="shared" si="2"/>
        <v>45</v>
      </c>
      <c r="F17" s="13">
        <f t="shared" si="3"/>
        <v>6.7082039324993694</v>
      </c>
      <c r="G17" s="13">
        <f t="shared" si="4"/>
        <v>19.999999999999929</v>
      </c>
      <c r="H17" s="8">
        <f t="shared" si="6"/>
        <v>0.238125</v>
      </c>
      <c r="I17" s="8">
        <f t="shared" si="0"/>
        <v>7.9375000000000001E-2</v>
      </c>
      <c r="J17" s="8">
        <f>SUM(H17,J15)</f>
        <v>0.71437499999999998</v>
      </c>
      <c r="K17" s="2">
        <f t="shared" si="1"/>
        <v>0.14907119849998599</v>
      </c>
    </row>
    <row r="18" spans="1:11" x14ac:dyDescent="0.7">
      <c r="A18" s="15">
        <v>0.56805555555555554</v>
      </c>
      <c r="B18" s="8">
        <f>8+15/32</f>
        <v>8.46875</v>
      </c>
      <c r="C18" s="8">
        <f>8+15/32</f>
        <v>8.46875</v>
      </c>
      <c r="E18" s="13">
        <f t="shared" si="2"/>
        <v>91</v>
      </c>
      <c r="F18" s="13">
        <f t="shared" si="3"/>
        <v>9.5393920141694561</v>
      </c>
      <c r="G18" s="13">
        <f t="shared" si="4"/>
        <v>46</v>
      </c>
      <c r="H18" s="8" t="e">
        <v>#N/A</v>
      </c>
      <c r="I18" s="8" t="e">
        <v>#N/A</v>
      </c>
      <c r="J18" s="8" t="e">
        <f t="shared" si="5"/>
        <v>#N/A</v>
      </c>
      <c r="K18" s="2">
        <f t="shared" si="1"/>
        <v>0.10482848367219183</v>
      </c>
    </row>
    <row r="19" spans="1:11" x14ac:dyDescent="0.7">
      <c r="A19" s="15">
        <v>0.58888888888888891</v>
      </c>
      <c r="B19" s="8">
        <f>8+23/32</f>
        <v>8.71875</v>
      </c>
      <c r="C19" s="8">
        <f>8+31/32</f>
        <v>8.96875</v>
      </c>
      <c r="E19" s="13">
        <f t="shared" si="2"/>
        <v>121.00000000000006</v>
      </c>
      <c r="F19" s="13">
        <f t="shared" si="3"/>
        <v>11.000000000000002</v>
      </c>
      <c r="G19" s="13">
        <f t="shared" si="4"/>
        <v>30.000000000000053</v>
      </c>
      <c r="H19" s="8">
        <f t="shared" si="6"/>
        <v>0.63500000000000001</v>
      </c>
      <c r="I19" s="8">
        <f t="shared" si="0"/>
        <v>1.27</v>
      </c>
      <c r="J19" s="8">
        <f>SUM(H19,J17)</f>
        <v>1.349375</v>
      </c>
      <c r="K19" s="2">
        <f t="shared" si="1"/>
        <v>9.0909090909090898E-2</v>
      </c>
    </row>
    <row r="20" spans="1:11" x14ac:dyDescent="0.7">
      <c r="A20" s="15">
        <v>0.60972222222222217</v>
      </c>
      <c r="B20" s="9">
        <f>8+24/32</f>
        <v>8.75</v>
      </c>
      <c r="C20" s="9">
        <f>9+3/32</f>
        <v>9.09375</v>
      </c>
      <c r="E20" s="13">
        <f t="shared" si="2"/>
        <v>150.99999999999994</v>
      </c>
      <c r="F20" s="13">
        <f t="shared" si="3"/>
        <v>12.288205727444506</v>
      </c>
      <c r="G20" s="13">
        <f t="shared" si="4"/>
        <v>29.999999999999893</v>
      </c>
      <c r="H20" s="8">
        <f t="shared" si="6"/>
        <v>7.9375000000000001E-2</v>
      </c>
      <c r="I20" s="8">
        <f t="shared" si="0"/>
        <v>0.3175</v>
      </c>
      <c r="J20" s="8">
        <f t="shared" si="5"/>
        <v>1.42875</v>
      </c>
      <c r="K20" s="2">
        <f t="shared" si="1"/>
        <v>8.1378845877115955E-2</v>
      </c>
    </row>
    <row r="21" spans="1:11" x14ac:dyDescent="0.7">
      <c r="A21" s="5"/>
    </row>
    <row r="22" spans="1:11" x14ac:dyDescent="0.7">
      <c r="A22" s="5"/>
    </row>
    <row r="23" spans="1:11" x14ac:dyDescent="0.7">
      <c r="A23" s="5"/>
    </row>
    <row r="24" spans="1:11" x14ac:dyDescent="0.7">
      <c r="A24" s="5"/>
    </row>
    <row r="25" spans="1:11" x14ac:dyDescent="0.7">
      <c r="A25" s="5"/>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FA7C5-308F-481D-864E-856FCC8DBAA6}">
  <sheetPr codeName="Sheet4"/>
  <dimension ref="A1:K30"/>
  <sheetViews>
    <sheetView workbookViewId="0">
      <selection activeCell="K10" sqref="K10:K24"/>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44875</v>
      </c>
      <c r="C1" s="7"/>
      <c r="D1" s="17"/>
      <c r="E1" s="12"/>
      <c r="F1" s="12"/>
      <c r="G1" s="12"/>
      <c r="J1" s="12"/>
    </row>
    <row r="2" spans="1:11" x14ac:dyDescent="0.7">
      <c r="A2" s="3" t="s">
        <v>1</v>
      </c>
      <c r="B2" s="6" t="s">
        <v>29</v>
      </c>
    </row>
    <row r="3" spans="1:11" x14ac:dyDescent="0.7">
      <c r="A3" s="3" t="s">
        <v>7</v>
      </c>
      <c r="B3" s="6" t="s">
        <v>27</v>
      </c>
    </row>
    <row r="4" spans="1:11" x14ac:dyDescent="0.7">
      <c r="A4" s="3" t="s">
        <v>5</v>
      </c>
      <c r="B4" s="6" t="s">
        <v>28</v>
      </c>
    </row>
    <row r="5" spans="1:11" x14ac:dyDescent="0.7">
      <c r="A5" s="3" t="s">
        <v>6</v>
      </c>
      <c r="B5" s="6" t="s">
        <v>26</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0.46736111111111112</v>
      </c>
      <c r="B9" s="8">
        <v>0.69</v>
      </c>
      <c r="C9" s="8">
        <v>0.73</v>
      </c>
      <c r="E9" s="14" t="s">
        <v>14</v>
      </c>
      <c r="F9" s="14" t="s">
        <v>14</v>
      </c>
      <c r="G9" s="14" t="s">
        <v>14</v>
      </c>
      <c r="H9" s="11" t="s">
        <v>14</v>
      </c>
      <c r="I9" s="11" t="s">
        <v>14</v>
      </c>
      <c r="J9" s="11" t="s">
        <v>14</v>
      </c>
    </row>
    <row r="10" spans="1:11" x14ac:dyDescent="0.7">
      <c r="A10" s="15">
        <v>0.4680555555555555</v>
      </c>
      <c r="B10" s="8">
        <v>0.73</v>
      </c>
      <c r="C10" s="8">
        <v>0.84</v>
      </c>
      <c r="E10" s="13">
        <f>(A10-A$9)*24*60</f>
        <v>0.99999999999991651</v>
      </c>
      <c r="F10" s="13">
        <f>SQRT(E10)</f>
        <v>0.99999999999995826</v>
      </c>
      <c r="G10" s="13">
        <f>(A10-A9)*24*60</f>
        <v>0.99999999999991651</v>
      </c>
      <c r="H10" s="8">
        <f>2.54*(B10-B9)</f>
        <v>0.10160000000000009</v>
      </c>
      <c r="I10" s="8">
        <f t="shared" ref="I10:I13" si="0">2.54*(C10-C9)</f>
        <v>0.27939999999999998</v>
      </c>
      <c r="J10" s="13">
        <f>SUM(H10,J9)</f>
        <v>0.10160000000000009</v>
      </c>
      <c r="K10" s="2">
        <f t="shared" ref="K10:K24" si="1">1/SQRT(E10)</f>
        <v>1.0000000000000417</v>
      </c>
    </row>
    <row r="11" spans="1:11" x14ac:dyDescent="0.7">
      <c r="A11" s="15">
        <v>0.46875</v>
      </c>
      <c r="B11" s="8">
        <v>0.77</v>
      </c>
      <c r="C11" s="8">
        <v>0.92</v>
      </c>
      <c r="E11" s="13">
        <f t="shared" ref="E11:E24" si="2">(A11-A$9)*24*60</f>
        <v>1.9999999999999929</v>
      </c>
      <c r="F11" s="13">
        <f t="shared" ref="F11:F24" si="3">SQRT(E11)</f>
        <v>1.4142135623730925</v>
      </c>
      <c r="G11" s="13">
        <f t="shared" ref="G11:G12" si="4">(A11-A10)*24*60</f>
        <v>1.0000000000000764</v>
      </c>
      <c r="H11" s="8">
        <f t="shared" ref="H11:H12" si="5">2.54*(B11-B10)</f>
        <v>0.10160000000000009</v>
      </c>
      <c r="I11" s="8">
        <f t="shared" ref="I11:I12" si="6">2.54*(C11-C10)</f>
        <v>0.20320000000000019</v>
      </c>
      <c r="J11" s="13">
        <f t="shared" ref="J11:J24" si="7">SUM(H11,J10)</f>
        <v>0.20320000000000019</v>
      </c>
      <c r="K11" s="2">
        <f t="shared" si="1"/>
        <v>0.70710678118654879</v>
      </c>
    </row>
    <row r="12" spans="1:11" x14ac:dyDescent="0.7">
      <c r="A12" s="15">
        <v>0.4694444444444445</v>
      </c>
      <c r="B12" s="8">
        <v>0.8</v>
      </c>
      <c r="C12" s="8">
        <v>0.99</v>
      </c>
      <c r="E12" s="13">
        <f t="shared" si="2"/>
        <v>3.0000000000000693</v>
      </c>
      <c r="F12" s="13">
        <f t="shared" si="3"/>
        <v>1.7320508075688974</v>
      </c>
      <c r="G12" s="13">
        <f t="shared" si="4"/>
        <v>1.0000000000000764</v>
      </c>
      <c r="H12" s="8">
        <f t="shared" si="5"/>
        <v>7.6200000000000073E-2</v>
      </c>
      <c r="I12" s="8">
        <f t="shared" si="6"/>
        <v>0.17779999999999987</v>
      </c>
      <c r="J12" s="13">
        <f t="shared" si="7"/>
        <v>0.27940000000000026</v>
      </c>
      <c r="K12" s="2">
        <f t="shared" si="1"/>
        <v>0.57735026918961907</v>
      </c>
    </row>
    <row r="13" spans="1:11" x14ac:dyDescent="0.7">
      <c r="A13" s="15">
        <v>0.47013888888888888</v>
      </c>
      <c r="B13" s="8">
        <v>0.83</v>
      </c>
      <c r="C13" s="8">
        <v>1.04</v>
      </c>
      <c r="E13" s="13">
        <f t="shared" si="2"/>
        <v>3.9999999999999858</v>
      </c>
      <c r="F13" s="13">
        <f t="shared" si="3"/>
        <v>1.9999999999999964</v>
      </c>
      <c r="G13" s="13">
        <f t="shared" ref="G13" si="8">(A13-A12)*24*60</f>
        <v>0.99999999999991651</v>
      </c>
      <c r="H13" s="8">
        <f t="shared" ref="H13" si="9">2.54*(B13-B12)</f>
        <v>7.6199999999999782E-2</v>
      </c>
      <c r="I13" s="8">
        <f t="shared" si="0"/>
        <v>0.12700000000000011</v>
      </c>
      <c r="J13" s="13">
        <f t="shared" si="7"/>
        <v>0.35560000000000003</v>
      </c>
      <c r="K13" s="2">
        <f t="shared" si="1"/>
        <v>0.50000000000000089</v>
      </c>
    </row>
    <row r="14" spans="1:11" x14ac:dyDescent="0.7">
      <c r="A14" s="15">
        <v>0.47361111111111115</v>
      </c>
      <c r="B14" s="9">
        <v>0.94</v>
      </c>
      <c r="C14" s="9">
        <v>1.25</v>
      </c>
      <c r="E14" s="13">
        <f t="shared" si="2"/>
        <v>9.000000000000048</v>
      </c>
      <c r="F14" s="13">
        <f t="shared" si="3"/>
        <v>3.000000000000008</v>
      </c>
      <c r="G14" s="13">
        <f t="shared" ref="G14:G17" si="10">(A14-A13)*24*60</f>
        <v>5.0000000000000622</v>
      </c>
      <c r="H14" s="8">
        <f t="shared" ref="H14:H17" si="11">2.54*(B14-B13)</f>
        <v>0.27939999999999998</v>
      </c>
      <c r="I14" s="8">
        <f t="shared" ref="I14:I16" si="12">2.54*(C14-C13)</f>
        <v>0.53339999999999987</v>
      </c>
      <c r="J14" s="13">
        <f t="shared" si="7"/>
        <v>0.63500000000000001</v>
      </c>
      <c r="K14" s="2">
        <f t="shared" si="1"/>
        <v>0.33333333333333243</v>
      </c>
    </row>
    <row r="15" spans="1:11" x14ac:dyDescent="0.7">
      <c r="A15" s="15">
        <v>0.48125000000000001</v>
      </c>
      <c r="B15" s="8">
        <v>0.78</v>
      </c>
      <c r="C15" s="8">
        <v>0.82</v>
      </c>
      <c r="D15" s="18" t="s">
        <v>30</v>
      </c>
      <c r="E15" s="13">
        <f t="shared" si="2"/>
        <v>20.000000000000007</v>
      </c>
      <c r="F15" s="13">
        <f t="shared" si="3"/>
        <v>4.4721359549995805</v>
      </c>
      <c r="G15" s="13">
        <f t="shared" si="10"/>
        <v>10.999999999999961</v>
      </c>
      <c r="H15" s="8" t="e">
        <v>#N/A</v>
      </c>
      <c r="I15" s="8" t="e">
        <v>#N/A</v>
      </c>
      <c r="J15" s="13" t="e">
        <f t="shared" si="7"/>
        <v>#N/A</v>
      </c>
      <c r="K15" s="2">
        <f t="shared" si="1"/>
        <v>0.22360679774997891</v>
      </c>
    </row>
    <row r="16" spans="1:11" x14ac:dyDescent="0.7">
      <c r="A16" s="15">
        <v>0.48333333333333334</v>
      </c>
      <c r="B16" s="8">
        <v>0.92</v>
      </c>
      <c r="C16" s="8">
        <v>1.0900000000000001</v>
      </c>
      <c r="E16" s="13">
        <f t="shared" si="2"/>
        <v>23</v>
      </c>
      <c r="F16" s="13">
        <f t="shared" si="3"/>
        <v>4.7958315233127191</v>
      </c>
      <c r="G16" s="13">
        <f t="shared" si="10"/>
        <v>2.9999999999999893</v>
      </c>
      <c r="H16" s="8">
        <f t="shared" si="11"/>
        <v>0.35560000000000003</v>
      </c>
      <c r="I16" s="8">
        <f t="shared" si="12"/>
        <v>0.6858000000000003</v>
      </c>
      <c r="J16" s="13">
        <f>SUM(H16,J14)</f>
        <v>0.99060000000000004</v>
      </c>
      <c r="K16" s="2">
        <f t="shared" si="1"/>
        <v>0.20851441405707477</v>
      </c>
    </row>
    <row r="17" spans="1:11" x14ac:dyDescent="0.7">
      <c r="A17" s="15">
        <v>0.51388888888888895</v>
      </c>
      <c r="B17" s="8">
        <v>1.21</v>
      </c>
      <c r="C17" s="8" t="s">
        <v>13</v>
      </c>
      <c r="E17" s="13">
        <f t="shared" si="2"/>
        <v>67.000000000000085</v>
      </c>
      <c r="F17" s="13">
        <f t="shared" si="3"/>
        <v>8.1853527718724557</v>
      </c>
      <c r="G17" s="13">
        <f t="shared" si="10"/>
        <v>44.000000000000085</v>
      </c>
      <c r="H17" s="8">
        <f t="shared" si="11"/>
        <v>0.73659999999999981</v>
      </c>
      <c r="I17" s="8" t="e">
        <v>#N/A</v>
      </c>
      <c r="J17" s="13">
        <f t="shared" si="7"/>
        <v>1.7271999999999998</v>
      </c>
      <c r="K17" s="2">
        <f t="shared" si="1"/>
        <v>0.12216944435630514</v>
      </c>
    </row>
    <row r="18" spans="1:11" x14ac:dyDescent="0.7">
      <c r="A18" s="15">
        <v>0.51458333333333328</v>
      </c>
      <c r="B18" s="8">
        <v>0.62</v>
      </c>
      <c r="C18" s="8">
        <v>0.72</v>
      </c>
      <c r="D18" s="18" t="s">
        <v>30</v>
      </c>
      <c r="E18" s="13">
        <f t="shared" si="2"/>
        <v>67.999999999999915</v>
      </c>
      <c r="F18" s="13">
        <f t="shared" si="3"/>
        <v>8.2462112512353158</v>
      </c>
      <c r="G18" s="13">
        <f t="shared" ref="G18:G24" si="13">(A18-A17)*24*60</f>
        <v>0.99999999999983658</v>
      </c>
      <c r="H18" s="8" t="e">
        <v>#N/A</v>
      </c>
      <c r="I18" s="8" t="e">
        <v>#N/A</v>
      </c>
      <c r="J18" s="13" t="e">
        <f t="shared" si="7"/>
        <v>#N/A</v>
      </c>
      <c r="K18" s="2">
        <f t="shared" si="1"/>
        <v>0.12126781251816657</v>
      </c>
    </row>
    <row r="19" spans="1:11" x14ac:dyDescent="0.7">
      <c r="A19" s="15">
        <v>0.53541666666666665</v>
      </c>
      <c r="B19" s="9">
        <v>0.86</v>
      </c>
      <c r="C19" s="9">
        <v>1.19</v>
      </c>
      <c r="E19" s="13">
        <f t="shared" si="2"/>
        <v>97.999999999999972</v>
      </c>
      <c r="F19" s="13">
        <f t="shared" si="3"/>
        <v>9.8994949366116636</v>
      </c>
      <c r="G19" s="13">
        <f t="shared" si="13"/>
        <v>30.000000000000053</v>
      </c>
      <c r="H19" s="8">
        <f t="shared" ref="H19:H24" si="14">2.54*(B19-B18)</f>
        <v>0.60960000000000003</v>
      </c>
      <c r="I19" s="8">
        <f t="shared" ref="I19:I24" si="15">2.54*(C19-C18)</f>
        <v>1.1938</v>
      </c>
      <c r="J19" s="13">
        <f>SUM(H19,J17)</f>
        <v>2.3367999999999998</v>
      </c>
      <c r="K19" s="2">
        <f t="shared" si="1"/>
        <v>0.1010152544552211</v>
      </c>
    </row>
    <row r="20" spans="1:11" x14ac:dyDescent="0.7">
      <c r="A20" s="15">
        <v>0.53680555555555554</v>
      </c>
      <c r="B20" s="8">
        <v>0.45</v>
      </c>
      <c r="C20" s="8">
        <v>0.51</v>
      </c>
      <c r="D20" s="18" t="s">
        <v>30</v>
      </c>
      <c r="E20" s="13">
        <f t="shared" si="2"/>
        <v>99.999999999999972</v>
      </c>
      <c r="F20" s="13">
        <f t="shared" si="3"/>
        <v>9.9999999999999982</v>
      </c>
      <c r="G20" s="13">
        <f t="shared" si="13"/>
        <v>1.9999999999999929</v>
      </c>
      <c r="H20" s="8" t="e">
        <v>#N/A</v>
      </c>
      <c r="I20" s="8" t="e">
        <v>#N/A</v>
      </c>
      <c r="J20" s="13" t="e">
        <f t="shared" si="7"/>
        <v>#N/A</v>
      </c>
      <c r="K20" s="2">
        <f t="shared" si="1"/>
        <v>0.10000000000000002</v>
      </c>
    </row>
    <row r="21" spans="1:11" x14ac:dyDescent="0.7">
      <c r="A21" s="15">
        <v>0.56944444444444442</v>
      </c>
      <c r="B21" s="8">
        <v>0.77</v>
      </c>
      <c r="C21" s="8">
        <v>0.92</v>
      </c>
      <c r="E21" s="13">
        <f t="shared" si="2"/>
        <v>146.99999999999994</v>
      </c>
      <c r="F21" s="13">
        <f t="shared" si="3"/>
        <v>12.124355652982139</v>
      </c>
      <c r="G21" s="13">
        <f t="shared" si="13"/>
        <v>46.999999999999993</v>
      </c>
      <c r="H21" s="8">
        <f t="shared" si="14"/>
        <v>0.81280000000000008</v>
      </c>
      <c r="I21" s="8">
        <f t="shared" si="15"/>
        <v>1.0414000000000001</v>
      </c>
      <c r="J21" s="13">
        <f>SUM(H21,J19)</f>
        <v>3.1496</v>
      </c>
      <c r="K21" s="2">
        <f t="shared" si="1"/>
        <v>8.2478609884232265E-2</v>
      </c>
    </row>
    <row r="22" spans="1:11" x14ac:dyDescent="0.7">
      <c r="A22" s="15">
        <v>0.59027777777777779</v>
      </c>
      <c r="B22" s="8">
        <v>0.89</v>
      </c>
      <c r="C22" s="8">
        <v>1.07</v>
      </c>
      <c r="E22" s="13">
        <f t="shared" si="2"/>
        <v>177</v>
      </c>
      <c r="F22" s="13">
        <f t="shared" si="3"/>
        <v>13.30413469565007</v>
      </c>
      <c r="G22" s="13">
        <f t="shared" si="13"/>
        <v>30.000000000000053</v>
      </c>
      <c r="H22" s="8">
        <f t="shared" si="14"/>
        <v>0.30480000000000002</v>
      </c>
      <c r="I22" s="8">
        <f t="shared" si="15"/>
        <v>0.38100000000000006</v>
      </c>
      <c r="J22" s="13">
        <f t="shared" si="7"/>
        <v>3.4544000000000001</v>
      </c>
      <c r="K22" s="2">
        <f t="shared" si="1"/>
        <v>7.5164602800282893E-2</v>
      </c>
    </row>
    <row r="23" spans="1:11" x14ac:dyDescent="0.7">
      <c r="A23" s="15">
        <v>0.61111111111111105</v>
      </c>
      <c r="B23" s="8">
        <v>0.99</v>
      </c>
      <c r="C23" s="8">
        <v>1.18</v>
      </c>
      <c r="E23" s="13">
        <f t="shared" si="2"/>
        <v>206.99999999999991</v>
      </c>
      <c r="F23" s="13">
        <f t="shared" si="3"/>
        <v>14.387494569938156</v>
      </c>
      <c r="G23" s="13">
        <f t="shared" si="13"/>
        <v>29.999999999999893</v>
      </c>
      <c r="H23" s="8">
        <f t="shared" si="14"/>
        <v>0.25399999999999995</v>
      </c>
      <c r="I23" s="8">
        <f t="shared" si="15"/>
        <v>0.2793999999999997</v>
      </c>
      <c r="J23" s="13">
        <f t="shared" si="7"/>
        <v>3.7084000000000001</v>
      </c>
      <c r="K23" s="2">
        <f t="shared" si="1"/>
        <v>6.9504804685691604E-2</v>
      </c>
    </row>
    <row r="24" spans="1:11" x14ac:dyDescent="0.7">
      <c r="A24" s="15">
        <v>0.63194444444444442</v>
      </c>
      <c r="B24" s="8">
        <v>1.08</v>
      </c>
      <c r="C24" s="8">
        <v>1.26</v>
      </c>
      <c r="E24" s="13">
        <f t="shared" si="2"/>
        <v>236.99999999999994</v>
      </c>
      <c r="F24" s="13">
        <f t="shared" si="3"/>
        <v>15.39480431834065</v>
      </c>
      <c r="G24" s="13">
        <f t="shared" si="13"/>
        <v>30.000000000000053</v>
      </c>
      <c r="H24" s="8">
        <f t="shared" si="14"/>
        <v>0.22860000000000022</v>
      </c>
      <c r="I24" s="8">
        <f t="shared" si="15"/>
        <v>0.20320000000000019</v>
      </c>
      <c r="J24" s="13">
        <f t="shared" si="7"/>
        <v>3.9370000000000003</v>
      </c>
      <c r="K24" s="2">
        <f t="shared" si="1"/>
        <v>6.4956980246163101E-2</v>
      </c>
    </row>
    <row r="25" spans="1:11" x14ac:dyDescent="0.7">
      <c r="A25" s="5"/>
    </row>
    <row r="26" spans="1:11" x14ac:dyDescent="0.7">
      <c r="A26" s="5"/>
    </row>
    <row r="27" spans="1:11" x14ac:dyDescent="0.7">
      <c r="A27" s="5"/>
    </row>
    <row r="28" spans="1:11" x14ac:dyDescent="0.7">
      <c r="A28" s="5"/>
    </row>
    <row r="29" spans="1:11" x14ac:dyDescent="0.7">
      <c r="A29" s="5"/>
    </row>
    <row r="30" spans="1:11" x14ac:dyDescent="0.7">
      <c r="A30" s="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46BC-97D8-47FA-AF5E-E74E92356614}">
  <sheetPr codeName="Sheet5"/>
  <dimension ref="A1:K31"/>
  <sheetViews>
    <sheetView workbookViewId="0">
      <selection activeCell="K22" sqref="K22"/>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1" width="21.33203125" style="2" bestFit="1" customWidth="1"/>
    <col min="12" max="16384" width="8.6640625" style="2"/>
  </cols>
  <sheetData>
    <row r="1" spans="1:11" s="1" customFormat="1" x14ac:dyDescent="0.7">
      <c r="A1" s="3" t="s">
        <v>0</v>
      </c>
      <c r="B1" s="10">
        <v>44875</v>
      </c>
      <c r="C1" s="7"/>
      <c r="D1" s="17"/>
      <c r="E1" s="12"/>
      <c r="F1" s="12"/>
      <c r="G1" s="12"/>
      <c r="J1" s="12"/>
    </row>
    <row r="2" spans="1:11" x14ac:dyDescent="0.7">
      <c r="A2" s="3" t="s">
        <v>1</v>
      </c>
      <c r="B2" s="6" t="s">
        <v>29</v>
      </c>
    </row>
    <row r="3" spans="1:11" x14ac:dyDescent="0.7">
      <c r="A3" s="3" t="s">
        <v>7</v>
      </c>
      <c r="B3" s="6" t="s">
        <v>27</v>
      </c>
    </row>
    <row r="4" spans="1:11" x14ac:dyDescent="0.7">
      <c r="A4" s="3" t="s">
        <v>5</v>
      </c>
      <c r="B4" s="6" t="s">
        <v>28</v>
      </c>
    </row>
    <row r="5" spans="1:11" x14ac:dyDescent="0.7">
      <c r="A5" s="3" t="s">
        <v>6</v>
      </c>
      <c r="B5" s="6" t="s">
        <v>31</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t="s">
        <v>89</v>
      </c>
    </row>
    <row r="9" spans="1:11" x14ac:dyDescent="0.7">
      <c r="A9" s="15">
        <v>0.40277777777777773</v>
      </c>
      <c r="B9" s="8">
        <v>0.77</v>
      </c>
      <c r="C9" s="8">
        <v>0.86</v>
      </c>
      <c r="E9" s="14" t="s">
        <v>14</v>
      </c>
      <c r="F9" s="14" t="s">
        <v>14</v>
      </c>
      <c r="G9" s="14" t="s">
        <v>14</v>
      </c>
      <c r="H9" s="11" t="s">
        <v>14</v>
      </c>
      <c r="I9" s="11" t="s">
        <v>14</v>
      </c>
      <c r="J9" s="11" t="s">
        <v>14</v>
      </c>
    </row>
    <row r="10" spans="1:11" x14ac:dyDescent="0.7">
      <c r="A10" s="15">
        <v>0.40347222222222223</v>
      </c>
      <c r="B10" s="8">
        <v>0.82</v>
      </c>
      <c r="C10" s="8">
        <v>0.9</v>
      </c>
      <c r="E10" s="13">
        <f>(A10-A$9)*24*60</f>
        <v>1.0000000000000764</v>
      </c>
      <c r="F10" s="13">
        <f>SQRT(E10)</f>
        <v>1.0000000000000382</v>
      </c>
      <c r="G10" s="13">
        <f>(A10-A9)*24*60</f>
        <v>1.0000000000000764</v>
      </c>
      <c r="H10" s="8">
        <f>2.54*(B10-B9)</f>
        <v>0.12699999999999984</v>
      </c>
      <c r="I10" s="8">
        <f t="shared" ref="I10:I11" si="0">2.54*(C10-C9)</f>
        <v>0.10160000000000009</v>
      </c>
      <c r="J10" s="13">
        <f>SUM(H10,J9)</f>
        <v>0.12699999999999984</v>
      </c>
      <c r="K10" s="2">
        <f>1/SQRT(E10)</f>
        <v>0.99999999999996181</v>
      </c>
    </row>
    <row r="11" spans="1:11" x14ac:dyDescent="0.7">
      <c r="A11" s="15">
        <v>0.40416666666666662</v>
      </c>
      <c r="B11" s="8">
        <v>0.83</v>
      </c>
      <c r="C11" s="8">
        <v>0.92</v>
      </c>
      <c r="E11" s="13">
        <f t="shared" ref="E11:E20" si="1">(A11-A$9)*24*60</f>
        <v>1.9999999999999929</v>
      </c>
      <c r="F11" s="13">
        <f t="shared" ref="F11:F20" si="2">SQRT(E11)</f>
        <v>1.4142135623730925</v>
      </c>
      <c r="G11" s="13">
        <f t="shared" ref="G11" si="3">(A11-A10)*24*60</f>
        <v>0.99999999999991651</v>
      </c>
      <c r="H11" s="8">
        <f t="shared" ref="H11" si="4">2.54*(B11-B10)</f>
        <v>2.5400000000000023E-2</v>
      </c>
      <c r="I11" s="8">
        <f t="shared" si="0"/>
        <v>5.0800000000000047E-2</v>
      </c>
      <c r="J11" s="13">
        <f t="shared" ref="J11:J20" si="5">SUM(H11,J10)</f>
        <v>0.15239999999999987</v>
      </c>
      <c r="K11" s="2">
        <f t="shared" ref="K11:K20" si="6">1/SQRT(E11)</f>
        <v>0.70710678118654879</v>
      </c>
    </row>
    <row r="12" spans="1:11" x14ac:dyDescent="0.7">
      <c r="A12" s="15">
        <v>0.40486111111111112</v>
      </c>
      <c r="B12" s="8">
        <v>0.86499999999999999</v>
      </c>
      <c r="C12" s="8">
        <v>0.94</v>
      </c>
      <c r="E12" s="13">
        <f t="shared" si="1"/>
        <v>3.0000000000000693</v>
      </c>
      <c r="F12" s="13">
        <f t="shared" si="2"/>
        <v>1.7320508075688974</v>
      </c>
      <c r="G12" s="13">
        <f t="shared" ref="G12:G16" si="7">(A12-A11)*24*60</f>
        <v>1.0000000000000764</v>
      </c>
      <c r="H12" s="8">
        <f t="shared" ref="H12:H16" si="8">2.54*(B12-B11)</f>
        <v>8.8900000000000076E-2</v>
      </c>
      <c r="I12" s="8">
        <f t="shared" ref="I12:I16" si="9">2.54*(C12-C11)</f>
        <v>5.0799999999999762E-2</v>
      </c>
      <c r="J12" s="13">
        <f t="shared" si="5"/>
        <v>0.24129999999999996</v>
      </c>
      <c r="K12" s="2">
        <f t="shared" si="6"/>
        <v>0.57735026918961907</v>
      </c>
    </row>
    <row r="13" spans="1:11" x14ac:dyDescent="0.7">
      <c r="A13" s="15">
        <v>0.4055555555555555</v>
      </c>
      <c r="B13" s="8">
        <v>0.89</v>
      </c>
      <c r="C13" s="8">
        <v>0.97</v>
      </c>
      <c r="E13" s="13">
        <f t="shared" si="1"/>
        <v>3.9999999999999858</v>
      </c>
      <c r="F13" s="13">
        <f t="shared" si="2"/>
        <v>1.9999999999999964</v>
      </c>
      <c r="G13" s="13">
        <f t="shared" si="7"/>
        <v>0.99999999999991651</v>
      </c>
      <c r="H13" s="8">
        <f t="shared" si="8"/>
        <v>6.3500000000000056E-2</v>
      </c>
      <c r="I13" s="8">
        <f t="shared" si="9"/>
        <v>7.6200000000000073E-2</v>
      </c>
      <c r="J13" s="13">
        <f t="shared" si="5"/>
        <v>0.30480000000000002</v>
      </c>
      <c r="K13" s="2">
        <f t="shared" si="6"/>
        <v>0.50000000000000089</v>
      </c>
    </row>
    <row r="14" spans="1:11" x14ac:dyDescent="0.7">
      <c r="A14" s="15">
        <v>0.40902777777777777</v>
      </c>
      <c r="B14" s="9">
        <v>0.98499999999999999</v>
      </c>
      <c r="C14" s="9">
        <v>1.04</v>
      </c>
      <c r="E14" s="13">
        <f t="shared" si="1"/>
        <v>9.000000000000048</v>
      </c>
      <c r="F14" s="13">
        <f t="shared" si="2"/>
        <v>3.000000000000008</v>
      </c>
      <c r="G14" s="13">
        <f t="shared" si="7"/>
        <v>5.0000000000000622</v>
      </c>
      <c r="H14" s="8">
        <f t="shared" si="8"/>
        <v>0.24129999999999993</v>
      </c>
      <c r="I14" s="8">
        <f t="shared" si="9"/>
        <v>0.17780000000000015</v>
      </c>
      <c r="J14" s="13">
        <f t="shared" si="5"/>
        <v>0.54609999999999992</v>
      </c>
      <c r="K14" s="2">
        <f t="shared" si="6"/>
        <v>0.33333333333333243</v>
      </c>
    </row>
    <row r="15" spans="1:11" x14ac:dyDescent="0.7">
      <c r="A15" s="15">
        <v>0.41597222222222219</v>
      </c>
      <c r="B15" s="8">
        <v>1.1100000000000001</v>
      </c>
      <c r="C15" s="8">
        <v>1.17</v>
      </c>
      <c r="E15" s="13">
        <f t="shared" si="1"/>
        <v>19.000000000000014</v>
      </c>
      <c r="F15" s="13">
        <f t="shared" si="2"/>
        <v>4.3588989435406749</v>
      </c>
      <c r="G15" s="13">
        <f t="shared" si="7"/>
        <v>9.9999999999999645</v>
      </c>
      <c r="H15" s="8">
        <f t="shared" si="8"/>
        <v>0.31750000000000028</v>
      </c>
      <c r="I15" s="8">
        <f t="shared" si="9"/>
        <v>0.33019999999999972</v>
      </c>
      <c r="J15" s="13">
        <f t="shared" si="5"/>
        <v>0.86360000000000015</v>
      </c>
      <c r="K15" s="2">
        <f t="shared" si="6"/>
        <v>0.22941573387056169</v>
      </c>
    </row>
    <row r="16" spans="1:11" x14ac:dyDescent="0.7">
      <c r="A16" s="15">
        <v>0.42986111111111108</v>
      </c>
      <c r="B16" s="8">
        <v>1.33</v>
      </c>
      <c r="C16" s="8">
        <v>1.35</v>
      </c>
      <c r="D16" s="2"/>
      <c r="E16" s="13">
        <f t="shared" si="1"/>
        <v>39.000000000000021</v>
      </c>
      <c r="F16" s="13">
        <f t="shared" si="2"/>
        <v>6.2449979983984001</v>
      </c>
      <c r="G16" s="13">
        <f t="shared" si="7"/>
        <v>20.000000000000007</v>
      </c>
      <c r="H16" s="8">
        <f t="shared" si="8"/>
        <v>0.55879999999999996</v>
      </c>
      <c r="I16" s="8">
        <f t="shared" si="9"/>
        <v>0.45720000000000044</v>
      </c>
      <c r="J16" s="13">
        <f t="shared" si="5"/>
        <v>1.4224000000000001</v>
      </c>
      <c r="K16" s="2">
        <f t="shared" si="6"/>
        <v>0.16012815380508708</v>
      </c>
    </row>
    <row r="17" spans="1:11" x14ac:dyDescent="0.7">
      <c r="A17" s="15">
        <v>0.43055555555555558</v>
      </c>
      <c r="B17" s="8">
        <v>0.76</v>
      </c>
      <c r="C17" s="8">
        <v>0.75</v>
      </c>
      <c r="D17" s="18" t="s">
        <v>30</v>
      </c>
      <c r="E17" s="13">
        <f t="shared" si="1"/>
        <v>40.000000000000099</v>
      </c>
      <c r="F17" s="13">
        <f t="shared" si="2"/>
        <v>6.3245553203367662</v>
      </c>
      <c r="G17" s="13">
        <f t="shared" ref="G17:G20" si="10">(A17-A16)*24*60</f>
        <v>1.0000000000000764</v>
      </c>
      <c r="H17" s="8" t="e">
        <v>#N/A</v>
      </c>
      <c r="I17" s="8" t="e">
        <v>#N/A</v>
      </c>
      <c r="J17" s="13" t="e">
        <f t="shared" si="5"/>
        <v>#N/A</v>
      </c>
      <c r="K17" s="2">
        <f t="shared" si="6"/>
        <v>0.15811388300841878</v>
      </c>
    </row>
    <row r="18" spans="1:11" x14ac:dyDescent="0.7">
      <c r="A18" s="15">
        <v>0.45763888888888887</v>
      </c>
      <c r="B18" s="8">
        <v>1.17</v>
      </c>
      <c r="C18" s="8">
        <v>1.18</v>
      </c>
      <c r="E18" s="13">
        <f t="shared" si="1"/>
        <v>79.000000000000043</v>
      </c>
      <c r="F18" s="13">
        <f t="shared" si="2"/>
        <v>8.8881944173155905</v>
      </c>
      <c r="G18" s="13">
        <f t="shared" si="10"/>
        <v>38.999999999999943</v>
      </c>
      <c r="H18" s="8">
        <f t="shared" ref="H18:H20" si="11">2.54*(B18-B17)</f>
        <v>1.0413999999999999</v>
      </c>
      <c r="I18" s="8">
        <f t="shared" ref="I18:I20" si="12">2.54*(C18-C17)</f>
        <v>1.0921999999999998</v>
      </c>
      <c r="J18" s="13">
        <f>SUM(H18,J16)</f>
        <v>2.4638</v>
      </c>
      <c r="K18" s="2">
        <f t="shared" si="6"/>
        <v>0.11250879009260237</v>
      </c>
    </row>
    <row r="19" spans="1:11" x14ac:dyDescent="0.7">
      <c r="A19" s="15">
        <v>0.47847222222222219</v>
      </c>
      <c r="B19" s="8">
        <v>1.34</v>
      </c>
      <c r="C19" s="8">
        <v>1.36</v>
      </c>
      <c r="E19" s="13">
        <f t="shared" si="1"/>
        <v>109.00000000000001</v>
      </c>
      <c r="F19" s="13">
        <f t="shared" si="2"/>
        <v>10.440306508910551</v>
      </c>
      <c r="G19" s="13">
        <f t="shared" si="10"/>
        <v>29.999999999999972</v>
      </c>
      <c r="H19" s="8">
        <f t="shared" si="11"/>
        <v>0.43180000000000041</v>
      </c>
      <c r="I19" s="8">
        <f t="shared" si="12"/>
        <v>0.45720000000000044</v>
      </c>
      <c r="J19" s="13">
        <f t="shared" si="5"/>
        <v>2.8956000000000004</v>
      </c>
      <c r="K19" s="2">
        <f t="shared" si="6"/>
        <v>9.5782628522115137E-2</v>
      </c>
    </row>
    <row r="20" spans="1:11" x14ac:dyDescent="0.7">
      <c r="A20" s="15">
        <v>0.48541666666666666</v>
      </c>
      <c r="B20" s="9">
        <v>1.4</v>
      </c>
      <c r="C20" s="9">
        <v>1.44</v>
      </c>
      <c r="E20" s="13">
        <f t="shared" si="1"/>
        <v>119.00000000000006</v>
      </c>
      <c r="F20" s="13">
        <f t="shared" si="2"/>
        <v>10.908712114635717</v>
      </c>
      <c r="G20" s="13">
        <f t="shared" si="10"/>
        <v>10.000000000000044</v>
      </c>
      <c r="H20" s="8">
        <f t="shared" si="11"/>
        <v>0.15239999999999956</v>
      </c>
      <c r="I20" s="8">
        <f t="shared" si="12"/>
        <v>0.20319999999999963</v>
      </c>
      <c r="J20" s="13">
        <f t="shared" si="5"/>
        <v>3.048</v>
      </c>
      <c r="K20" s="2">
        <f t="shared" si="6"/>
        <v>9.1669849702821105E-2</v>
      </c>
    </row>
    <row r="21" spans="1:11" x14ac:dyDescent="0.7">
      <c r="A21" s="15"/>
      <c r="H21" s="8"/>
      <c r="I21" s="8"/>
    </row>
    <row r="22" spans="1:11" x14ac:dyDescent="0.7">
      <c r="A22" s="15"/>
      <c r="B22" s="20">
        <f>(A10-A$9)/(A$10-A$9)</f>
        <v>1</v>
      </c>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3C37-4098-4174-B391-EE9D87A9722A}">
  <sheetPr codeName="Sheet6"/>
  <dimension ref="A1:K31"/>
  <sheetViews>
    <sheetView workbookViewId="0">
      <selection activeCell="K10" sqref="K10:K18"/>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44875</v>
      </c>
      <c r="C1" s="7"/>
      <c r="D1" s="17"/>
      <c r="E1" s="12"/>
      <c r="F1" s="12"/>
      <c r="G1" s="12"/>
      <c r="J1" s="12"/>
    </row>
    <row r="2" spans="1:11" x14ac:dyDescent="0.7">
      <c r="A2" s="3" t="s">
        <v>1</v>
      </c>
      <c r="B2" s="6" t="s">
        <v>29</v>
      </c>
    </row>
    <row r="3" spans="1:11" x14ac:dyDescent="0.7">
      <c r="A3" s="3" t="s">
        <v>7</v>
      </c>
      <c r="B3" s="6" t="s">
        <v>27</v>
      </c>
    </row>
    <row r="4" spans="1:11" x14ac:dyDescent="0.7">
      <c r="A4" s="3" t="s">
        <v>5</v>
      </c>
      <c r="B4" s="6" t="s">
        <v>33</v>
      </c>
    </row>
    <row r="5" spans="1:11" x14ac:dyDescent="0.7">
      <c r="A5" s="3" t="s">
        <v>6</v>
      </c>
      <c r="B5" s="6" t="s">
        <v>32</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0.5708333333333333</v>
      </c>
      <c r="B9" s="8">
        <v>0.77</v>
      </c>
      <c r="C9" s="8">
        <v>0.77</v>
      </c>
      <c r="E9" s="14" t="s">
        <v>14</v>
      </c>
      <c r="F9" s="14" t="s">
        <v>14</v>
      </c>
      <c r="G9" s="14" t="s">
        <v>14</v>
      </c>
      <c r="H9" s="11" t="s">
        <v>14</v>
      </c>
      <c r="I9" s="11" t="s">
        <v>14</v>
      </c>
      <c r="J9" s="11" t="s">
        <v>14</v>
      </c>
    </row>
    <row r="10" spans="1:11" x14ac:dyDescent="0.7">
      <c r="A10" s="15">
        <v>0.57152777777777775</v>
      </c>
      <c r="B10" s="8">
        <v>0.78</v>
      </c>
      <c r="C10" s="8">
        <v>0.77</v>
      </c>
      <c r="E10" s="13">
        <f>(A10-A$9)*24*60</f>
        <v>0.99999999999999645</v>
      </c>
      <c r="F10" s="13">
        <f>SQRT(E10)</f>
        <v>0.99999999999999822</v>
      </c>
      <c r="G10" s="13">
        <f>(A10-A9)*24*60</f>
        <v>0.99999999999999645</v>
      </c>
      <c r="H10" s="8">
        <f>2.54*(B10-B9)</f>
        <v>2.5400000000000023E-2</v>
      </c>
      <c r="I10" s="8">
        <f t="shared" ref="I10:I11" si="0">2.54*(C10-C9)</f>
        <v>0</v>
      </c>
      <c r="J10" s="8">
        <f>SUM(H10,J9)</f>
        <v>2.5400000000000023E-2</v>
      </c>
      <c r="K10" s="2">
        <f t="shared" ref="K10:K18" si="1">1/SQRT(E10)</f>
        <v>1.0000000000000018</v>
      </c>
    </row>
    <row r="11" spans="1:11" x14ac:dyDescent="0.7">
      <c r="A11" s="15">
        <v>0.57222222222222219</v>
      </c>
      <c r="B11" s="8">
        <v>0.78</v>
      </c>
      <c r="C11" s="8">
        <v>0.77</v>
      </c>
      <c r="E11" s="13">
        <f t="shared" ref="E11:E18" si="2">(A11-A$9)*24*60</f>
        <v>1.9999999999999929</v>
      </c>
      <c r="F11" s="13">
        <f t="shared" ref="F11:F18" si="3">SQRT(E11)</f>
        <v>1.4142135623730925</v>
      </c>
      <c r="G11" s="13">
        <f t="shared" ref="G11" si="4">(A11-A10)*24*60</f>
        <v>0.99999999999999645</v>
      </c>
      <c r="H11" s="8">
        <f t="shared" ref="H11" si="5">2.54*(B11-B10)</f>
        <v>0</v>
      </c>
      <c r="I11" s="8">
        <f t="shared" si="0"/>
        <v>0</v>
      </c>
      <c r="J11" s="8">
        <f t="shared" ref="J11:J18" si="6">SUM(H11,J10)</f>
        <v>2.5400000000000023E-2</v>
      </c>
      <c r="K11" s="2">
        <f t="shared" si="1"/>
        <v>0.70710678118654879</v>
      </c>
    </row>
    <row r="12" spans="1:11" x14ac:dyDescent="0.7">
      <c r="A12" s="15">
        <v>0.57291666666666663</v>
      </c>
      <c r="B12" s="8">
        <v>0.78</v>
      </c>
      <c r="C12" s="8">
        <v>0.78</v>
      </c>
      <c r="E12" s="13">
        <f t="shared" si="2"/>
        <v>2.9999999999999893</v>
      </c>
      <c r="F12" s="13">
        <f t="shared" si="3"/>
        <v>1.7320508075688743</v>
      </c>
      <c r="G12" s="13">
        <f t="shared" ref="G12:G18" si="7">(A12-A11)*24*60</f>
        <v>0.99999999999999645</v>
      </c>
      <c r="H12" s="8">
        <f t="shared" ref="H12:H18" si="8">2.54*(B12-B11)</f>
        <v>0</v>
      </c>
      <c r="I12" s="8">
        <f t="shared" ref="I12:I18" si="9">2.54*(C12-C11)</f>
        <v>2.5400000000000023E-2</v>
      </c>
      <c r="J12" s="8">
        <f t="shared" si="6"/>
        <v>2.5400000000000023E-2</v>
      </c>
      <c r="K12" s="2">
        <f t="shared" si="1"/>
        <v>0.57735026918962673</v>
      </c>
    </row>
    <row r="13" spans="1:11" x14ac:dyDescent="0.7">
      <c r="A13" s="15">
        <v>0.57361111111111118</v>
      </c>
      <c r="B13" s="8">
        <v>0.78</v>
      </c>
      <c r="C13" s="8">
        <v>0.78</v>
      </c>
      <c r="E13" s="13">
        <f t="shared" si="2"/>
        <v>4.0000000000001457</v>
      </c>
      <c r="F13" s="13">
        <f t="shared" si="3"/>
        <v>2.0000000000000364</v>
      </c>
      <c r="G13" s="13">
        <f t="shared" si="7"/>
        <v>1.0000000000001563</v>
      </c>
      <c r="H13" s="8">
        <f t="shared" si="8"/>
        <v>0</v>
      </c>
      <c r="I13" s="8">
        <f t="shared" si="9"/>
        <v>0</v>
      </c>
      <c r="J13" s="8">
        <f t="shared" si="6"/>
        <v>2.5400000000000023E-2</v>
      </c>
      <c r="K13" s="2">
        <f t="shared" si="1"/>
        <v>0.4999999999999909</v>
      </c>
    </row>
    <row r="14" spans="1:11" x14ac:dyDescent="0.7">
      <c r="A14" s="15">
        <v>0.57708333333333328</v>
      </c>
      <c r="B14" s="9">
        <v>0.78</v>
      </c>
      <c r="C14" s="9">
        <v>0.79</v>
      </c>
      <c r="E14" s="13">
        <f t="shared" si="2"/>
        <v>8.999999999999968</v>
      </c>
      <c r="F14" s="13">
        <f t="shared" si="3"/>
        <v>2.9999999999999947</v>
      </c>
      <c r="G14" s="13">
        <f t="shared" si="7"/>
        <v>4.9999999999998224</v>
      </c>
      <c r="H14" s="8">
        <f t="shared" si="8"/>
        <v>0</v>
      </c>
      <c r="I14" s="8">
        <f t="shared" si="9"/>
        <v>2.5400000000000023E-2</v>
      </c>
      <c r="J14" s="8">
        <f t="shared" si="6"/>
        <v>2.5400000000000023E-2</v>
      </c>
      <c r="K14" s="2">
        <f t="shared" si="1"/>
        <v>0.33333333333333393</v>
      </c>
    </row>
    <row r="15" spans="1:11" x14ac:dyDescent="0.7">
      <c r="A15" s="15">
        <v>0.58402777777777781</v>
      </c>
      <c r="B15" s="8">
        <v>0.79</v>
      </c>
      <c r="C15" s="8">
        <v>0.81</v>
      </c>
      <c r="E15" s="13">
        <f t="shared" si="2"/>
        <v>19.000000000000092</v>
      </c>
      <c r="F15" s="13">
        <f t="shared" si="3"/>
        <v>4.3588989435406837</v>
      </c>
      <c r="G15" s="13">
        <f t="shared" si="7"/>
        <v>10.000000000000124</v>
      </c>
      <c r="H15" s="8">
        <f t="shared" si="8"/>
        <v>2.5400000000000023E-2</v>
      </c>
      <c r="I15" s="8">
        <f t="shared" si="9"/>
        <v>5.0800000000000047E-2</v>
      </c>
      <c r="J15" s="8">
        <f t="shared" si="6"/>
        <v>5.0800000000000047E-2</v>
      </c>
      <c r="K15" s="2">
        <f t="shared" si="1"/>
        <v>0.22941573387056122</v>
      </c>
    </row>
    <row r="16" spans="1:11" x14ac:dyDescent="0.7">
      <c r="A16" s="15">
        <v>0.59791666666666665</v>
      </c>
      <c r="B16" s="8">
        <v>0.81</v>
      </c>
      <c r="C16" s="8">
        <v>0.85</v>
      </c>
      <c r="D16" s="2"/>
      <c r="E16" s="13">
        <f t="shared" si="2"/>
        <v>39.000000000000021</v>
      </c>
      <c r="F16" s="13">
        <f t="shared" si="3"/>
        <v>6.2449979983984001</v>
      </c>
      <c r="G16" s="13">
        <f t="shared" si="7"/>
        <v>19.999999999999929</v>
      </c>
      <c r="H16" s="8">
        <f t="shared" si="8"/>
        <v>5.0800000000000047E-2</v>
      </c>
      <c r="I16" s="8">
        <f t="shared" si="9"/>
        <v>0.10159999999999982</v>
      </c>
      <c r="J16" s="8">
        <f t="shared" si="6"/>
        <v>0.10160000000000009</v>
      </c>
      <c r="K16" s="2">
        <f t="shared" si="1"/>
        <v>0.16012815380508708</v>
      </c>
    </row>
    <row r="17" spans="1:11" x14ac:dyDescent="0.7">
      <c r="A17" s="15">
        <v>0.61875000000000002</v>
      </c>
      <c r="B17" s="8">
        <v>0.81</v>
      </c>
      <c r="C17" s="8">
        <v>0.89</v>
      </c>
      <c r="E17" s="13">
        <f t="shared" si="2"/>
        <v>69.000000000000071</v>
      </c>
      <c r="F17" s="13">
        <f t="shared" si="3"/>
        <v>8.3066238629180784</v>
      </c>
      <c r="G17" s="13">
        <f t="shared" si="7"/>
        <v>30.000000000000053</v>
      </c>
      <c r="H17" s="8">
        <f t="shared" si="8"/>
        <v>0</v>
      </c>
      <c r="I17" s="8">
        <f t="shared" si="9"/>
        <v>0.10160000000000009</v>
      </c>
      <c r="J17" s="8">
        <f t="shared" si="6"/>
        <v>0.10160000000000009</v>
      </c>
      <c r="K17" s="2">
        <f t="shared" si="1"/>
        <v>0.12038585308576914</v>
      </c>
    </row>
    <row r="18" spans="1:11" x14ac:dyDescent="0.7">
      <c r="A18" s="15">
        <v>0.6381944444444444</v>
      </c>
      <c r="B18" s="8">
        <v>0.83</v>
      </c>
      <c r="C18" s="8">
        <v>0.91</v>
      </c>
      <c r="E18" s="13">
        <f t="shared" si="2"/>
        <v>96.999999999999972</v>
      </c>
      <c r="F18" s="13">
        <f t="shared" si="3"/>
        <v>9.8488578017961039</v>
      </c>
      <c r="G18" s="13">
        <f t="shared" si="7"/>
        <v>27.999999999999901</v>
      </c>
      <c r="H18" s="8">
        <f t="shared" si="8"/>
        <v>5.0799999999999762E-2</v>
      </c>
      <c r="I18" s="8">
        <f t="shared" si="9"/>
        <v>5.0800000000000047E-2</v>
      </c>
      <c r="J18" s="8">
        <f t="shared" si="6"/>
        <v>0.15239999999999987</v>
      </c>
      <c r="K18" s="2">
        <f t="shared" si="1"/>
        <v>0.10153461651336192</v>
      </c>
    </row>
    <row r="19" spans="1:11" x14ac:dyDescent="0.7">
      <c r="A19" s="15"/>
      <c r="H19" s="8"/>
      <c r="I19" s="8"/>
    </row>
    <row r="20" spans="1:11" x14ac:dyDescent="0.7">
      <c r="A20" s="15"/>
      <c r="B20" s="9"/>
      <c r="C20" s="9"/>
      <c r="H20" s="8"/>
      <c r="I20" s="8"/>
    </row>
    <row r="21" spans="1:11" x14ac:dyDescent="0.7">
      <c r="A21" s="15"/>
      <c r="H21" s="8"/>
      <c r="I21" s="8"/>
    </row>
    <row r="22" spans="1:11" x14ac:dyDescent="0.7">
      <c r="A22" s="15"/>
      <c r="H22" s="8"/>
      <c r="I22" s="8"/>
    </row>
    <row r="23" spans="1:11" x14ac:dyDescent="0.7">
      <c r="A23" s="15"/>
      <c r="H23" s="8"/>
      <c r="I23" s="8"/>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9F749-16A1-47A6-AAAB-51937419B0D8}">
  <sheetPr codeName="Sheet7"/>
  <dimension ref="A1:K31"/>
  <sheetViews>
    <sheetView workbookViewId="0">
      <selection activeCell="K10" sqref="K10:K23"/>
    </sheetView>
  </sheetViews>
  <sheetFormatPr defaultRowHeight="18.3" x14ac:dyDescent="0.7"/>
  <cols>
    <col min="1" max="1" width="20.6640625" style="4" bestFit="1" customWidth="1"/>
    <col min="2" max="2" width="13.33203125" style="8" customWidth="1"/>
    <col min="3" max="3" width="13.9140625" style="8" customWidth="1"/>
    <col min="4" max="4" width="10.58203125" style="18" customWidth="1"/>
    <col min="5" max="6" width="12.83203125" style="13" customWidth="1"/>
    <col min="7" max="7" width="8.6640625" style="13"/>
    <col min="8" max="9" width="8.6640625" style="2"/>
    <col min="10" max="10" width="13" style="13" customWidth="1"/>
    <col min="11" max="16384" width="8.6640625" style="2"/>
  </cols>
  <sheetData>
    <row r="1" spans="1:11" s="1" customFormat="1" x14ac:dyDescent="0.7">
      <c r="A1" s="3" t="s">
        <v>0</v>
      </c>
      <c r="B1" s="10">
        <v>44882</v>
      </c>
      <c r="C1" s="7"/>
      <c r="D1" s="17"/>
      <c r="E1" s="12"/>
      <c r="F1" s="12"/>
      <c r="G1" s="12"/>
      <c r="J1" s="12"/>
    </row>
    <row r="2" spans="1:11" x14ac:dyDescent="0.7">
      <c r="A2" s="3" t="s">
        <v>1</v>
      </c>
      <c r="B2" s="6" t="s">
        <v>34</v>
      </c>
    </row>
    <row r="3" spans="1:11" x14ac:dyDescent="0.7">
      <c r="A3" s="3" t="s">
        <v>7</v>
      </c>
      <c r="B3" s="6" t="s">
        <v>27</v>
      </c>
    </row>
    <row r="4" spans="1:11" x14ac:dyDescent="0.7">
      <c r="A4" s="3" t="s">
        <v>5</v>
      </c>
      <c r="B4" s="6" t="s">
        <v>35</v>
      </c>
    </row>
    <row r="5" spans="1:11" x14ac:dyDescent="0.7">
      <c r="A5" s="3" t="s">
        <v>6</v>
      </c>
      <c r="B5" s="6" t="s">
        <v>36</v>
      </c>
    </row>
    <row r="6" spans="1:11" x14ac:dyDescent="0.7">
      <c r="A6" s="3" t="s">
        <v>23</v>
      </c>
      <c r="B6" s="6">
        <f>3.14159*(2.54*(12/2))</f>
        <v>47.8778316</v>
      </c>
    </row>
    <row r="8" spans="1:11" x14ac:dyDescent="0.7">
      <c r="A8" s="1" t="s">
        <v>3</v>
      </c>
      <c r="B8" s="7" t="s">
        <v>10</v>
      </c>
      <c r="C8" s="7" t="s">
        <v>11</v>
      </c>
      <c r="D8" s="17" t="s">
        <v>2</v>
      </c>
      <c r="E8" s="12" t="s">
        <v>25</v>
      </c>
      <c r="F8" s="12" t="s">
        <v>85</v>
      </c>
      <c r="G8" s="12" t="s">
        <v>24</v>
      </c>
      <c r="H8" s="1" t="s">
        <v>18</v>
      </c>
      <c r="I8" s="1" t="s">
        <v>19</v>
      </c>
      <c r="J8" s="12" t="s">
        <v>44</v>
      </c>
      <c r="K8" s="1"/>
    </row>
    <row r="9" spans="1:11" x14ac:dyDescent="0.7">
      <c r="A9" s="15">
        <v>0.41875000000000001</v>
      </c>
      <c r="B9" s="8">
        <v>9.1</v>
      </c>
      <c r="C9" s="8">
        <v>9</v>
      </c>
      <c r="E9" s="14" t="s">
        <v>14</v>
      </c>
      <c r="F9" s="14" t="s">
        <v>14</v>
      </c>
      <c r="G9" s="14" t="s">
        <v>14</v>
      </c>
      <c r="H9" s="11" t="s">
        <v>14</v>
      </c>
      <c r="I9" s="11" t="s">
        <v>14</v>
      </c>
      <c r="J9" s="11" t="s">
        <v>14</v>
      </c>
    </row>
    <row r="10" spans="1:11" x14ac:dyDescent="0.7">
      <c r="A10" s="15">
        <v>0.41944444444444445</v>
      </c>
      <c r="B10" s="8">
        <v>9.1999999999999993</v>
      </c>
      <c r="C10" s="8">
        <v>9.1</v>
      </c>
      <c r="E10" s="13">
        <f>(A10-A$9)*24*60</f>
        <v>0.99999999999999645</v>
      </c>
      <c r="F10" s="13">
        <f>SQRT(E10)</f>
        <v>0.99999999999999822</v>
      </c>
      <c r="G10" s="13">
        <f>(A10-A9)*24*60</f>
        <v>0.99999999999999645</v>
      </c>
      <c r="H10" s="8">
        <f>2.54*(B10-B9)</f>
        <v>0.25399999999999912</v>
      </c>
      <c r="I10" s="8">
        <f t="shared" ref="I10:I18" si="0">2.54*(C10-C9)</f>
        <v>0.25399999999999912</v>
      </c>
      <c r="J10" s="13">
        <f>SUM(H10,J9)</f>
        <v>0.25399999999999912</v>
      </c>
      <c r="K10" s="2">
        <f t="shared" ref="K10:K23" si="1">1/SQRT(E10)</f>
        <v>1.0000000000000018</v>
      </c>
    </row>
    <row r="11" spans="1:11" x14ac:dyDescent="0.7">
      <c r="A11" s="15">
        <v>0.4201388888888889</v>
      </c>
      <c r="B11" s="8">
        <v>9.3000000000000007</v>
      </c>
      <c r="C11" s="8">
        <v>9.1</v>
      </c>
      <c r="E11" s="13">
        <f t="shared" ref="E11:E23" si="2">(A11-A$9)*24*60</f>
        <v>1.9999999999999929</v>
      </c>
      <c r="F11" s="13">
        <f t="shared" ref="F11:F23" si="3">SQRT(E11)</f>
        <v>1.4142135623730925</v>
      </c>
      <c r="G11" s="13">
        <f t="shared" ref="G11:G18" si="4">(A11-A10)*24*60</f>
        <v>0.99999999999999645</v>
      </c>
      <c r="H11" s="8">
        <f t="shared" ref="H11:H18" si="5">2.54*(B11-B10)</f>
        <v>0.25400000000000361</v>
      </c>
      <c r="I11" s="8">
        <f t="shared" si="0"/>
        <v>0</v>
      </c>
      <c r="J11" s="13">
        <f t="shared" ref="J11:J23" si="6">SUM(H11,J10)</f>
        <v>0.50800000000000267</v>
      </c>
      <c r="K11" s="2">
        <f t="shared" si="1"/>
        <v>0.70710678118654879</v>
      </c>
    </row>
    <row r="12" spans="1:11" x14ac:dyDescent="0.7">
      <c r="A12" s="15">
        <v>0.42083333333333334</v>
      </c>
      <c r="B12" s="8">
        <v>9.3000000000000007</v>
      </c>
      <c r="C12" s="8">
        <v>9.1</v>
      </c>
      <c r="E12" s="13">
        <f t="shared" si="2"/>
        <v>2.9999999999999893</v>
      </c>
      <c r="F12" s="13">
        <f t="shared" si="3"/>
        <v>1.7320508075688743</v>
      </c>
      <c r="G12" s="13">
        <f t="shared" si="4"/>
        <v>0.99999999999999645</v>
      </c>
      <c r="H12" s="8">
        <f t="shared" si="5"/>
        <v>0</v>
      </c>
      <c r="I12" s="8">
        <f t="shared" si="0"/>
        <v>0</v>
      </c>
      <c r="J12" s="13">
        <f t="shared" si="6"/>
        <v>0.50800000000000267</v>
      </c>
      <c r="K12" s="2">
        <f t="shared" si="1"/>
        <v>0.57735026918962673</v>
      </c>
    </row>
    <row r="13" spans="1:11" x14ac:dyDescent="0.7">
      <c r="A13" s="15">
        <v>0.42152777777777778</v>
      </c>
      <c r="B13" s="8">
        <v>9.3000000000000007</v>
      </c>
      <c r="C13" s="8">
        <v>9.1</v>
      </c>
      <c r="E13" s="13">
        <f t="shared" si="2"/>
        <v>3.9999999999999858</v>
      </c>
      <c r="F13" s="13">
        <f t="shared" si="3"/>
        <v>1.9999999999999964</v>
      </c>
      <c r="G13" s="13">
        <f t="shared" si="4"/>
        <v>0.99999999999999645</v>
      </c>
      <c r="H13" s="8">
        <f t="shared" si="5"/>
        <v>0</v>
      </c>
      <c r="I13" s="8">
        <f t="shared" si="0"/>
        <v>0</v>
      </c>
      <c r="J13" s="13">
        <f t="shared" si="6"/>
        <v>0.50800000000000267</v>
      </c>
      <c r="K13" s="2">
        <f t="shared" si="1"/>
        <v>0.50000000000000089</v>
      </c>
    </row>
    <row r="14" spans="1:11" x14ac:dyDescent="0.7">
      <c r="A14" s="15">
        <v>0.42499999999999999</v>
      </c>
      <c r="B14" s="9">
        <v>9.4</v>
      </c>
      <c r="C14" s="9">
        <v>9.1999999999999993</v>
      </c>
      <c r="E14" s="13">
        <f t="shared" si="2"/>
        <v>8.999999999999968</v>
      </c>
      <c r="F14" s="13">
        <f t="shared" si="3"/>
        <v>2.9999999999999947</v>
      </c>
      <c r="G14" s="13">
        <f t="shared" si="4"/>
        <v>4.9999999999999822</v>
      </c>
      <c r="H14" s="8">
        <f t="shared" si="5"/>
        <v>0.25399999999999912</v>
      </c>
      <c r="I14" s="8">
        <f t="shared" si="0"/>
        <v>0.25399999999999912</v>
      </c>
      <c r="J14" s="13">
        <f t="shared" si="6"/>
        <v>0.76200000000000179</v>
      </c>
      <c r="K14" s="2">
        <f t="shared" si="1"/>
        <v>0.33333333333333393</v>
      </c>
    </row>
    <row r="15" spans="1:11" x14ac:dyDescent="0.7">
      <c r="A15" s="15">
        <v>0.43194444444444446</v>
      </c>
      <c r="B15" s="8">
        <v>9.6999999999999993</v>
      </c>
      <c r="C15" s="8">
        <v>9.3000000000000007</v>
      </c>
      <c r="E15" s="13">
        <f t="shared" si="2"/>
        <v>19.000000000000014</v>
      </c>
      <c r="F15" s="13">
        <f t="shared" si="3"/>
        <v>4.3588989435406749</v>
      </c>
      <c r="G15" s="13">
        <f t="shared" si="4"/>
        <v>10.000000000000044</v>
      </c>
      <c r="H15" s="8">
        <f t="shared" si="5"/>
        <v>0.76199999999999735</v>
      </c>
      <c r="I15" s="8">
        <f t="shared" si="0"/>
        <v>0.25400000000000361</v>
      </c>
      <c r="J15" s="13">
        <f t="shared" si="6"/>
        <v>1.5239999999999991</v>
      </c>
      <c r="K15" s="2">
        <f t="shared" si="1"/>
        <v>0.22941573387056169</v>
      </c>
    </row>
    <row r="16" spans="1:11" x14ac:dyDescent="0.7">
      <c r="A16" s="15">
        <v>0.4458333333333333</v>
      </c>
      <c r="B16" s="8">
        <v>10</v>
      </c>
      <c r="C16" s="8">
        <v>9.5</v>
      </c>
      <c r="D16" s="2"/>
      <c r="E16" s="13">
        <f t="shared" si="2"/>
        <v>38.999999999999943</v>
      </c>
      <c r="F16" s="13">
        <f t="shared" si="3"/>
        <v>6.2449979983983939</v>
      </c>
      <c r="G16" s="13">
        <f t="shared" si="4"/>
        <v>19.999999999999929</v>
      </c>
      <c r="H16" s="8">
        <f t="shared" si="5"/>
        <v>0.76200000000000179</v>
      </c>
      <c r="I16" s="8">
        <f t="shared" si="0"/>
        <v>0.50799999999999823</v>
      </c>
      <c r="J16" s="13">
        <f t="shared" si="6"/>
        <v>2.2860000000000009</v>
      </c>
      <c r="K16" s="2">
        <f t="shared" si="1"/>
        <v>0.16012815380508724</v>
      </c>
    </row>
    <row r="17" spans="1:11" x14ac:dyDescent="0.7">
      <c r="A17" s="15">
        <v>0.4597222222222222</v>
      </c>
      <c r="B17" s="8">
        <v>10.199999999999999</v>
      </c>
      <c r="C17" s="8">
        <v>9.8000000000000007</v>
      </c>
      <c r="E17" s="13">
        <f t="shared" si="2"/>
        <v>58.99999999999995</v>
      </c>
      <c r="F17" s="13">
        <f t="shared" si="3"/>
        <v>7.6811457478686052</v>
      </c>
      <c r="G17" s="13">
        <f t="shared" si="4"/>
        <v>20.000000000000007</v>
      </c>
      <c r="H17" s="8">
        <f t="shared" si="5"/>
        <v>0.50799999999999823</v>
      </c>
      <c r="I17" s="8">
        <f t="shared" si="0"/>
        <v>0.76200000000000179</v>
      </c>
      <c r="J17" s="13">
        <f t="shared" si="6"/>
        <v>2.7939999999999992</v>
      </c>
      <c r="K17" s="2">
        <f t="shared" si="1"/>
        <v>0.13018891098082391</v>
      </c>
    </row>
    <row r="18" spans="1:11" x14ac:dyDescent="0.7">
      <c r="A18" s="15">
        <v>0.48055555555555557</v>
      </c>
      <c r="B18" s="8">
        <v>10.6</v>
      </c>
      <c r="C18" s="8">
        <v>10.1</v>
      </c>
      <c r="E18" s="13">
        <f t="shared" si="2"/>
        <v>89</v>
      </c>
      <c r="F18" s="13">
        <f t="shared" si="3"/>
        <v>9.4339811320566032</v>
      </c>
      <c r="G18" s="13">
        <f t="shared" si="4"/>
        <v>30.000000000000053</v>
      </c>
      <c r="H18" s="8">
        <f t="shared" si="5"/>
        <v>1.0160000000000009</v>
      </c>
      <c r="I18" s="8">
        <f t="shared" si="0"/>
        <v>0.76199999999999735</v>
      </c>
      <c r="J18" s="13">
        <f t="shared" si="6"/>
        <v>3.81</v>
      </c>
      <c r="K18" s="2">
        <f t="shared" si="1"/>
        <v>0.105999788000636</v>
      </c>
    </row>
    <row r="19" spans="1:11" x14ac:dyDescent="0.7">
      <c r="A19" s="15">
        <v>0.50138888888888888</v>
      </c>
      <c r="B19" s="8">
        <v>10.9</v>
      </c>
      <c r="C19" s="8">
        <v>10.3</v>
      </c>
      <c r="E19" s="13">
        <f t="shared" si="2"/>
        <v>118.99999999999997</v>
      </c>
      <c r="F19" s="13">
        <f t="shared" si="3"/>
        <v>10.908712114635714</v>
      </c>
      <c r="G19" s="13">
        <f t="shared" ref="G19:G23" si="7">(A19-A18)*24*60</f>
        <v>29.999999999999972</v>
      </c>
      <c r="H19" s="8">
        <f t="shared" ref="H19:H23" si="8">2.54*(B19-B18)</f>
        <v>0.76200000000000179</v>
      </c>
      <c r="I19" s="8">
        <f t="shared" ref="I19:I23" si="9">2.54*(C19-C18)</f>
        <v>0.50800000000000267</v>
      </c>
      <c r="J19" s="13">
        <f t="shared" si="6"/>
        <v>4.5720000000000018</v>
      </c>
      <c r="K19" s="2">
        <f t="shared" si="1"/>
        <v>9.1669849702821132E-2</v>
      </c>
    </row>
    <row r="20" spans="1:11" x14ac:dyDescent="0.7">
      <c r="A20" s="15">
        <v>0.52222222222222225</v>
      </c>
      <c r="B20" s="9">
        <v>11.7</v>
      </c>
      <c r="C20" s="9">
        <v>12</v>
      </c>
      <c r="E20" s="13">
        <f t="shared" si="2"/>
        <v>149.00000000000003</v>
      </c>
      <c r="F20" s="13">
        <f t="shared" si="3"/>
        <v>12.206555615733704</v>
      </c>
      <c r="G20" s="13">
        <f t="shared" si="7"/>
        <v>30.000000000000053</v>
      </c>
      <c r="H20" s="8">
        <f t="shared" si="8"/>
        <v>2.0319999999999974</v>
      </c>
      <c r="I20" s="8">
        <f t="shared" si="9"/>
        <v>4.3179999999999978</v>
      </c>
      <c r="J20" s="13">
        <f t="shared" si="6"/>
        <v>6.6039999999999992</v>
      </c>
      <c r="K20" s="2">
        <f t="shared" si="1"/>
        <v>8.1923192051904042E-2</v>
      </c>
    </row>
    <row r="21" spans="1:11" x14ac:dyDescent="0.7">
      <c r="A21" s="15">
        <v>0.54305555555555551</v>
      </c>
      <c r="B21" s="8">
        <v>11.8</v>
      </c>
      <c r="C21" s="8">
        <v>12.2</v>
      </c>
      <c r="E21" s="13">
        <f t="shared" si="2"/>
        <v>178.99999999999991</v>
      </c>
      <c r="F21" s="13">
        <f t="shared" si="3"/>
        <v>13.379088160259649</v>
      </c>
      <c r="G21" s="13">
        <f t="shared" si="7"/>
        <v>29.999999999999893</v>
      </c>
      <c r="H21" s="8">
        <f t="shared" si="8"/>
        <v>0.25400000000000361</v>
      </c>
      <c r="I21" s="8">
        <f t="shared" si="9"/>
        <v>0.50799999999999823</v>
      </c>
      <c r="J21" s="13">
        <f t="shared" si="6"/>
        <v>6.8580000000000032</v>
      </c>
      <c r="K21" s="2">
        <f t="shared" si="1"/>
        <v>7.4743509275193604E-2</v>
      </c>
    </row>
    <row r="22" spans="1:11" x14ac:dyDescent="0.7">
      <c r="A22" s="15">
        <v>0.57500000000000007</v>
      </c>
      <c r="B22" s="8">
        <v>12.2</v>
      </c>
      <c r="C22" s="8">
        <v>12.25</v>
      </c>
      <c r="E22" s="13">
        <f t="shared" si="2"/>
        <v>225.00000000000009</v>
      </c>
      <c r="F22" s="13">
        <f t="shared" si="3"/>
        <v>15.000000000000004</v>
      </c>
      <c r="G22" s="13">
        <f t="shared" si="7"/>
        <v>46.000000000000156</v>
      </c>
      <c r="H22" s="8">
        <f t="shared" si="8"/>
        <v>1.0159999999999965</v>
      </c>
      <c r="I22" s="8">
        <f t="shared" si="9"/>
        <v>0.12700000000000181</v>
      </c>
      <c r="J22" s="13">
        <f t="shared" si="6"/>
        <v>7.8739999999999997</v>
      </c>
      <c r="K22" s="2">
        <f t="shared" si="1"/>
        <v>6.6666666666666652E-2</v>
      </c>
    </row>
    <row r="23" spans="1:11" x14ac:dyDescent="0.7">
      <c r="A23" s="15">
        <v>0.59027777777777779</v>
      </c>
      <c r="B23" s="8">
        <v>12.3</v>
      </c>
      <c r="C23" s="8">
        <v>12.7</v>
      </c>
      <c r="E23" s="13">
        <f t="shared" si="2"/>
        <v>247.00000000000003</v>
      </c>
      <c r="F23" s="13">
        <f t="shared" si="3"/>
        <v>15.716233645501712</v>
      </c>
      <c r="G23" s="13">
        <f t="shared" si="7"/>
        <v>21.999999999999922</v>
      </c>
      <c r="H23" s="8">
        <f t="shared" si="8"/>
        <v>0.25400000000000361</v>
      </c>
      <c r="I23" s="8">
        <f t="shared" si="9"/>
        <v>1.1429999999999982</v>
      </c>
      <c r="J23" s="13">
        <f t="shared" si="6"/>
        <v>8.1280000000000037</v>
      </c>
      <c r="K23" s="2">
        <f t="shared" si="1"/>
        <v>6.3628476297577771E-2</v>
      </c>
    </row>
    <row r="24" spans="1:11" x14ac:dyDescent="0.7">
      <c r="A24" s="15"/>
      <c r="H24" s="8"/>
      <c r="I24" s="8"/>
    </row>
    <row r="25" spans="1:11" x14ac:dyDescent="0.7">
      <c r="A25" s="15"/>
      <c r="H25" s="8"/>
      <c r="I25" s="8"/>
    </row>
    <row r="26" spans="1:11" x14ac:dyDescent="0.7">
      <c r="A26" s="5"/>
    </row>
    <row r="27" spans="1:11" x14ac:dyDescent="0.7">
      <c r="A27" s="5"/>
    </row>
    <row r="28" spans="1:11" x14ac:dyDescent="0.7">
      <c r="A28" s="5"/>
    </row>
    <row r="29" spans="1:11" x14ac:dyDescent="0.7">
      <c r="A29" s="5"/>
    </row>
    <row r="30" spans="1:11" x14ac:dyDescent="0.7">
      <c r="A30" s="5"/>
    </row>
    <row r="31" spans="1:11" x14ac:dyDescent="0.7">
      <c r="A31"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Charts</vt:lpstr>
      </vt:variant>
      <vt:variant>
        <vt:i4>23</vt:i4>
      </vt:variant>
    </vt:vector>
  </HeadingPairs>
  <TitlesOfParts>
    <vt:vector size="44" baseType="lpstr">
      <vt:lpstr>Read Me</vt:lpstr>
      <vt:lpstr>SAS-ready summary of data</vt:lpstr>
      <vt:lpstr>DR1</vt:lpstr>
      <vt:lpstr>DR2</vt:lpstr>
      <vt:lpstr>DR3</vt:lpstr>
      <vt:lpstr>DR4</vt:lpstr>
      <vt:lpstr>DR5</vt:lpstr>
      <vt:lpstr>DR6</vt:lpstr>
      <vt:lpstr>DR7</vt:lpstr>
      <vt:lpstr>DR8</vt:lpstr>
      <vt:lpstr>DR9</vt:lpstr>
      <vt:lpstr>DR10</vt:lpstr>
      <vt:lpstr>DR11</vt:lpstr>
      <vt:lpstr>DR12</vt:lpstr>
      <vt:lpstr>DR13</vt:lpstr>
      <vt:lpstr>DR14</vt:lpstr>
      <vt:lpstr>DR15</vt:lpstr>
      <vt:lpstr>DR16</vt:lpstr>
      <vt:lpstr>DR17</vt:lpstr>
      <vt:lpstr>DR18</vt:lpstr>
      <vt:lpstr>DR19</vt:lpstr>
      <vt:lpstr>DR1 Chart</vt:lpstr>
      <vt:lpstr>DR2 Chart</vt:lpstr>
      <vt:lpstr>DR3 Chart</vt:lpstr>
      <vt:lpstr>DR4 Chart</vt:lpstr>
      <vt:lpstr>DR5 Chart</vt:lpstr>
      <vt:lpstr>DR5 Chart (2)</vt:lpstr>
      <vt:lpstr>DR6 Chart</vt:lpstr>
      <vt:lpstr>DR6 Chart (2)</vt:lpstr>
      <vt:lpstr>DR7 Chart</vt:lpstr>
      <vt:lpstr>DR8 Chart</vt:lpstr>
      <vt:lpstr>DR9 Chart</vt:lpstr>
      <vt:lpstr>DR10 Chart</vt:lpstr>
      <vt:lpstr>DR10 Chart (2)</vt:lpstr>
      <vt:lpstr>DR11 Chart</vt:lpstr>
      <vt:lpstr>DR12 Chart</vt:lpstr>
      <vt:lpstr>DR12 Chart (2)</vt:lpstr>
      <vt:lpstr>DR13 Chart</vt:lpstr>
      <vt:lpstr>DR14 Chart</vt:lpstr>
      <vt:lpstr>DR15 Chart</vt:lpstr>
      <vt:lpstr>DR16 Chart</vt:lpstr>
      <vt:lpstr>DR17 Chart</vt:lpstr>
      <vt:lpstr>DR18 Chart</vt:lpstr>
      <vt:lpstr>DR19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Rhea, Lee</dc:creator>
  <cp:lastModifiedBy>Rhea, Lee</cp:lastModifiedBy>
  <dcterms:created xsi:type="dcterms:W3CDTF">2022-11-09T16:00:10Z</dcterms:created>
  <dcterms:modified xsi:type="dcterms:W3CDTF">2026-03-31T15:51:03Z</dcterms:modified>
</cp:coreProperties>
</file>