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7.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8.xml" ContentType="application/vnd.openxmlformats-officedocument.drawingml.chartshape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9.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style45.xml" ContentType="application/vnd.ms-office.chartstyle+xml"/>
  <Override PartName="/xl/charts/colors4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usepa-my.sharepoint.com/personal/martin_joseph_epa_gov/Documents/Profile/Desktop/"/>
    </mc:Choice>
  </mc:AlternateContent>
  <xr:revisionPtr revIDLastSave="769" documentId="8_{1B0E5C98-CF09-4210-8513-0EC927D2B46F}" xr6:coauthVersionLast="47" xr6:coauthVersionMax="47" xr10:uidLastSave="{F469CD33-477B-4D4A-BC01-BB4A59A2C6AE}"/>
  <bookViews>
    <workbookView xWindow="28692" yWindow="-108" windowWidth="51816" windowHeight="21096" activeTab="2" xr2:uid="{91081467-29B6-4C90-BFEE-E3904CB63727}"/>
  </bookViews>
  <sheets>
    <sheet name="Sample Info and Data Narrative" sheetId="1" r:id="rId1"/>
    <sheet name="Time-Int. Data by Analyte " sheetId="2" r:id="rId2"/>
    <sheet name="SVOC Data Preparation"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02" i="2" l="1"/>
  <c r="AP184" i="2"/>
  <c r="AP185" i="2"/>
  <c r="AP183" i="2"/>
  <c r="AP182" i="2"/>
  <c r="AP181" i="2"/>
  <c r="AP180" i="2"/>
  <c r="AP179" i="2"/>
  <c r="AP178" i="2"/>
  <c r="AP177" i="2"/>
  <c r="AP176" i="2"/>
  <c r="AP175" i="2"/>
  <c r="AP174" i="2"/>
  <c r="AP163" i="2"/>
  <c r="AP162" i="2"/>
  <c r="AP161" i="2"/>
  <c r="AP160" i="2"/>
  <c r="AP159" i="2"/>
  <c r="AP158" i="2"/>
  <c r="AP157" i="2"/>
  <c r="AP156" i="2"/>
  <c r="AP155" i="2"/>
  <c r="AP154" i="2"/>
  <c r="AP138" i="2"/>
  <c r="AP139" i="2"/>
  <c r="AP140" i="2"/>
  <c r="AP141" i="2"/>
  <c r="AP142" i="2"/>
  <c r="AP143" i="2"/>
  <c r="AP144" i="2"/>
  <c r="AP145" i="2"/>
  <c r="AP146" i="2"/>
  <c r="AP147" i="2"/>
  <c r="AP132" i="2"/>
  <c r="AP131" i="2"/>
  <c r="AP130" i="2"/>
  <c r="AP129" i="2"/>
  <c r="AP128" i="2"/>
  <c r="AP127" i="2"/>
  <c r="AP126" i="2"/>
  <c r="AP125" i="2"/>
  <c r="AP124" i="2"/>
  <c r="AP123" i="2"/>
  <c r="AP122" i="2"/>
  <c r="AP113" i="2"/>
  <c r="AP112" i="2"/>
  <c r="AP111" i="2"/>
  <c r="AP110" i="2"/>
  <c r="AP109" i="2"/>
  <c r="AP108" i="2"/>
  <c r="AP107" i="2"/>
  <c r="AP106" i="2"/>
  <c r="AP105" i="2"/>
  <c r="AP104" i="2"/>
  <c r="AP103" i="2"/>
  <c r="AP95" i="2"/>
  <c r="AP94" i="2"/>
  <c r="AP93" i="2"/>
  <c r="AP92" i="2"/>
  <c r="AP91" i="2"/>
  <c r="AP90" i="2"/>
  <c r="AP89" i="2"/>
  <c r="AP88" i="2"/>
  <c r="AP87" i="2"/>
  <c r="AP86" i="2"/>
  <c r="AP85" i="2"/>
  <c r="AP84" i="2"/>
  <c r="AP77" i="2"/>
  <c r="AP76" i="2"/>
  <c r="AP75" i="2"/>
  <c r="AP74" i="2"/>
  <c r="AP73" i="2"/>
  <c r="AP72" i="2"/>
  <c r="AP71" i="2"/>
  <c r="AP70" i="2"/>
  <c r="AP69" i="2"/>
  <c r="AP68" i="2"/>
  <c r="AP67" i="2"/>
  <c r="AP66" i="2"/>
  <c r="AP48" i="2"/>
  <c r="AP49" i="2"/>
  <c r="AP50" i="2"/>
  <c r="AP51" i="2"/>
  <c r="AP52" i="2"/>
  <c r="AP53" i="2"/>
  <c r="AP54" i="2"/>
  <c r="AP55" i="2"/>
  <c r="AP56" i="2"/>
  <c r="AP57" i="2"/>
  <c r="AP58" i="2"/>
  <c r="AP47" i="2"/>
  <c r="AP31" i="2"/>
  <c r="AP32" i="2"/>
  <c r="AP33" i="2"/>
  <c r="AP34" i="2"/>
  <c r="AP35" i="2"/>
  <c r="AP36" i="2"/>
  <c r="AP37" i="2"/>
  <c r="AP38" i="2"/>
  <c r="AP39" i="2"/>
  <c r="AP40" i="2"/>
  <c r="AP30" i="2"/>
  <c r="AP29" i="2"/>
  <c r="AC30" i="2"/>
  <c r="AC174" i="2"/>
  <c r="AM14" i="2" l="1"/>
  <c r="AO19" i="2" l="1"/>
  <c r="AO15" i="2"/>
  <c r="AP15" i="2" s="1"/>
  <c r="AM18" i="2"/>
  <c r="AN18" i="2" s="1"/>
  <c r="AM17" i="2"/>
  <c r="AN17" i="2" s="1"/>
  <c r="AO77" i="2"/>
  <c r="AO76" i="2"/>
  <c r="AO75" i="2"/>
  <c r="AO74" i="2"/>
  <c r="AO73" i="2"/>
  <c r="AO72" i="2"/>
  <c r="AO71" i="2"/>
  <c r="AO70" i="2"/>
  <c r="AO69" i="2"/>
  <c r="AO68" i="2"/>
  <c r="AO67" i="2"/>
  <c r="AO66" i="2"/>
  <c r="AO58" i="2"/>
  <c r="AO57" i="2"/>
  <c r="AO56" i="2"/>
  <c r="AO55" i="2"/>
  <c r="AO54" i="2"/>
  <c r="AO53" i="2"/>
  <c r="AO52" i="2"/>
  <c r="AO51" i="2"/>
  <c r="AO50" i="2"/>
  <c r="AO49" i="2"/>
  <c r="AO48" i="2"/>
  <c r="AO47" i="2"/>
  <c r="AO40" i="2"/>
  <c r="AO39" i="2"/>
  <c r="AO38" i="2"/>
  <c r="AO37" i="2"/>
  <c r="AO36" i="2"/>
  <c r="AO35" i="2"/>
  <c r="AO34" i="2"/>
  <c r="AO33" i="2"/>
  <c r="AO32" i="2"/>
  <c r="AO31" i="2"/>
  <c r="AO30" i="2"/>
  <c r="AO29" i="2"/>
  <c r="AL20" i="2"/>
  <c r="AL19" i="2"/>
  <c r="AL18" i="2"/>
  <c r="AL17" i="2"/>
  <c r="AL16" i="2"/>
  <c r="AL15" i="2"/>
  <c r="AL14" i="2"/>
  <c r="AN8" i="2"/>
  <c r="AN6" i="2"/>
  <c r="AN5" i="2"/>
  <c r="Q379" i="2"/>
  <c r="Q378" i="2"/>
  <c r="Q377" i="2"/>
  <c r="Q376" i="2"/>
  <c r="Q375" i="2"/>
  <c r="Q374" i="2"/>
  <c r="Q373" i="2"/>
  <c r="Q372" i="2"/>
  <c r="Q371" i="2"/>
  <c r="Q370" i="2"/>
  <c r="Q369" i="2"/>
  <c r="Q368" i="2"/>
  <c r="Q360" i="2"/>
  <c r="Q359" i="2"/>
  <c r="Q358" i="2"/>
  <c r="Q357" i="2"/>
  <c r="Q356" i="2"/>
  <c r="Q355" i="2"/>
  <c r="Q354" i="2"/>
  <c r="Q353" i="2"/>
  <c r="Q352" i="2"/>
  <c r="Q351" i="2"/>
  <c r="Q350" i="2"/>
  <c r="Q349" i="2"/>
  <c r="Q342" i="2"/>
  <c r="Q341" i="2"/>
  <c r="Q340" i="2"/>
  <c r="Q339" i="2"/>
  <c r="Q338" i="2"/>
  <c r="Q337" i="2"/>
  <c r="Q336" i="2"/>
  <c r="Q335" i="2"/>
  <c r="Q334" i="2"/>
  <c r="Q333" i="2"/>
  <c r="Q332" i="2"/>
  <c r="Q331" i="2"/>
  <c r="Q324" i="2"/>
  <c r="Q323" i="2"/>
  <c r="Q322" i="2"/>
  <c r="Q321" i="2"/>
  <c r="Q320" i="2"/>
  <c r="Q319" i="2"/>
  <c r="Q318" i="2"/>
  <c r="Q317" i="2"/>
  <c r="Q316" i="2"/>
  <c r="Q315" i="2"/>
  <c r="Q314" i="2"/>
  <c r="Q313" i="2"/>
  <c r="Q302" i="2"/>
  <c r="Q301" i="2"/>
  <c r="Q300" i="2"/>
  <c r="Q299" i="2"/>
  <c r="Q298" i="2"/>
  <c r="Q297" i="2"/>
  <c r="Q296" i="2"/>
  <c r="Q295" i="2"/>
  <c r="Q294" i="2"/>
  <c r="Q293" i="2"/>
  <c r="Q292" i="2"/>
  <c r="Q291" i="2"/>
  <c r="Q284" i="2"/>
  <c r="Q283" i="2"/>
  <c r="Q282" i="2"/>
  <c r="Q281" i="2"/>
  <c r="Q280" i="2"/>
  <c r="Q279" i="2"/>
  <c r="Q278" i="2"/>
  <c r="Q277" i="2"/>
  <c r="Q276" i="2"/>
  <c r="Q275" i="2"/>
  <c r="Q274" i="2"/>
  <c r="Q273" i="2"/>
  <c r="Q266" i="2"/>
  <c r="Q265" i="2"/>
  <c r="Q264" i="2"/>
  <c r="Q263" i="2"/>
  <c r="Q262" i="2"/>
  <c r="Q261" i="2"/>
  <c r="Q260" i="2"/>
  <c r="Q259" i="2"/>
  <c r="Q258" i="2"/>
  <c r="Q257" i="2"/>
  <c r="Q256" i="2"/>
  <c r="Q248" i="2"/>
  <c r="Q247" i="2"/>
  <c r="Q246" i="2"/>
  <c r="Q245" i="2"/>
  <c r="Q244" i="2"/>
  <c r="Q243" i="2"/>
  <c r="Q242" i="2"/>
  <c r="Q241" i="2"/>
  <c r="Q240" i="2"/>
  <c r="Q239" i="2"/>
  <c r="Q238" i="2"/>
  <c r="Q237" i="2"/>
  <c r="Q230" i="2"/>
  <c r="Q229" i="2"/>
  <c r="Q228" i="2"/>
  <c r="Q227" i="2"/>
  <c r="Q226" i="2"/>
  <c r="Q225" i="2"/>
  <c r="Q224" i="2"/>
  <c r="Q223" i="2"/>
  <c r="Q222" i="2"/>
  <c r="Q221" i="2"/>
  <c r="Q220" i="2"/>
  <c r="Q219" i="2"/>
  <c r="Q212" i="2"/>
  <c r="Q211" i="2"/>
  <c r="Q210" i="2"/>
  <c r="Q209" i="2"/>
  <c r="Q208" i="2"/>
  <c r="Q207" i="2"/>
  <c r="Q206" i="2"/>
  <c r="Q205" i="2"/>
  <c r="Q204" i="2"/>
  <c r="Q203" i="2"/>
  <c r="Q202" i="2"/>
  <c r="Q201" i="2"/>
  <c r="Q194" i="2"/>
  <c r="Q193" i="2"/>
  <c r="Q192" i="2"/>
  <c r="Q191" i="2"/>
  <c r="Q190" i="2"/>
  <c r="Q189" i="2"/>
  <c r="Q188" i="2"/>
  <c r="Q187" i="2"/>
  <c r="Q186" i="2"/>
  <c r="Q185" i="2"/>
  <c r="Q184" i="2"/>
  <c r="Q183" i="2"/>
  <c r="Q176" i="2"/>
  <c r="Q175" i="2"/>
  <c r="Q174" i="2"/>
  <c r="Q173" i="2"/>
  <c r="Q172" i="2"/>
  <c r="Q171" i="2"/>
  <c r="Q170" i="2"/>
  <c r="Q169" i="2"/>
  <c r="Q168" i="2"/>
  <c r="Q167" i="2"/>
  <c r="Q166" i="2"/>
  <c r="Q165" i="2"/>
  <c r="Q158" i="2"/>
  <c r="Q157" i="2"/>
  <c r="Q156" i="2"/>
  <c r="Q155" i="2"/>
  <c r="Q154" i="2"/>
  <c r="Q153" i="2"/>
  <c r="Q152" i="2"/>
  <c r="Q151" i="2"/>
  <c r="Q150" i="2"/>
  <c r="Q149" i="2"/>
  <c r="Q148" i="2"/>
  <c r="Q139" i="2"/>
  <c r="Q138" i="2"/>
  <c r="Q137" i="2"/>
  <c r="Q136" i="2"/>
  <c r="Q135" i="2"/>
  <c r="Q134" i="2"/>
  <c r="Q133" i="2"/>
  <c r="Q132" i="2"/>
  <c r="Q131" i="2"/>
  <c r="Q130" i="2"/>
  <c r="Q129" i="2"/>
  <c r="Q128" i="2"/>
  <c r="Q121" i="2"/>
  <c r="P121" i="2"/>
  <c r="Q120" i="2"/>
  <c r="P120" i="2"/>
  <c r="Q119" i="2"/>
  <c r="P119" i="2"/>
  <c r="Q118" i="2"/>
  <c r="P118" i="2"/>
  <c r="Q117" i="2"/>
  <c r="P117" i="2"/>
  <c r="Q116" i="2"/>
  <c r="P116" i="2"/>
  <c r="Q115" i="2"/>
  <c r="P115" i="2"/>
  <c r="Q114" i="2"/>
  <c r="P114" i="2"/>
  <c r="Q113" i="2"/>
  <c r="P113" i="2"/>
  <c r="Q112" i="2"/>
  <c r="P112" i="2"/>
  <c r="Q111" i="2"/>
  <c r="P111" i="2"/>
  <c r="Q110" i="2"/>
  <c r="P110" i="2"/>
  <c r="Q102" i="2"/>
  <c r="P102" i="2"/>
  <c r="Q101" i="2"/>
  <c r="P101" i="2"/>
  <c r="Q100" i="2"/>
  <c r="P100" i="2"/>
  <c r="Q99" i="2"/>
  <c r="P99" i="2"/>
  <c r="Q98" i="2"/>
  <c r="P98" i="2"/>
  <c r="Q97" i="2"/>
  <c r="P97" i="2"/>
  <c r="Q96" i="2"/>
  <c r="P96" i="2"/>
  <c r="Q95" i="2"/>
  <c r="P95" i="2"/>
  <c r="Q94" i="2"/>
  <c r="P94" i="2"/>
  <c r="Q93" i="2"/>
  <c r="P93" i="2"/>
  <c r="Q92" i="2"/>
  <c r="P92" i="2"/>
  <c r="Q91" i="2"/>
  <c r="P91" i="2"/>
  <c r="Q83" i="2"/>
  <c r="Q82" i="2"/>
  <c r="Q81" i="2"/>
  <c r="Q80" i="2"/>
  <c r="Q79" i="2"/>
  <c r="Q78" i="2"/>
  <c r="Q77" i="2"/>
  <c r="Q76" i="2"/>
  <c r="Q75" i="2"/>
  <c r="Q74" i="2"/>
  <c r="Q73" i="2"/>
  <c r="Q72" i="2"/>
  <c r="Q65" i="2"/>
  <c r="Q64" i="2"/>
  <c r="Q63" i="2"/>
  <c r="Q62" i="2"/>
  <c r="Q61" i="2"/>
  <c r="Q60" i="2"/>
  <c r="Q59" i="2"/>
  <c r="Q58" i="2"/>
  <c r="Q57" i="2"/>
  <c r="Q56" i="2"/>
  <c r="Q55" i="2"/>
  <c r="Q54" i="2"/>
  <c r="Q47" i="2"/>
  <c r="P47" i="2"/>
  <c r="Q46" i="2"/>
  <c r="P46" i="2"/>
  <c r="Q45" i="2"/>
  <c r="P45" i="2"/>
  <c r="Q44" i="2"/>
  <c r="P44" i="2"/>
  <c r="Q43" i="2"/>
  <c r="P43" i="2"/>
  <c r="Q42" i="2"/>
  <c r="P42" i="2"/>
  <c r="Q41" i="2"/>
  <c r="P41" i="2"/>
  <c r="Q40" i="2"/>
  <c r="P40" i="2"/>
  <c r="Q39" i="2"/>
  <c r="P39" i="2"/>
  <c r="Q38" i="2"/>
  <c r="P38" i="2"/>
  <c r="Q37" i="2"/>
  <c r="P37" i="2"/>
  <c r="Q36" i="2"/>
  <c r="P36" i="2"/>
  <c r="M27" i="2"/>
  <c r="M26" i="2"/>
  <c r="M25" i="2"/>
  <c r="M24" i="2"/>
  <c r="M22" i="2"/>
  <c r="M21" i="2"/>
  <c r="M20" i="2"/>
  <c r="M19" i="2"/>
  <c r="M18" i="2"/>
  <c r="M17" i="2"/>
  <c r="M16" i="2"/>
  <c r="M15" i="2"/>
  <c r="M14" i="2"/>
  <c r="M13" i="2"/>
  <c r="O8" i="2"/>
  <c r="O6" i="2"/>
  <c r="O5" i="2"/>
  <c r="AC204" i="2"/>
  <c r="AC203" i="2"/>
  <c r="AC202" i="2"/>
  <c r="AC201" i="2"/>
  <c r="AC200" i="2"/>
  <c r="AC199" i="2"/>
  <c r="AC198" i="2"/>
  <c r="AC197" i="2"/>
  <c r="AC196" i="2"/>
  <c r="AC195" i="2"/>
  <c r="AC194" i="2"/>
  <c r="AC193" i="2"/>
  <c r="AC184" i="2"/>
  <c r="AC183" i="2"/>
  <c r="AC182" i="2"/>
  <c r="AC181" i="2"/>
  <c r="AC180" i="2"/>
  <c r="AC179" i="2"/>
  <c r="AC178" i="2"/>
  <c r="AC177" i="2"/>
  <c r="AC176" i="2"/>
  <c r="AC175" i="2"/>
  <c r="AC167" i="2"/>
  <c r="AC166" i="2"/>
  <c r="AC165" i="2"/>
  <c r="AC164" i="2"/>
  <c r="AC163" i="2"/>
  <c r="AC162" i="2"/>
  <c r="AC161" i="2"/>
  <c r="AC160" i="2"/>
  <c r="AC159" i="2"/>
  <c r="AC158" i="2"/>
  <c r="AC157" i="2"/>
  <c r="AC150" i="2"/>
  <c r="AC149" i="2"/>
  <c r="AC148" i="2"/>
  <c r="AC147" i="2"/>
  <c r="AC146" i="2"/>
  <c r="AC145" i="2"/>
  <c r="AC144" i="2"/>
  <c r="AC143" i="2"/>
  <c r="AC142" i="2"/>
  <c r="AC141" i="2"/>
  <c r="AC140" i="2"/>
  <c r="AC139" i="2"/>
  <c r="AC132" i="2"/>
  <c r="AC131" i="2"/>
  <c r="AC130" i="2"/>
  <c r="AC129" i="2"/>
  <c r="AC128" i="2"/>
  <c r="AC127" i="2"/>
  <c r="AC126" i="2"/>
  <c r="AC125" i="2"/>
  <c r="AC124" i="2"/>
  <c r="AC123" i="2"/>
  <c r="AC122" i="2"/>
  <c r="AC121" i="2"/>
  <c r="AC114" i="2"/>
  <c r="AC113" i="2"/>
  <c r="AC112" i="2"/>
  <c r="AC111" i="2"/>
  <c r="AC110" i="2"/>
  <c r="AC109" i="2"/>
  <c r="AC108" i="2"/>
  <c r="AC107" i="2"/>
  <c r="AC106" i="2"/>
  <c r="AC105" i="2"/>
  <c r="AC104" i="2"/>
  <c r="AC95" i="2"/>
  <c r="AC94" i="2"/>
  <c r="AC93" i="2"/>
  <c r="AC92" i="2"/>
  <c r="AC91" i="2"/>
  <c r="AC90" i="2"/>
  <c r="AC89" i="2"/>
  <c r="AC88" i="2"/>
  <c r="AC87" i="2"/>
  <c r="AC86" i="2"/>
  <c r="AC85" i="2"/>
  <c r="AC84" i="2"/>
  <c r="AC77" i="2"/>
  <c r="AB77" i="2"/>
  <c r="AC76" i="2"/>
  <c r="AB76" i="2"/>
  <c r="AC75" i="2"/>
  <c r="AB75" i="2"/>
  <c r="AC74" i="2"/>
  <c r="AB74" i="2"/>
  <c r="AC73" i="2"/>
  <c r="AB73" i="2"/>
  <c r="AC72" i="2"/>
  <c r="AB72" i="2"/>
  <c r="AC71" i="2"/>
  <c r="AB71" i="2"/>
  <c r="AC70" i="2"/>
  <c r="AB70" i="2"/>
  <c r="AC69" i="2"/>
  <c r="AB69" i="2"/>
  <c r="AC68" i="2"/>
  <c r="AB68" i="2"/>
  <c r="AC67" i="2"/>
  <c r="AB67" i="2"/>
  <c r="AC66" i="2"/>
  <c r="AB66" i="2"/>
  <c r="AC59" i="2"/>
  <c r="AB59" i="2"/>
  <c r="AC58" i="2"/>
  <c r="AB58" i="2"/>
  <c r="AC57" i="2"/>
  <c r="AB57" i="2"/>
  <c r="AC56" i="2"/>
  <c r="AB56" i="2"/>
  <c r="AC55" i="2"/>
  <c r="AB55" i="2"/>
  <c r="AC54" i="2"/>
  <c r="AB54" i="2"/>
  <c r="AC53" i="2"/>
  <c r="AB53" i="2"/>
  <c r="AC52" i="2"/>
  <c r="AB52" i="2"/>
  <c r="AC51" i="2"/>
  <c r="AB51" i="2"/>
  <c r="AC50" i="2"/>
  <c r="AB50" i="2"/>
  <c r="AC49" i="2"/>
  <c r="AB49" i="2"/>
  <c r="AC48" i="2"/>
  <c r="AB48" i="2"/>
  <c r="AC41" i="2"/>
  <c r="AB41" i="2"/>
  <c r="AC40" i="2"/>
  <c r="AB40" i="2"/>
  <c r="AC39" i="2"/>
  <c r="AB39" i="2"/>
  <c r="AC38" i="2"/>
  <c r="AB38" i="2"/>
  <c r="AC37" i="2"/>
  <c r="AB37" i="2"/>
  <c r="AC36" i="2"/>
  <c r="AB36" i="2"/>
  <c r="AC35" i="2"/>
  <c r="AB35" i="2"/>
  <c r="AC34" i="2"/>
  <c r="AB34" i="2"/>
  <c r="AC33" i="2"/>
  <c r="AB33" i="2"/>
  <c r="AC32" i="2"/>
  <c r="AB32" i="2"/>
  <c r="AC31" i="2"/>
  <c r="AB31" i="2"/>
  <c r="AB30" i="2"/>
  <c r="Y21" i="2"/>
  <c r="Y20" i="2"/>
  <c r="Y19" i="2"/>
  <c r="Y18" i="2"/>
  <c r="Y17" i="2"/>
  <c r="Y16" i="2"/>
  <c r="Y15" i="2"/>
  <c r="Y14" i="2"/>
  <c r="AA8" i="2"/>
  <c r="AA6" i="2"/>
  <c r="AA5" i="2"/>
  <c r="AX221" i="3"/>
  <c r="AY221" i="3"/>
  <c r="AZ221" i="3"/>
  <c r="BA221" i="3"/>
  <c r="BB221" i="3"/>
  <c r="BC221" i="3"/>
  <c r="BD221" i="3"/>
  <c r="BE221" i="3"/>
  <c r="BF221" i="3"/>
  <c r="BG221" i="3"/>
  <c r="BH221" i="3"/>
  <c r="BI221" i="3"/>
  <c r="AX222" i="3"/>
  <c r="AY222" i="3"/>
  <c r="AZ222" i="3"/>
  <c r="BA222" i="3"/>
  <c r="BB222" i="3"/>
  <c r="BC222" i="3"/>
  <c r="BD222" i="3"/>
  <c r="BE222" i="3"/>
  <c r="BF222" i="3"/>
  <c r="BG222" i="3"/>
  <c r="BH222" i="3"/>
  <c r="BI222" i="3"/>
  <c r="AX223" i="3"/>
  <c r="AY223" i="3"/>
  <c r="AZ223" i="3"/>
  <c r="BA223" i="3"/>
  <c r="BB223" i="3"/>
  <c r="BC223" i="3"/>
  <c r="BD223" i="3"/>
  <c r="BE223" i="3"/>
  <c r="BF223" i="3"/>
  <c r="BG223" i="3"/>
  <c r="BH223" i="3"/>
  <c r="BI223" i="3"/>
  <c r="AX224" i="3"/>
  <c r="AY224" i="3"/>
  <c r="AZ224" i="3"/>
  <c r="BA224" i="3"/>
  <c r="BB224" i="3"/>
  <c r="BC224" i="3"/>
  <c r="BD224" i="3"/>
  <c r="BE224" i="3"/>
  <c r="BF224" i="3"/>
  <c r="BG224" i="3"/>
  <c r="BH224" i="3"/>
  <c r="BI224" i="3"/>
  <c r="AX225" i="3"/>
  <c r="AY225" i="3"/>
  <c r="AZ225" i="3"/>
  <c r="BA225" i="3"/>
  <c r="BB225" i="3"/>
  <c r="BC225" i="3"/>
  <c r="BD225" i="3"/>
  <c r="BE225" i="3"/>
  <c r="BF225" i="3"/>
  <c r="BG225" i="3"/>
  <c r="BH225" i="3"/>
  <c r="BI225" i="3"/>
  <c r="AX226" i="3"/>
  <c r="AY226" i="3"/>
  <c r="AZ226" i="3"/>
  <c r="BA226" i="3"/>
  <c r="BB226" i="3"/>
  <c r="BC226" i="3"/>
  <c r="BD226" i="3"/>
  <c r="BE226" i="3"/>
  <c r="BF226" i="3"/>
  <c r="BG226" i="3"/>
  <c r="BH226" i="3"/>
  <c r="BI226" i="3"/>
  <c r="AX227" i="3"/>
  <c r="AY227" i="3"/>
  <c r="AZ227" i="3"/>
  <c r="BA227" i="3"/>
  <c r="BB227" i="3"/>
  <c r="BC227" i="3"/>
  <c r="BD227" i="3"/>
  <c r="BE227" i="3"/>
  <c r="BF227" i="3"/>
  <c r="BG227" i="3"/>
  <c r="BH227" i="3"/>
  <c r="BI227" i="3"/>
  <c r="AX228" i="3"/>
  <c r="AY228" i="3"/>
  <c r="AZ228" i="3"/>
  <c r="BA228" i="3"/>
  <c r="BB228" i="3"/>
  <c r="BC228" i="3"/>
  <c r="BD228" i="3"/>
  <c r="BE228" i="3"/>
  <c r="BF228" i="3"/>
  <c r="BG228" i="3"/>
  <c r="BH228" i="3"/>
  <c r="BI228" i="3"/>
  <c r="AX229" i="3"/>
  <c r="AY229" i="3"/>
  <c r="AZ229" i="3"/>
  <c r="BA229" i="3"/>
  <c r="BB229" i="3"/>
  <c r="BC229" i="3"/>
  <c r="BC234" i="3" s="1"/>
  <c r="BD229" i="3"/>
  <c r="BD234" i="3" s="1"/>
  <c r="BE229" i="3"/>
  <c r="BE234" i="3" s="1"/>
  <c r="BF229" i="3"/>
  <c r="BG229" i="3"/>
  <c r="BH229" i="3"/>
  <c r="BI229" i="3"/>
  <c r="AX230" i="3"/>
  <c r="AY230" i="3"/>
  <c r="AZ230" i="3"/>
  <c r="BA230" i="3"/>
  <c r="BB230" i="3"/>
  <c r="BC230" i="3"/>
  <c r="BD230" i="3"/>
  <c r="BE230" i="3"/>
  <c r="BF230" i="3"/>
  <c r="BG230" i="3"/>
  <c r="BH230" i="3"/>
  <c r="BI230" i="3"/>
  <c r="AX231" i="3"/>
  <c r="AY231" i="3"/>
  <c r="AZ231" i="3"/>
  <c r="BA231" i="3"/>
  <c r="BB231" i="3"/>
  <c r="BC231" i="3"/>
  <c r="BD231" i="3"/>
  <c r="BE231" i="3"/>
  <c r="BF231" i="3"/>
  <c r="BG231" i="3"/>
  <c r="BH231" i="3"/>
  <c r="BI231" i="3"/>
  <c r="AX232" i="3"/>
  <c r="AY232" i="3"/>
  <c r="AZ232" i="3"/>
  <c r="BA232" i="3"/>
  <c r="BB232" i="3"/>
  <c r="BC232" i="3"/>
  <c r="BD232" i="3"/>
  <c r="BE232" i="3"/>
  <c r="BF232" i="3"/>
  <c r="BG232" i="3"/>
  <c r="BH232" i="3"/>
  <c r="BI232" i="3"/>
  <c r="AY220" i="3"/>
  <c r="AZ220" i="3"/>
  <c r="BA220" i="3"/>
  <c r="BB220" i="3"/>
  <c r="BC220" i="3"/>
  <c r="BD220" i="3"/>
  <c r="BE220" i="3"/>
  <c r="BF220" i="3"/>
  <c r="BG220" i="3"/>
  <c r="BH220" i="3"/>
  <c r="BI220" i="3"/>
  <c r="AX220" i="3"/>
  <c r="AJ222" i="3"/>
  <c r="AK222" i="3"/>
  <c r="AL222" i="3"/>
  <c r="AM222" i="3"/>
  <c r="AN222" i="3"/>
  <c r="AO222" i="3"/>
  <c r="AP222" i="3"/>
  <c r="AQ222" i="3"/>
  <c r="AR222" i="3"/>
  <c r="AS222" i="3"/>
  <c r="AT222" i="3"/>
  <c r="AU222" i="3"/>
  <c r="AJ223" i="3"/>
  <c r="AK223" i="3"/>
  <c r="AL223" i="3"/>
  <c r="AM223" i="3"/>
  <c r="AN223" i="3"/>
  <c r="AO223" i="3"/>
  <c r="AP223" i="3"/>
  <c r="AQ223" i="3"/>
  <c r="AR223" i="3"/>
  <c r="AS223" i="3"/>
  <c r="AT223" i="3"/>
  <c r="AU223" i="3"/>
  <c r="AJ224" i="3"/>
  <c r="AK224" i="3"/>
  <c r="AL224" i="3"/>
  <c r="AM224" i="3"/>
  <c r="AN224" i="3"/>
  <c r="AO224" i="3"/>
  <c r="AP224" i="3"/>
  <c r="AQ224" i="3"/>
  <c r="AR224" i="3"/>
  <c r="AS224" i="3"/>
  <c r="AT224" i="3"/>
  <c r="AU224" i="3"/>
  <c r="AJ225" i="3"/>
  <c r="AK225" i="3"/>
  <c r="AL225" i="3"/>
  <c r="AM225" i="3"/>
  <c r="AN225" i="3"/>
  <c r="AO225" i="3"/>
  <c r="AP225" i="3"/>
  <c r="AQ225" i="3"/>
  <c r="AR225" i="3"/>
  <c r="AS225" i="3"/>
  <c r="AT225" i="3"/>
  <c r="AU225" i="3"/>
  <c r="AJ226" i="3"/>
  <c r="AK226" i="3"/>
  <c r="AL226" i="3"/>
  <c r="AM226" i="3"/>
  <c r="AN226" i="3"/>
  <c r="AO226" i="3"/>
  <c r="AP226" i="3"/>
  <c r="AQ226" i="3"/>
  <c r="AR226" i="3"/>
  <c r="AS226" i="3"/>
  <c r="AT226" i="3"/>
  <c r="AU226" i="3"/>
  <c r="AJ227" i="3"/>
  <c r="AK227" i="3"/>
  <c r="AL227" i="3"/>
  <c r="AM227" i="3"/>
  <c r="AN227" i="3"/>
  <c r="AO227" i="3"/>
  <c r="AP227" i="3"/>
  <c r="AQ227" i="3"/>
  <c r="AR227" i="3"/>
  <c r="AS227" i="3"/>
  <c r="AT227" i="3"/>
  <c r="AU227" i="3"/>
  <c r="AJ228" i="3"/>
  <c r="AK228" i="3"/>
  <c r="AL228" i="3"/>
  <c r="AM228" i="3"/>
  <c r="AN228" i="3"/>
  <c r="AO228" i="3"/>
  <c r="AP228" i="3"/>
  <c r="AQ228" i="3"/>
  <c r="AR228" i="3"/>
  <c r="AS228" i="3"/>
  <c r="AT228" i="3"/>
  <c r="AU228" i="3"/>
  <c r="AJ229" i="3"/>
  <c r="AK229" i="3"/>
  <c r="AL229" i="3"/>
  <c r="AM229" i="3"/>
  <c r="AN229" i="3"/>
  <c r="AO229" i="3"/>
  <c r="AP229" i="3"/>
  <c r="AQ229" i="3"/>
  <c r="AR229" i="3"/>
  <c r="AR235" i="3" s="1"/>
  <c r="AS229" i="3"/>
  <c r="AT229" i="3"/>
  <c r="AU229" i="3"/>
  <c r="AJ230" i="3"/>
  <c r="AK230" i="3"/>
  <c r="AL230" i="3"/>
  <c r="AM230" i="3"/>
  <c r="AN230" i="3"/>
  <c r="AN235" i="3" s="1"/>
  <c r="AO230" i="3"/>
  <c r="AP230" i="3"/>
  <c r="AP235" i="3" s="1"/>
  <c r="AQ230" i="3"/>
  <c r="AQ234" i="3" s="1"/>
  <c r="AR230" i="3"/>
  <c r="AS230" i="3"/>
  <c r="AT230" i="3"/>
  <c r="AU230" i="3"/>
  <c r="AJ231" i="3"/>
  <c r="AK231" i="3"/>
  <c r="AL231" i="3"/>
  <c r="AM231" i="3"/>
  <c r="AN231" i="3"/>
  <c r="AO231" i="3"/>
  <c r="AP231" i="3"/>
  <c r="AQ231" i="3"/>
  <c r="AR231" i="3"/>
  <c r="AS231" i="3"/>
  <c r="AT231" i="3"/>
  <c r="AU231" i="3"/>
  <c r="AJ232" i="3"/>
  <c r="AK232" i="3"/>
  <c r="AL232" i="3"/>
  <c r="AM232" i="3"/>
  <c r="AN232" i="3"/>
  <c r="AO232" i="3"/>
  <c r="AP232" i="3"/>
  <c r="AQ232" i="3"/>
  <c r="AR232" i="3"/>
  <c r="AS232" i="3"/>
  <c r="AT232" i="3"/>
  <c r="AU232" i="3"/>
  <c r="AK221" i="3"/>
  <c r="AL221" i="3"/>
  <c r="AM221" i="3"/>
  <c r="AN221" i="3"/>
  <c r="AO221" i="3"/>
  <c r="AP221" i="3"/>
  <c r="AQ221" i="3"/>
  <c r="AR221" i="3"/>
  <c r="AS221" i="3"/>
  <c r="AT221" i="3"/>
  <c r="AU221" i="3"/>
  <c r="AJ221" i="3"/>
  <c r="AK220" i="3"/>
  <c r="AJ220" i="3"/>
  <c r="AJ234" i="3"/>
  <c r="AU220" i="3"/>
  <c r="AT220" i="3"/>
  <c r="AS220" i="3"/>
  <c r="AR220" i="3"/>
  <c r="AQ220" i="3"/>
  <c r="AP220" i="3"/>
  <c r="AO220" i="3"/>
  <c r="AN220" i="3"/>
  <c r="AM220" i="3"/>
  <c r="AL220" i="3"/>
  <c r="AD235" i="3"/>
  <c r="AC235" i="3"/>
  <c r="AB235" i="3"/>
  <c r="AA235" i="3"/>
  <c r="Z235" i="3"/>
  <c r="Y235" i="3"/>
  <c r="X235" i="3"/>
  <c r="W235" i="3"/>
  <c r="V235" i="3"/>
  <c r="U235" i="3"/>
  <c r="T235" i="3"/>
  <c r="S235" i="3"/>
  <c r="AD234" i="3"/>
  <c r="AC234" i="3"/>
  <c r="AB234" i="3"/>
  <c r="AA234" i="3"/>
  <c r="Z234" i="3"/>
  <c r="Y234" i="3"/>
  <c r="X234" i="3"/>
  <c r="W234" i="3"/>
  <c r="V234" i="3"/>
  <c r="U234" i="3"/>
  <c r="T234" i="3"/>
  <c r="S234" i="3"/>
  <c r="BE181" i="3"/>
  <c r="BF181" i="3"/>
  <c r="BG181" i="3"/>
  <c r="BH181" i="3"/>
  <c r="BI181" i="3"/>
  <c r="BE182" i="3"/>
  <c r="BF182" i="3"/>
  <c r="BG182" i="3"/>
  <c r="BH182" i="3"/>
  <c r="BI182" i="3"/>
  <c r="BE183" i="3"/>
  <c r="BF183" i="3"/>
  <c r="BG183" i="3"/>
  <c r="BH183" i="3"/>
  <c r="BI183" i="3"/>
  <c r="BE184" i="3"/>
  <c r="BF184" i="3"/>
  <c r="BG184" i="3"/>
  <c r="BH184" i="3"/>
  <c r="BI184" i="3"/>
  <c r="BE185" i="3"/>
  <c r="BF185" i="3"/>
  <c r="BG185" i="3"/>
  <c r="BH185" i="3"/>
  <c r="BI185" i="3"/>
  <c r="BE186" i="3"/>
  <c r="BF186" i="3"/>
  <c r="BG186" i="3"/>
  <c r="BH186" i="3"/>
  <c r="BI186" i="3"/>
  <c r="BE187" i="3"/>
  <c r="BF187" i="3"/>
  <c r="BG187" i="3"/>
  <c r="BH187" i="3"/>
  <c r="BI187" i="3"/>
  <c r="BE188" i="3"/>
  <c r="BF188" i="3"/>
  <c r="BG188" i="3"/>
  <c r="BH188" i="3"/>
  <c r="BI188" i="3"/>
  <c r="BE189" i="3"/>
  <c r="BF189" i="3"/>
  <c r="BG189" i="3"/>
  <c r="BH189" i="3"/>
  <c r="BI189" i="3"/>
  <c r="BE190" i="3"/>
  <c r="BF190" i="3"/>
  <c r="BG190" i="3"/>
  <c r="BH190" i="3"/>
  <c r="BI190" i="3"/>
  <c r="BE191" i="3"/>
  <c r="BF191" i="3"/>
  <c r="BG191" i="3"/>
  <c r="BH191" i="3"/>
  <c r="BI191" i="3"/>
  <c r="BE192" i="3"/>
  <c r="BF192" i="3"/>
  <c r="BG192" i="3"/>
  <c r="BH192" i="3"/>
  <c r="BI192" i="3"/>
  <c r="BI180" i="3"/>
  <c r="BH180" i="3"/>
  <c r="BG180" i="3"/>
  <c r="BF180" i="3"/>
  <c r="BE180" i="3"/>
  <c r="BA180" i="3"/>
  <c r="AZ180" i="3"/>
  <c r="AZ181" i="3"/>
  <c r="BA181" i="3"/>
  <c r="AZ182" i="3"/>
  <c r="BA182" i="3"/>
  <c r="AZ183" i="3"/>
  <c r="BA183" i="3"/>
  <c r="AZ184" i="3"/>
  <c r="BA184" i="3"/>
  <c r="AZ185" i="3"/>
  <c r="BA185" i="3"/>
  <c r="AZ186" i="3"/>
  <c r="BA186" i="3"/>
  <c r="AZ187" i="3"/>
  <c r="BA187" i="3"/>
  <c r="AZ188" i="3"/>
  <c r="BA188" i="3"/>
  <c r="AZ189" i="3"/>
  <c r="BA189" i="3"/>
  <c r="AZ190" i="3"/>
  <c r="BA190" i="3"/>
  <c r="AZ191" i="3"/>
  <c r="BA191" i="3"/>
  <c r="AZ192" i="3"/>
  <c r="BA192" i="3"/>
  <c r="AY182" i="3"/>
  <c r="AY183" i="3"/>
  <c r="AY184" i="3"/>
  <c r="AY185" i="3"/>
  <c r="AY186" i="3"/>
  <c r="AY187" i="3"/>
  <c r="AY188" i="3"/>
  <c r="AY189" i="3"/>
  <c r="AY190" i="3"/>
  <c r="AY191" i="3"/>
  <c r="AY192" i="3"/>
  <c r="AY181" i="3"/>
  <c r="AN14" i="2" l="1"/>
  <c r="AM16" i="2"/>
  <c r="AN16" i="2" s="1"/>
  <c r="R25" i="2"/>
  <c r="S25" i="2" s="1"/>
  <c r="AM15" i="2"/>
  <c r="AN15" i="2" s="1"/>
  <c r="N14" i="2"/>
  <c r="O14" i="2" s="1"/>
  <c r="N15" i="2"/>
  <c r="O15" i="2" s="1"/>
  <c r="P19" i="2"/>
  <c r="Q19" i="2" s="1"/>
  <c r="P17" i="2"/>
  <c r="Q17" i="2" s="1"/>
  <c r="P20" i="2"/>
  <c r="Q20" i="2" s="1"/>
  <c r="P21" i="2"/>
  <c r="Q21" i="2" s="1"/>
  <c r="P22" i="2"/>
  <c r="Q22" i="2" s="1"/>
  <c r="P23" i="2"/>
  <c r="Q23" i="2" s="1"/>
  <c r="R24" i="2"/>
  <c r="S24" i="2" s="1"/>
  <c r="Q361" i="2"/>
  <c r="N13" i="2"/>
  <c r="O13" i="2" s="1"/>
  <c r="P9" i="2" s="1"/>
  <c r="N16" i="2"/>
  <c r="O16" i="2" s="1"/>
  <c r="N17" i="2"/>
  <c r="O17" i="2" s="1"/>
  <c r="N18" i="2"/>
  <c r="O18" i="2" s="1"/>
  <c r="AB20" i="2"/>
  <c r="AC20" i="2" s="1"/>
  <c r="P16" i="2"/>
  <c r="Q16" i="2" s="1"/>
  <c r="P13" i="2"/>
  <c r="Q13" i="2" s="1"/>
  <c r="Z14" i="2"/>
  <c r="AA14" i="2" s="1"/>
  <c r="Z15" i="2"/>
  <c r="AA15" i="2" s="1"/>
  <c r="Z16" i="2"/>
  <c r="AA16" i="2" s="1"/>
  <c r="AB15" i="2"/>
  <c r="AC15" i="2" s="1"/>
  <c r="AB18" i="2"/>
  <c r="AC18" i="2" s="1"/>
  <c r="AD22" i="2"/>
  <c r="AE22" i="2" s="1"/>
  <c r="AD9" i="2" s="1"/>
  <c r="AP19" i="2"/>
  <c r="AO20" i="2"/>
  <c r="AP20" i="2" s="1"/>
  <c r="AQ21" i="2"/>
  <c r="AR21" i="2" s="1"/>
  <c r="AQ9" i="2" s="1"/>
  <c r="Q380" i="2"/>
  <c r="P14" i="2"/>
  <c r="Q14" i="2" s="1"/>
  <c r="R26" i="2"/>
  <c r="S26" i="2" s="1"/>
  <c r="R27" i="2"/>
  <c r="S27" i="2" s="1"/>
  <c r="AB21" i="2"/>
  <c r="AC21" i="2" s="1"/>
  <c r="AB19" i="2"/>
  <c r="AC19" i="2" s="1"/>
  <c r="Z17" i="2"/>
  <c r="AA17" i="2" s="1"/>
  <c r="AN234" i="3"/>
  <c r="AP234" i="3"/>
  <c r="AQ235" i="3"/>
  <c r="AO234" i="3"/>
  <c r="AT235" i="3"/>
  <c r="AJ235" i="3"/>
  <c r="AU235" i="3"/>
  <c r="AK235" i="3"/>
  <c r="AK234" i="3"/>
  <c r="AS234" i="3"/>
  <c r="AR234" i="3"/>
  <c r="AL235" i="3"/>
  <c r="AL234" i="3"/>
  <c r="AT234" i="3"/>
  <c r="AM235" i="3"/>
  <c r="BC235" i="3"/>
  <c r="AM234" i="3"/>
  <c r="AU234" i="3"/>
  <c r="BD235" i="3"/>
  <c r="BE235" i="3"/>
  <c r="AO235" i="3"/>
  <c r="AS235" i="3"/>
  <c r="AD195" i="3"/>
  <c r="AC195" i="3"/>
  <c r="AB195" i="3"/>
  <c r="AA195" i="3"/>
  <c r="Z195" i="3"/>
  <c r="V195" i="3"/>
  <c r="U195" i="3"/>
  <c r="T195" i="3"/>
  <c r="AD194" i="3"/>
  <c r="AC194" i="3"/>
  <c r="AB194" i="3"/>
  <c r="AA194" i="3"/>
  <c r="Z194" i="3"/>
  <c r="V194" i="3"/>
  <c r="U194" i="3"/>
  <c r="T194" i="3"/>
  <c r="AU156" i="3"/>
  <c r="AV156" i="3"/>
  <c r="AW156" i="3"/>
  <c r="AX156" i="3"/>
  <c r="AS153" i="3"/>
  <c r="AT153" i="3"/>
  <c r="AU153" i="3"/>
  <c r="AV153" i="3"/>
  <c r="AR146" i="3"/>
  <c r="AS146" i="3"/>
  <c r="AT146" i="3"/>
  <c r="AY146" i="3"/>
  <c r="AZ146" i="3"/>
  <c r="AQ156" i="3"/>
  <c r="AQ153" i="3"/>
  <c r="AQ146" i="3"/>
  <c r="AZ143" i="3"/>
  <c r="AU143" i="3"/>
  <c r="AT143" i="3"/>
  <c r="AS143" i="3"/>
  <c r="AR143" i="3"/>
  <c r="AH143" i="3"/>
  <c r="AI143" i="3"/>
  <c r="AJ143" i="3"/>
  <c r="AK143" i="3"/>
  <c r="AL143" i="3"/>
  <c r="AV143" i="3" s="1"/>
  <c r="AM143" i="3"/>
  <c r="AW143" i="3" s="1"/>
  <c r="AN143" i="3"/>
  <c r="AX143" i="3" s="1"/>
  <c r="AO143" i="3"/>
  <c r="AY143" i="3" s="1"/>
  <c r="AP143" i="3"/>
  <c r="AG143" i="3"/>
  <c r="AQ143" i="3" s="1"/>
  <c r="BS156" i="3"/>
  <c r="BR156" i="3"/>
  <c r="BQ156" i="3"/>
  <c r="AP156" i="3"/>
  <c r="AZ156" i="3" s="1"/>
  <c r="AO156" i="3"/>
  <c r="AY156" i="3" s="1"/>
  <c r="AN156" i="3"/>
  <c r="AM156" i="3"/>
  <c r="AL156" i="3"/>
  <c r="AK156" i="3"/>
  <c r="AJ156" i="3"/>
  <c r="AT156" i="3" s="1"/>
  <c r="AI156" i="3"/>
  <c r="AS156" i="3" s="1"/>
  <c r="AH156" i="3"/>
  <c r="AR156" i="3" s="1"/>
  <c r="AG156" i="3"/>
  <c r="BS153" i="3"/>
  <c r="BR153" i="3"/>
  <c r="BQ153" i="3"/>
  <c r="AP153" i="3"/>
  <c r="AZ153" i="3" s="1"/>
  <c r="AO153" i="3"/>
  <c r="AY153" i="3" s="1"/>
  <c r="AN153" i="3"/>
  <c r="AX153" i="3" s="1"/>
  <c r="AM153" i="3"/>
  <c r="AW153" i="3" s="1"/>
  <c r="AL153" i="3"/>
  <c r="AK153" i="3"/>
  <c r="AJ153" i="3"/>
  <c r="AI153" i="3"/>
  <c r="AH153" i="3"/>
  <c r="AR153" i="3" s="1"/>
  <c r="AG153" i="3"/>
  <c r="BS146" i="3"/>
  <c r="BR146" i="3"/>
  <c r="BQ146" i="3"/>
  <c r="AP146" i="3"/>
  <c r="AO146" i="3"/>
  <c r="AN146" i="3"/>
  <c r="AX146" i="3" s="1"/>
  <c r="AM146" i="3"/>
  <c r="AW146" i="3" s="1"/>
  <c r="AL146" i="3"/>
  <c r="AV146" i="3" s="1"/>
  <c r="AK146" i="3"/>
  <c r="AU146" i="3" s="1"/>
  <c r="AJ146" i="3"/>
  <c r="AI146" i="3"/>
  <c r="AH146" i="3"/>
  <c r="AG146" i="3"/>
  <c r="BS143" i="3"/>
  <c r="BR143" i="3"/>
  <c r="BQ143" i="3"/>
  <c r="AK130" i="3"/>
  <c r="AL130" i="3"/>
  <c r="AM130" i="3"/>
  <c r="AN130" i="3"/>
  <c r="AO130" i="3"/>
  <c r="AP130" i="3"/>
  <c r="AQ130" i="3"/>
  <c r="AR130" i="3"/>
  <c r="AS130" i="3"/>
  <c r="AT130" i="3"/>
  <c r="AK131" i="3"/>
  <c r="AL131" i="3"/>
  <c r="AM131" i="3"/>
  <c r="AN131" i="3"/>
  <c r="AO131" i="3"/>
  <c r="AP131" i="3"/>
  <c r="AQ131" i="3"/>
  <c r="AR131" i="3"/>
  <c r="AS131" i="3"/>
  <c r="AT131" i="3"/>
  <c r="AK132" i="3"/>
  <c r="AL132" i="3"/>
  <c r="AM132" i="3"/>
  <c r="AN132" i="3"/>
  <c r="AO132" i="3"/>
  <c r="AP132" i="3"/>
  <c r="AQ132" i="3"/>
  <c r="AR132" i="3"/>
  <c r="AS132" i="3"/>
  <c r="AT132" i="3"/>
  <c r="AK133" i="3"/>
  <c r="AL133" i="3"/>
  <c r="AM133" i="3"/>
  <c r="AN133" i="3"/>
  <c r="AO133" i="3"/>
  <c r="AP133" i="3"/>
  <c r="AQ133" i="3"/>
  <c r="AR133" i="3"/>
  <c r="AS133" i="3"/>
  <c r="AT133" i="3"/>
  <c r="AK134" i="3"/>
  <c r="AL134" i="3"/>
  <c r="AM134" i="3"/>
  <c r="AN134" i="3"/>
  <c r="AO134" i="3"/>
  <c r="AP134" i="3"/>
  <c r="AQ134" i="3"/>
  <c r="AR134" i="3"/>
  <c r="AS134" i="3"/>
  <c r="AT134" i="3"/>
  <c r="AK135" i="3"/>
  <c r="AL135" i="3"/>
  <c r="AM135" i="3"/>
  <c r="AN135" i="3"/>
  <c r="AO135" i="3"/>
  <c r="AP135" i="3"/>
  <c r="AQ135" i="3"/>
  <c r="AR135" i="3"/>
  <c r="AS135" i="3"/>
  <c r="AT135" i="3"/>
  <c r="AK136" i="3"/>
  <c r="AL136" i="3"/>
  <c r="AM136" i="3"/>
  <c r="AN136" i="3"/>
  <c r="AO136" i="3"/>
  <c r="AP136" i="3"/>
  <c r="AQ136" i="3"/>
  <c r="AR136" i="3"/>
  <c r="AS136" i="3"/>
  <c r="AT136" i="3"/>
  <c r="AL129" i="3"/>
  <c r="AM129" i="3"/>
  <c r="AN129" i="3"/>
  <c r="AO129" i="3"/>
  <c r="AP129" i="3"/>
  <c r="AQ129" i="3"/>
  <c r="AR129" i="3"/>
  <c r="AS129" i="3"/>
  <c r="AT129" i="3"/>
  <c r="AK129" i="3"/>
  <c r="AL119" i="3"/>
  <c r="AM119" i="3"/>
  <c r="AN119" i="3"/>
  <c r="AO119" i="3"/>
  <c r="AP119" i="3"/>
  <c r="AQ119" i="3"/>
  <c r="AR119" i="3"/>
  <c r="AS119" i="3"/>
  <c r="AT119" i="3"/>
  <c r="AL120" i="3"/>
  <c r="AM120" i="3"/>
  <c r="AN120" i="3"/>
  <c r="AO120" i="3"/>
  <c r="AP120" i="3"/>
  <c r="AQ120" i="3"/>
  <c r="AR120" i="3"/>
  <c r="AS120" i="3"/>
  <c r="AT120" i="3"/>
  <c r="AL121" i="3"/>
  <c r="AM121" i="3"/>
  <c r="AN121" i="3"/>
  <c r="AO121" i="3"/>
  <c r="AP121" i="3"/>
  <c r="AQ121" i="3"/>
  <c r="AR121" i="3"/>
  <c r="AS121" i="3"/>
  <c r="AT121" i="3"/>
  <c r="AL122" i="3"/>
  <c r="AM122" i="3"/>
  <c r="AN122" i="3"/>
  <c r="AO122" i="3"/>
  <c r="AP122" i="3"/>
  <c r="AQ122" i="3"/>
  <c r="AR122" i="3"/>
  <c r="AS122" i="3"/>
  <c r="AT122" i="3"/>
  <c r="AL123" i="3"/>
  <c r="AM123" i="3"/>
  <c r="AN123" i="3"/>
  <c r="AO123" i="3"/>
  <c r="AP123" i="3"/>
  <c r="AQ123" i="3"/>
  <c r="AR123" i="3"/>
  <c r="AS123" i="3"/>
  <c r="AT123" i="3"/>
  <c r="AL124" i="3"/>
  <c r="AM124" i="3"/>
  <c r="AN124" i="3"/>
  <c r="AO124" i="3"/>
  <c r="AP124" i="3"/>
  <c r="AQ124" i="3"/>
  <c r="AR124" i="3"/>
  <c r="AS124" i="3"/>
  <c r="AT124" i="3"/>
  <c r="AL125" i="3"/>
  <c r="AM125" i="3"/>
  <c r="AN125" i="3"/>
  <c r="AO125" i="3"/>
  <c r="AP125" i="3"/>
  <c r="AQ125" i="3"/>
  <c r="AR125" i="3"/>
  <c r="AS125" i="3"/>
  <c r="AT125" i="3"/>
  <c r="AK120" i="3"/>
  <c r="AK121" i="3"/>
  <c r="AK122" i="3"/>
  <c r="AK123" i="3"/>
  <c r="AK124" i="3"/>
  <c r="AK125" i="3"/>
  <c r="AK119" i="3"/>
  <c r="AT128" i="3"/>
  <c r="AS128" i="3"/>
  <c r="AR128" i="3"/>
  <c r="AQ128" i="3"/>
  <c r="AP128" i="3"/>
  <c r="AO128" i="3"/>
  <c r="AN128" i="3"/>
  <c r="AM128" i="3"/>
  <c r="AL128" i="3"/>
  <c r="AK128" i="3"/>
  <c r="AT127" i="3"/>
  <c r="AS127" i="3"/>
  <c r="AR127" i="3"/>
  <c r="AQ127" i="3"/>
  <c r="AP127" i="3"/>
  <c r="AO127" i="3"/>
  <c r="AN127" i="3"/>
  <c r="AM127" i="3"/>
  <c r="AL127" i="3"/>
  <c r="AK127" i="3"/>
  <c r="AL126" i="3"/>
  <c r="AM126" i="3"/>
  <c r="AN126" i="3"/>
  <c r="AO126" i="3"/>
  <c r="AP126" i="3"/>
  <c r="AQ126" i="3"/>
  <c r="AR126" i="3"/>
  <c r="AS126" i="3"/>
  <c r="AT126" i="3"/>
  <c r="AK126" i="3"/>
  <c r="AT118" i="3"/>
  <c r="AS118" i="3"/>
  <c r="AR118" i="3"/>
  <c r="AQ118" i="3"/>
  <c r="AP118" i="3"/>
  <c r="AO118" i="3"/>
  <c r="AN118" i="3"/>
  <c r="AM118" i="3"/>
  <c r="AL118" i="3"/>
  <c r="AK118" i="3"/>
  <c r="AT117" i="3"/>
  <c r="AS117" i="3"/>
  <c r="AR117" i="3"/>
  <c r="AQ117" i="3"/>
  <c r="AP117" i="3"/>
  <c r="AO117" i="3"/>
  <c r="AN117" i="3"/>
  <c r="AM117" i="3"/>
  <c r="AL117" i="3"/>
  <c r="AK117" i="3"/>
  <c r="AL116" i="3"/>
  <c r="AM116" i="3"/>
  <c r="AN116" i="3"/>
  <c r="AO116" i="3"/>
  <c r="AP116" i="3"/>
  <c r="AQ116" i="3"/>
  <c r="AR116" i="3"/>
  <c r="AS116" i="3"/>
  <c r="AT116" i="3"/>
  <c r="AK116" i="3"/>
  <c r="W83" i="3"/>
  <c r="U83" i="3"/>
  <c r="T83" i="3"/>
  <c r="S83" i="3"/>
  <c r="R73" i="3"/>
  <c r="R74" i="3" s="1"/>
  <c r="R75" i="3" s="1"/>
  <c r="R76" i="3" s="1"/>
  <c r="R77" i="3" s="1"/>
  <c r="R78" i="3" s="1"/>
  <c r="R79" i="3" s="1"/>
  <c r="R80" i="3" s="1"/>
  <c r="R81" i="3" s="1"/>
  <c r="R82" i="3" s="1"/>
  <c r="S59" i="3" a="1"/>
  <c r="S59" i="3" s="1"/>
  <c r="S58" i="3" a="1"/>
  <c r="S58" i="3" s="1"/>
  <c r="U48" i="3"/>
  <c r="U47" i="3"/>
  <c r="U46" i="3"/>
  <c r="U45" i="3"/>
  <c r="U44" i="3"/>
  <c r="S27" i="3" a="1"/>
  <c r="S27" i="3" s="1"/>
  <c r="S26" i="3" a="1"/>
  <c r="S26" i="3" s="1"/>
  <c r="T17" i="3"/>
  <c r="T16" i="3"/>
  <c r="T15" i="3"/>
  <c r="T14" i="3"/>
  <c r="S14" i="3"/>
  <c r="T13" i="3"/>
  <c r="S13" i="3"/>
  <c r="AP9" i="2" l="1"/>
  <c r="AO9" i="2"/>
  <c r="AC9" i="2"/>
  <c r="AB9" i="2"/>
  <c r="Q9" i="2"/>
  <c r="R9" i="2"/>
  <c r="AX234" i="3"/>
  <c r="AX235" i="3"/>
  <c r="BH235" i="3"/>
  <c r="BH234" i="3"/>
  <c r="AY235" i="3"/>
  <c r="AY234" i="3"/>
  <c r="BI235" i="3"/>
  <c r="BI234" i="3"/>
  <c r="AZ235" i="3"/>
  <c r="AZ234" i="3"/>
  <c r="BA235" i="3"/>
  <c r="BA234" i="3"/>
  <c r="BB235" i="3"/>
  <c r="BB234" i="3"/>
  <c r="BF235" i="3"/>
  <c r="BF234" i="3"/>
  <c r="BG235" i="3"/>
  <c r="BG234" i="3"/>
  <c r="BI195" i="3"/>
  <c r="BI194" i="3"/>
  <c r="AU118" i="3"/>
  <c r="AU117" i="3"/>
  <c r="AU126" i="3"/>
  <c r="AU116" i="3"/>
  <c r="AU125" i="3"/>
  <c r="AU120" i="3"/>
  <c r="AU129" i="3"/>
  <c r="AU136" i="3"/>
  <c r="AU124" i="3"/>
  <c r="AU130" i="3"/>
  <c r="AU135" i="3"/>
  <c r="AU123" i="3"/>
  <c r="AU122" i="3"/>
  <c r="AU133" i="3"/>
  <c r="W44" i="3" a="1"/>
  <c r="W44" i="3" s="1"/>
  <c r="AU119" i="3"/>
  <c r="AU121" i="3"/>
  <c r="AU132" i="3"/>
  <c r="AU134" i="3"/>
  <c r="V13" i="3" a="1"/>
  <c r="V13" i="3" s="1"/>
  <c r="AU131" i="3"/>
  <c r="AU128" i="3"/>
  <c r="AU127" i="3"/>
  <c r="AV126" i="3" s="1"/>
  <c r="W46" i="3" a="1"/>
  <c r="W46" i="3" s="1"/>
  <c r="BH194" i="3" l="1"/>
  <c r="BH195" i="3"/>
  <c r="AZ195" i="3"/>
  <c r="AZ194" i="3"/>
  <c r="AY195" i="3"/>
  <c r="AY194" i="3"/>
  <c r="BF195" i="3"/>
  <c r="BF194" i="3"/>
  <c r="BE195" i="3"/>
  <c r="BE194" i="3"/>
  <c r="BA195" i="3"/>
  <c r="BA194" i="3"/>
  <c r="BG195" i="3"/>
  <c r="BG194" i="3"/>
  <c r="AV116" i="3"/>
  <c r="AV119" i="3"/>
  <c r="AV129" i="3"/>
  <c r="V15" i="3" l="1" a="1"/>
  <c r="V1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<sst xmlns="http://schemas.openxmlformats.org/spreadsheetml/2006/main" count="1128" uniqueCount="241">
  <si>
    <t>P9L2</t>
  </si>
  <si>
    <t>P9L3</t>
  </si>
  <si>
    <t>P9L4</t>
  </si>
  <si>
    <t>P9L5</t>
  </si>
  <si>
    <t>P9L6</t>
  </si>
  <si>
    <t>Response</t>
  </si>
  <si>
    <t>d32-Pentadecane</t>
  </si>
  <si>
    <t>Decane</t>
  </si>
  <si>
    <t>Amount Ratio</t>
  </si>
  <si>
    <t>Response Ratio</t>
  </si>
  <si>
    <t>Linear Estimate</t>
  </si>
  <si>
    <t>Quadratic Estimate</t>
  </si>
  <si>
    <t>Decane as mass:signal analog for all alkanes</t>
  </si>
  <si>
    <t xml:space="preserve"> </t>
  </si>
  <si>
    <t>Diethylene Glycol for all Glycols</t>
  </si>
  <si>
    <t>ng µL^-1</t>
  </si>
  <si>
    <t>Diethylene Glycol</t>
  </si>
  <si>
    <t>Linear Est</t>
  </si>
  <si>
    <t>Quadratic Fit</t>
  </si>
  <si>
    <t>Level 2</t>
  </si>
  <si>
    <t>Level 3</t>
  </si>
  <si>
    <t>Level 4</t>
  </si>
  <si>
    <t>Level 5</t>
  </si>
  <si>
    <t>Level 6</t>
  </si>
  <si>
    <t>Nominal Conc. (ng)</t>
  </si>
  <si>
    <t>Napthalene for all PAHs</t>
  </si>
  <si>
    <t>d8-Naphthalene</t>
  </si>
  <si>
    <t>Naphthalene</t>
  </si>
  <si>
    <t>Trimethylbenzene as analogue for substituted benzenes</t>
  </si>
  <si>
    <t>Integrated Area (GC/MS)</t>
  </si>
  <si>
    <t>1,3,5-Trimethylbenzene</t>
  </si>
  <si>
    <t>1,2,4-Trimethylbenzene</t>
  </si>
  <si>
    <t>Average</t>
  </si>
  <si>
    <t>Mass Approximation Curves</t>
  </si>
  <si>
    <t>D8-napthalene</t>
  </si>
  <si>
    <t>d32-decane</t>
  </si>
  <si>
    <t>-</t>
  </si>
  <si>
    <t>Ink A</t>
  </si>
  <si>
    <t>Internal Standards for PAH and Alkane Mass Approximation</t>
  </si>
  <si>
    <t>ID from QI</t>
  </si>
  <si>
    <t>Integrated Area of Same Peak in TIC</t>
  </si>
  <si>
    <t>Sample</t>
  </si>
  <si>
    <t>Sample ID</t>
  </si>
  <si>
    <t>Sample Time (hr)</t>
  </si>
  <si>
    <t>Peak Number</t>
  </si>
  <si>
    <t>Compound Name</t>
  </si>
  <si>
    <t>Time</t>
  </si>
  <si>
    <t>Mass Analogue</t>
  </si>
  <si>
    <t>Triethylene glycol</t>
  </si>
  <si>
    <t>Glycol</t>
  </si>
  <si>
    <t>3-methyl-2-methyl-2-pentene</t>
  </si>
  <si>
    <t>Alkane</t>
  </si>
  <si>
    <t>Propylbenzene</t>
  </si>
  <si>
    <t>SB</t>
  </si>
  <si>
    <t>Ethylmethyl-toluene/trimethylbenzene</t>
  </si>
  <si>
    <t>Ethylmethyl-toluene/</t>
  </si>
  <si>
    <t>trimethylbenzene</t>
  </si>
  <si>
    <t>2,3-dihydroindene</t>
  </si>
  <si>
    <t>PAH</t>
  </si>
  <si>
    <t>propyltoluene</t>
  </si>
  <si>
    <t>diethlybenzene</t>
  </si>
  <si>
    <t>methyl-glycolate</t>
  </si>
  <si>
    <t>glycol</t>
  </si>
  <si>
    <t>diethoxymethane</t>
  </si>
  <si>
    <t>azulene</t>
  </si>
  <si>
    <t>1-dodecene</t>
  </si>
  <si>
    <t>1-methoxy-4-propyl-benzene</t>
  </si>
  <si>
    <t>tripropylene glycol methyl ether</t>
  </si>
  <si>
    <t>d-pentadecane</t>
  </si>
  <si>
    <t>1-napthenol</t>
  </si>
  <si>
    <t>ethyl or diethylpthalate</t>
  </si>
  <si>
    <t>hexadecanoic acid complex</t>
  </si>
  <si>
    <t>Initial IDs and Integrated Areas</t>
  </si>
  <si>
    <t>Linear Fits</t>
  </si>
  <si>
    <t>IS Avg</t>
  </si>
  <si>
    <t>IS Mass</t>
  </si>
  <si>
    <t>Sum Row</t>
  </si>
  <si>
    <t>Sum Analog Mass</t>
  </si>
  <si>
    <t>Integrated Area</t>
  </si>
  <si>
    <t>Linear Fit (ng eq mass on column)</t>
  </si>
  <si>
    <t>Calc Masses</t>
  </si>
  <si>
    <t>Sub. Benz.</t>
  </si>
  <si>
    <t>Calculation approximate mass from integrated areas and mass approximation equations</t>
  </si>
  <si>
    <t>Calculated ng of analog-equivalent mass</t>
  </si>
  <si>
    <t>Sum mass of calculated ng analog-equivalent mass</t>
  </si>
  <si>
    <t>ng of calculated analog-equivalent mass per L</t>
  </si>
  <si>
    <t>transposed from az-bb for plotting</t>
  </si>
  <si>
    <t>Flow (ml)</t>
  </si>
  <si>
    <t>Converstion to Mass per unit volume</t>
  </si>
  <si>
    <t>time</t>
  </si>
  <si>
    <t>alkanes</t>
  </si>
  <si>
    <t>pah</t>
  </si>
  <si>
    <t>subnenz</t>
  </si>
  <si>
    <t>Calculation of per-volume basis and extrapolation of samples 63,62,61</t>
  </si>
  <si>
    <t>Sample Number</t>
  </si>
  <si>
    <t>Sample Time (h)</t>
  </si>
  <si>
    <t>Analogue</t>
  </si>
  <si>
    <r>
      <t>ng-analog-equivalent L</t>
    </r>
    <r>
      <rPr>
        <vertAlign val="superscript"/>
        <sz val="11"/>
        <color theme="1"/>
        <rFont val="Calibri"/>
        <family val="2"/>
        <scheme val="minor"/>
      </rPr>
      <t>-1</t>
    </r>
  </si>
  <si>
    <t>Ink A Mass (red text is extrapolated) for transfer</t>
  </si>
  <si>
    <t>Integrated Area as Determined from VBS instant area</t>
  </si>
  <si>
    <t>Linear Fit for Mass Approximation</t>
  </si>
  <si>
    <t>Diethylene Glycol-equivant mass</t>
  </si>
  <si>
    <t>Flow (mL)</t>
  </si>
  <si>
    <t>BIN</t>
  </si>
  <si>
    <t>Area (counts x s)</t>
  </si>
  <si>
    <t>ng equivalent mass</t>
  </si>
  <si>
    <r>
      <t>ng equivalent mass L</t>
    </r>
    <r>
      <rPr>
        <b/>
        <vertAlign val="superscript"/>
        <sz val="11"/>
        <rFont val="Calibri"/>
        <family val="2"/>
      </rPr>
      <t>-1</t>
    </r>
  </si>
  <si>
    <t>---</t>
  </si>
  <si>
    <t>Area from 5.546min to start of7</t>
  </si>
  <si>
    <t>Sum Start to Bin 5</t>
  </si>
  <si>
    <t>Previous as a % of Total</t>
  </si>
  <si>
    <t>Ink B</t>
  </si>
  <si>
    <t>Time (h)</t>
  </si>
  <si>
    <t>ng equivalent mass L-1</t>
  </si>
  <si>
    <t>condesation of above data to allow for easy plotting</t>
  </si>
  <si>
    <r>
      <t>ng equivalent mass L</t>
    </r>
    <r>
      <rPr>
        <vertAlign val="superscript"/>
        <sz val="11"/>
        <color theme="1"/>
        <rFont val="Calibri"/>
        <family val="2"/>
        <scheme val="minor"/>
      </rPr>
      <t>-1</t>
    </r>
  </si>
  <si>
    <t>Extrapolation of lost samples and Compiling for Time integrated data</t>
  </si>
  <si>
    <t>Ink C</t>
  </si>
  <si>
    <t>Mass of Ink added to chamber, g:</t>
  </si>
  <si>
    <t>nnn</t>
  </si>
  <si>
    <t>In calibration range</t>
  </si>
  <si>
    <t>Final weight of ink, g</t>
  </si>
  <si>
    <t>Estimated value above quantification limit (bold italics)</t>
  </si>
  <si>
    <t>Mass lost during test, g</t>
  </si>
  <si>
    <t>Estimated value below quantification limit (bold strikethrough)</t>
  </si>
  <si>
    <t>% Ink residue</t>
  </si>
  <si>
    <t>Chamber air flow, mL/min</t>
  </si>
  <si>
    <t>Chamber air flow, m3/h</t>
  </si>
  <si>
    <t>HPLC</t>
  </si>
  <si>
    <t>VOC</t>
  </si>
  <si>
    <t>SVOC</t>
  </si>
  <si>
    <t>Total mass measured, g</t>
  </si>
  <si>
    <t>Only methanol and isopropanol from VOC measurement are within QA</t>
  </si>
  <si>
    <t>HPLC Data</t>
  </si>
  <si>
    <t>VOC Data</t>
  </si>
  <si>
    <t>SVOC Data</t>
  </si>
  <si>
    <t>Sum of Area, µg/m³-h</t>
  </si>
  <si>
    <t>Mass, g</t>
  </si>
  <si>
    <t>Acetaldehyde-VOC data not usable</t>
  </si>
  <si>
    <t>high contamination from T1</t>
  </si>
  <si>
    <t>Total SVOCs</t>
  </si>
  <si>
    <t>Formaldehyde</t>
  </si>
  <si>
    <t>Data Fit</t>
  </si>
  <si>
    <t xml:space="preserve">Experimental </t>
  </si>
  <si>
    <t>1st Order</t>
  </si>
  <si>
    <t>Area</t>
  </si>
  <si>
    <t>Elapsed Time (hrs)</t>
  </si>
  <si>
    <t>µg/m3</t>
  </si>
  <si>
    <t>mg/m3</t>
  </si>
  <si>
    <t>µg/m³-h</t>
  </si>
  <si>
    <t>Acetaldehyde</t>
  </si>
  <si>
    <t>Unknown as Acetone</t>
  </si>
  <si>
    <t>Hexaldehyde</t>
  </si>
  <si>
    <t>ND</t>
  </si>
  <si>
    <t>Canister Data</t>
  </si>
  <si>
    <t>Acetaldehyde, not usable</t>
  </si>
  <si>
    <t>Methanol</t>
  </si>
  <si>
    <t>3-Pentanone, not usable</t>
  </si>
  <si>
    <t>Ethanol, not usable</t>
  </si>
  <si>
    <t>Isopropyl_Alcohol</t>
  </si>
  <si>
    <t>SVOC TD Data</t>
  </si>
  <si>
    <t>Diethylene Glycol Mass Approximated Equivalents</t>
  </si>
  <si>
    <t>ng/L=ug/m3</t>
  </si>
  <si>
    <t>Toluene</t>
  </si>
  <si>
    <t>Acetone</t>
  </si>
  <si>
    <t>Propionaldehyde</t>
  </si>
  <si>
    <t>2-Butanone (MEK)</t>
  </si>
  <si>
    <t>3-Pentanone</t>
  </si>
  <si>
    <t>Benzaldehyde</t>
  </si>
  <si>
    <t>No sample was collected at 3.15 hrs</t>
  </si>
  <si>
    <t>Ethanol</t>
  </si>
  <si>
    <t>Ethyl_Acetate</t>
  </si>
  <si>
    <t>SubBenzene</t>
  </si>
  <si>
    <t>Only methanol and acetaldehyde from VOC measurement are within QA</t>
  </si>
  <si>
    <t>Butanal</t>
  </si>
  <si>
    <t>Experimental Data</t>
  </si>
  <si>
    <t>Semi-quantitative Mass, g</t>
  </si>
  <si>
    <t>T2</t>
  </si>
  <si>
    <t>T3</t>
  </si>
  <si>
    <t>VOCs</t>
  </si>
  <si>
    <t>NR</t>
  </si>
  <si>
    <t>SVOCs</t>
  </si>
  <si>
    <t>Total mass measured, g (VOC data)</t>
  </si>
  <si>
    <t>NA</t>
  </si>
  <si>
    <t>Total mass measured, g (HPLC data)</t>
  </si>
  <si>
    <t>Ink mass lost during test, g</t>
  </si>
  <si>
    <t>10% Emittable mass bsed on SDS, g</t>
  </si>
  <si>
    <t>% Measured/emittable</t>
  </si>
  <si>
    <t>used VOC data when available</t>
  </si>
  <si>
    <t>Emittable mass bsed on SDS, g</t>
  </si>
  <si>
    <t>Ink mass for testing, g</t>
  </si>
  <si>
    <t>Butanone-79%</t>
  </si>
  <si>
    <t>Ethanol-10%</t>
  </si>
  <si>
    <t>n-Propyl acetate-10%</t>
  </si>
  <si>
    <t>Methanol-0.1%</t>
  </si>
  <si>
    <t>Predicted Mass Based on Manufacturer SDS</t>
  </si>
  <si>
    <t>Ink B-Only methanol and isopropanol from VOC measurement are within QA</t>
  </si>
  <si>
    <t>Ink C-Only methanol and acetaldehyde from VOC measurement are within QA</t>
  </si>
  <si>
    <t>SDS Contents</t>
  </si>
  <si>
    <t xml:space="preserve">Ink </t>
  </si>
  <si>
    <t>Ink Use</t>
  </si>
  <si>
    <t>Major Contents (SDS)</t>
  </si>
  <si>
    <t>continuous inkjet for production/manufacturing</t>
  </si>
  <si>
    <t>60-100% Butanone</t>
  </si>
  <si>
    <t>5-10% Ethanol</t>
  </si>
  <si>
    <t>5-10% n-Propyl Acetate</t>
  </si>
  <si>
    <t>0-1% Methanol</t>
  </si>
  <si>
    <t>Ink jet for consumer use</t>
  </si>
  <si>
    <t>60-70% Water</t>
  </si>
  <si>
    <t>5-9% Carbon Black</t>
  </si>
  <si>
    <t>5-15% Glycerol</t>
  </si>
  <si>
    <t>5-9% Diethylene Glycol</t>
  </si>
  <si>
    <t>65-85% Water</t>
  </si>
  <si>
    <t>5-7% Carbon Black</t>
  </si>
  <si>
    <t>5-7% Glycerol</t>
  </si>
  <si>
    <t>3-5% Triethylene Glycol Monobutyl Ether</t>
  </si>
  <si>
    <t>Sample Times by Ink</t>
  </si>
  <si>
    <t>DNPH</t>
  </si>
  <si>
    <t>Can</t>
  </si>
  <si>
    <t>Tube</t>
  </si>
  <si>
    <t xml:space="preserve">Water </t>
  </si>
  <si>
    <t xml:space="preserve">Carbon black </t>
  </si>
  <si>
    <t xml:space="preserve">Glycerol </t>
  </si>
  <si>
    <t xml:space="preserve">Diethylene glycol </t>
  </si>
  <si>
    <t xml:space="preserve">TGME </t>
  </si>
  <si>
    <t>Data Glossary</t>
  </si>
  <si>
    <t>Canister</t>
  </si>
  <si>
    <t>Sampling method for semi-volatile ink consituents, the sampling counterpart to "SVOC" data</t>
  </si>
  <si>
    <t>Total SVOC</t>
  </si>
  <si>
    <t>T4</t>
  </si>
  <si>
    <t>VOC/SVOC</t>
  </si>
  <si>
    <t>Indicates a subset of analytes, principally oxygenated ink constituents. Analytical Counterpart to DNPH. Data produced according to TO-11A</t>
  </si>
  <si>
    <t>Sample media for oxygenated ink constituents. Sampling counterpart to HPLC. Data produced according to TO-11A</t>
  </si>
  <si>
    <t>Sampling method for VOC range ink constituents. Same samples as those labeled "VOC". Data produced according to TO-15a</t>
  </si>
  <si>
    <t>Polyaromatic Hydrocarbons</t>
  </si>
  <si>
    <t>Used for Ink B and C, presented as mass-equivalents of diethylene glycol. Some assumptions used in compound ID a different from  Ink A, hence separate IDs</t>
  </si>
  <si>
    <t>The distinction between SVOC and VOC is principally made by analytical instrument. The VOC data comes from an instrument running TO-15a, and the SVOC data comes from an instrument set up to read TO-17 type data, though modified for lower volatility compounds. The Range of the SVOC instrument is between decane (C10) and C34).</t>
  </si>
  <si>
    <t>TMB</t>
  </si>
  <si>
    <t>Trimenthybenzene</t>
  </si>
  <si>
    <t>SDS</t>
  </si>
  <si>
    <t xml:space="preserve">Safety and data sheet, manufacturer supplied information regarding consittuents of the ink and associated health and safety risks, if any.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</si>
</sst>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0"/>
    <numFmt numFmtId="167" formatCode="0.0000E+00"/>
  </numFmts>
  <fonts count="2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20"/>
      <color theme="1"/>
      <name val="Calibri"/>
      <family val="2"/>
      <scheme val="minor"/>
    </font>
    <font>
      <sz val="11"/>
      <name val="Calibri"/>
      <family val="2"/>
      <scheme val="minor"/>
    </font>
    <font>
      <vertAlign val="superscript"/>
      <sz val="11"/>
      <color theme="1"/>
      <name val="Calibri"/>
      <family val="2"/>
      <scheme val="minor"/>
    </font>
    <font>
      <b/>
      <sz val="11"/>
      <name val="Calibri"/>
      <family val="2"/>
    </font>
    <font>
      <b/>
      <vertAlign val="superscript"/>
      <sz val="11"/>
      <name val="Calibri"/>
      <family val="2"/>
    </font>
    <font>
      <b/>
      <sz val="12"/>
      <color rgb="FF3333FF"/>
      <name val="Calibri"/>
      <family val="2"/>
      <scheme val="minor"/>
    </font>
    <font>
      <sz val="10"/>
      <name val="Arial"/>
      <family val="2"/>
    </font>
    <font>
      <b/>
      <i/>
      <sz val="10"/>
      <name val="Arial"/>
      <family val="2"/>
    </font>
    <font>
      <b/>
      <strike/>
      <sz val="10"/>
      <name val="Arial"/>
      <family val="2"/>
    </font>
    <font>
      <b/>
      <sz val="11"/>
      <color rgb="FFFF0000"/>
      <name val="Calibri"/>
      <family val="2"/>
      <scheme val="minor"/>
    </font>
    <font>
      <b/>
      <sz val="12"/>
      <color rgb="FFFF0000"/>
      <name val="Calibri"/>
      <family val="2"/>
      <scheme val="minor"/>
    </font>
    <font>
      <b/>
      <sz val="10"/>
      <color theme="1"/>
      <name val="Arial"/>
      <family val="2"/>
    </font>
    <font>
      <sz val="10"/>
      <color theme="1"/>
      <name val="Arial"/>
      <family val="2"/>
    </font>
    <font>
      <b/>
      <strike/>
      <sz val="11"/>
      <color theme="1"/>
      <name val="Calibri"/>
      <family val="2"/>
      <scheme val="minor"/>
    </font>
    <font>
      <b/>
      <sz val="12"/>
      <color theme="1"/>
      <name val="Calibri"/>
      <family val="2"/>
      <scheme val="minor"/>
    </font>
    <font>
      <sz val="11"/>
      <color theme="1"/>
      <name val="Arial"/>
      <family val="2"/>
    </font>
    <font>
      <b/>
      <sz val="12"/>
      <name val="Calibri"/>
      <family val="2"/>
      <scheme val="minor"/>
    </font>
    <font>
      <i/>
      <sz val="10"/>
      <color theme="1"/>
      <name val="Arial"/>
      <family val="2"/>
    </font>
    <font>
      <b/>
      <strike/>
      <sz val="10"/>
      <color theme="1"/>
      <name val="Arial"/>
      <family val="2"/>
    </font>
    <font>
      <b/>
      <i/>
      <sz val="10"/>
      <color theme="1"/>
      <name val="Arial"/>
      <family val="2"/>
    </font>
    <font>
      <sz val="10"/>
      <color indexed="10"/>
      <name val="Arial"/>
      <family val="2"/>
    </font>
    <font>
      <b/>
      <i/>
      <sz val="11"/>
      <color theme="1"/>
      <name val="Calibri"/>
      <family val="2"/>
      <scheme val="minor"/>
    </font>
    <font>
      <b/>
      <strike/>
      <sz val="11"/>
      <name val="Calibri"/>
      <family val="2"/>
      <scheme val="minor"/>
    </font>
    <font>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s>
  <cellStyleXfs count="3">
    <xf numFmtId="0" fontId="0" fillId="0" borderId="0"/>
    <xf numFmtId="9" fontId="1" fillId="0" borderId="0" applyFont="0" applyFill="0" applyBorder="0" applyAlignment="0" applyProtection="0"/>
    <xf numFmtId="0" fontId="10" fillId="0" borderId="0"/>
  </cellStyleXfs>
  <cellXfs count="201">
    <xf numFmtId="0" fontId="0" fillId="0" borderId="0" xfId="0"/>
    <xf numFmtId="0" fontId="0" fillId="0" borderId="0" xfId="0" applyAlignment="1">
      <alignment horizontal="center"/>
    </xf>
    <xf numFmtId="2" fontId="0" fillId="0" borderId="0" xfId="0" applyNumberFormat="1"/>
    <xf numFmtId="0" fontId="0" fillId="0" borderId="0" xfId="0" applyAlignment="1">
      <alignment horizontal="center" vertical="center"/>
    </xf>
    <xf numFmtId="0" fontId="0" fillId="0" borderId="0" xfId="0" applyAlignment="1"/>
    <xf numFmtId="11" fontId="0" fillId="0" borderId="0" xfId="0" applyNumberFormat="1" applyAlignment="1">
      <alignment horizontal="center"/>
    </xf>
    <xf numFmtId="0" fontId="0" fillId="0" borderId="0" xfId="1" applyNumberFormat="1" applyFont="1" applyBorder="1" applyAlignment="1">
      <alignment horizontal="center"/>
    </xf>
    <xf numFmtId="0" fontId="0" fillId="2" borderId="0" xfId="0" applyFill="1" applyAlignment="1">
      <alignment horizontal="center"/>
    </xf>
    <xf numFmtId="0" fontId="0" fillId="2" borderId="0" xfId="0" applyFill="1"/>
    <xf numFmtId="0" fontId="0" fillId="0" borderId="0" xfId="0" applyAlignment="1">
      <alignment vertical="center"/>
    </xf>
    <xf numFmtId="0" fontId="0" fillId="0" borderId="5" xfId="0" applyBorder="1" applyAlignment="1">
      <alignment horizontal="center"/>
    </xf>
    <xf numFmtId="0" fontId="0" fillId="0" borderId="5" xfId="0" applyBorder="1"/>
    <xf numFmtId="0" fontId="0" fillId="0" borderId="6" xfId="0" applyBorder="1"/>
    <xf numFmtId="1" fontId="0" fillId="0" borderId="6" xfId="0" applyNumberFormat="1" applyBorder="1"/>
    <xf numFmtId="1" fontId="0" fillId="3" borderId="6" xfId="0" applyNumberFormat="1" applyFill="1" applyBorder="1"/>
    <xf numFmtId="1" fontId="0" fillId="0" borderId="0" xfId="0" applyNumberFormat="1"/>
    <xf numFmtId="1" fontId="0" fillId="3" borderId="0" xfId="0" applyNumberFormat="1" applyFill="1"/>
    <xf numFmtId="1" fontId="0" fillId="3" borderId="5" xfId="0" applyNumberFormat="1" applyFill="1" applyBorder="1"/>
    <xf numFmtId="1" fontId="0" fillId="0" borderId="0" xfId="0" applyNumberFormat="1" applyBorder="1"/>
    <xf numFmtId="1" fontId="0" fillId="3" borderId="0" xfId="0" applyNumberFormat="1" applyFill="1" applyBorder="1"/>
    <xf numFmtId="0" fontId="0" fillId="0" borderId="10" xfId="0" applyBorder="1"/>
    <xf numFmtId="0" fontId="0" fillId="0" borderId="8" xfId="0" applyBorder="1"/>
    <xf numFmtId="0" fontId="0" fillId="0" borderId="9" xfId="0" applyBorder="1"/>
    <xf numFmtId="0" fontId="0" fillId="0" borderId="11" xfId="0" applyBorder="1"/>
    <xf numFmtId="0" fontId="0" fillId="0" borderId="15" xfId="0" applyBorder="1"/>
    <xf numFmtId="0" fontId="0" fillId="0" borderId="14" xfId="0" applyBorder="1"/>
    <xf numFmtId="0" fontId="0" fillId="0" borderId="0" xfId="0" applyBorder="1"/>
    <xf numFmtId="164" fontId="2" fillId="0" borderId="0" xfId="0" applyNumberFormat="1" applyFont="1"/>
    <xf numFmtId="0" fontId="2" fillId="0" borderId="0" xfId="0" applyFont="1"/>
    <xf numFmtId="1" fontId="0" fillId="0" borderId="0" xfId="0" applyNumberFormat="1" applyAlignment="1">
      <alignment horizontal="center" vertical="center"/>
    </xf>
    <xf numFmtId="1" fontId="0" fillId="0" borderId="6" xfId="0" applyNumberFormat="1" applyBorder="1" applyAlignment="1">
      <alignment horizontal="right"/>
    </xf>
    <xf numFmtId="1" fontId="0" fillId="0" borderId="5" xfId="0" applyNumberFormat="1" applyBorder="1" applyAlignment="1">
      <alignment horizontal="right"/>
    </xf>
    <xf numFmtId="0" fontId="5" fillId="0" borderId="0" xfId="0" applyFont="1"/>
    <xf numFmtId="1" fontId="0" fillId="0" borderId="10" xfId="0" applyNumberFormat="1" applyBorder="1" applyAlignment="1">
      <alignment horizontal="right"/>
    </xf>
    <xf numFmtId="1" fontId="0" fillId="0" borderId="8" xfId="0" applyNumberFormat="1" applyBorder="1" applyAlignment="1">
      <alignment horizontal="right"/>
    </xf>
    <xf numFmtId="1" fontId="0" fillId="0" borderId="9" xfId="0" applyNumberFormat="1" applyBorder="1" applyAlignment="1">
      <alignment horizontal="right"/>
    </xf>
    <xf numFmtId="1" fontId="0" fillId="0" borderId="0" xfId="0" applyNumberFormat="1" applyBorder="1" applyAlignment="1">
      <alignment horizontal="right"/>
    </xf>
    <xf numFmtId="1" fontId="0" fillId="0" borderId="11" xfId="0" applyNumberFormat="1" applyBorder="1" applyAlignment="1">
      <alignment horizontal="right"/>
    </xf>
    <xf numFmtId="1" fontId="0" fillId="0" borderId="15" xfId="0" applyNumberFormat="1" applyBorder="1" applyAlignment="1">
      <alignment horizontal="right"/>
    </xf>
    <xf numFmtId="1" fontId="0" fillId="0" borderId="14" xfId="0" applyNumberFormat="1" applyBorder="1" applyAlignment="1">
      <alignment horizontal="right"/>
    </xf>
    <xf numFmtId="2" fontId="0" fillId="0" borderId="0" xfId="0" applyNumberFormat="1" applyAlignment="1">
      <alignment vertical="center"/>
    </xf>
    <xf numFmtId="0" fontId="0" fillId="0" borderId="16" xfId="0" applyBorder="1"/>
    <xf numFmtId="0" fontId="0" fillId="0" borderId="14" xfId="0" applyBorder="1" applyAlignment="1">
      <alignment horizontal="center"/>
    </xf>
    <xf numFmtId="0" fontId="7" fillId="0" borderId="11" xfId="0" applyFont="1" applyBorder="1" applyAlignment="1">
      <alignment horizontal="center" vertical="top"/>
    </xf>
    <xf numFmtId="11" fontId="0" fillId="0" borderId="0" xfId="0" quotePrefix="1" applyNumberFormat="1" applyAlignment="1">
      <alignment horizontal="center"/>
    </xf>
    <xf numFmtId="11" fontId="0" fillId="0" borderId="0" xfId="0" applyNumberFormat="1"/>
    <xf numFmtId="0" fontId="0" fillId="0" borderId="0" xfId="0" quotePrefix="1" applyAlignment="1">
      <alignment horizontal="center"/>
    </xf>
    <xf numFmtId="0" fontId="7" fillId="0" borderId="0" xfId="0" applyFont="1" applyAlignment="1">
      <alignment horizontal="center" vertical="top"/>
    </xf>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applyAlignment="1">
      <alignment horizontal="center"/>
    </xf>
    <xf numFmtId="0" fontId="0" fillId="0" borderId="21" xfId="0" applyBorder="1"/>
    <xf numFmtId="11" fontId="0" fillId="0" borderId="5" xfId="0" applyNumberFormat="1" applyBorder="1"/>
    <xf numFmtId="0" fontId="0" fillId="0" borderId="15" xfId="0" applyBorder="1" applyAlignment="1">
      <alignment horizontal="center"/>
    </xf>
    <xf numFmtId="0" fontId="0" fillId="0" borderId="22" xfId="0" applyBorder="1" applyAlignment="1">
      <alignment horizontal="center"/>
    </xf>
    <xf numFmtId="0" fontId="0" fillId="0" borderId="4" xfId="0" applyBorder="1"/>
    <xf numFmtId="0" fontId="0" fillId="0" borderId="23" xfId="0" applyBorder="1"/>
    <xf numFmtId="0" fontId="7" fillId="0" borderId="10" xfId="0" applyFont="1" applyBorder="1" applyAlignment="1">
      <alignment horizontal="center" vertical="top"/>
    </xf>
    <xf numFmtId="0" fontId="0" fillId="0" borderId="6" xfId="0" applyBorder="1" applyAlignment="1">
      <alignment horizontal="center" vertical="center"/>
    </xf>
    <xf numFmtId="11" fontId="0" fillId="0" borderId="6" xfId="0" applyNumberFormat="1" applyBorder="1" applyAlignment="1">
      <alignment horizontal="center" vertical="center"/>
    </xf>
    <xf numFmtId="11" fontId="0" fillId="0" borderId="8" xfId="0" applyNumberFormat="1" applyBorder="1" applyAlignment="1">
      <alignment horizontal="center" vertical="center"/>
    </xf>
    <xf numFmtId="0" fontId="7" fillId="0" borderId="15" xfId="0" applyFont="1" applyBorder="1" applyAlignment="1">
      <alignment horizontal="center" vertical="top"/>
    </xf>
    <xf numFmtId="165" fontId="0" fillId="0" borderId="5" xfId="0" applyNumberFormat="1" applyBorder="1" applyAlignment="1">
      <alignment horizontal="center" vertical="center"/>
    </xf>
    <xf numFmtId="0" fontId="0" fillId="0" borderId="5" xfId="0" applyBorder="1" applyAlignment="1">
      <alignment horizontal="center" vertical="center"/>
    </xf>
    <xf numFmtId="165" fontId="0" fillId="0" borderId="14" xfId="0" applyNumberFormat="1" applyBorder="1" applyAlignment="1">
      <alignment horizontal="center" vertical="center"/>
    </xf>
    <xf numFmtId="2" fontId="0" fillId="0" borderId="0" xfId="0" quotePrefix="1" applyNumberFormat="1" applyAlignment="1">
      <alignment horizontal="center"/>
    </xf>
    <xf numFmtId="2" fontId="0" fillId="0" borderId="18" xfId="0" quotePrefix="1" applyNumberFormat="1" applyBorder="1" applyAlignment="1">
      <alignment horizontal="center"/>
    </xf>
    <xf numFmtId="2" fontId="0" fillId="0" borderId="4" xfId="0" applyNumberFormat="1" applyBorder="1" applyAlignment="1">
      <alignment horizontal="center"/>
    </xf>
    <xf numFmtId="2" fontId="0" fillId="0" borderId="18" xfId="0" applyNumberFormat="1" applyBorder="1"/>
    <xf numFmtId="2" fontId="0" fillId="0" borderId="19" xfId="0" applyNumberFormat="1" applyBorder="1"/>
    <xf numFmtId="2" fontId="0" fillId="0" borderId="0" xfId="0" applyNumberFormat="1" applyBorder="1"/>
    <xf numFmtId="2" fontId="0" fillId="0" borderId="0" xfId="0" quotePrefix="1" applyNumberFormat="1" applyBorder="1" applyAlignment="1">
      <alignment horizontal="center"/>
    </xf>
    <xf numFmtId="2" fontId="0" fillId="0" borderId="21" xfId="0" applyNumberFormat="1" applyBorder="1"/>
    <xf numFmtId="2" fontId="0" fillId="0" borderId="4" xfId="0" applyNumberFormat="1" applyBorder="1"/>
    <xf numFmtId="2" fontId="0" fillId="0" borderId="23" xfId="0" applyNumberFormat="1" applyBorder="1"/>
    <xf numFmtId="0" fontId="0" fillId="0" borderId="17" xfId="0" applyBorder="1"/>
    <xf numFmtId="0" fontId="0" fillId="0" borderId="20" xfId="0" applyBorder="1"/>
    <xf numFmtId="0" fontId="0" fillId="0" borderId="22" xfId="0" applyBorder="1"/>
    <xf numFmtId="165" fontId="0" fillId="0" borderId="5" xfId="0" applyNumberFormat="1" applyBorder="1" applyAlignment="1">
      <alignment horizontal="center"/>
    </xf>
    <xf numFmtId="165" fontId="0" fillId="0" borderId="14" xfId="0" applyNumberFormat="1" applyBorder="1" applyAlignment="1">
      <alignment horizontal="center"/>
    </xf>
    <xf numFmtId="0" fontId="7" fillId="0" borderId="0" xfId="0" applyFont="1" applyBorder="1" applyAlignment="1">
      <alignment horizontal="center" vertical="top"/>
    </xf>
    <xf numFmtId="0" fontId="0" fillId="0" borderId="11" xfId="0" applyBorder="1" applyAlignment="1">
      <alignment horizontal="center"/>
    </xf>
    <xf numFmtId="2" fontId="0" fillId="0" borderId="5" xfId="0" applyNumberFormat="1" applyBorder="1" applyAlignment="1">
      <alignment horizontal="center" vertical="center"/>
    </xf>
    <xf numFmtId="0" fontId="0" fillId="0" borderId="24" xfId="0" applyBorder="1" applyAlignment="1">
      <alignment horizontal="center" wrapText="1"/>
    </xf>
    <xf numFmtId="0" fontId="0" fillId="0" borderId="25" xfId="0" applyBorder="1" applyAlignment="1">
      <alignment horizontal="center"/>
    </xf>
    <xf numFmtId="0" fontId="0" fillId="0" borderId="0" xfId="0" applyAlignment="1">
      <alignment horizontal="left"/>
    </xf>
    <xf numFmtId="0" fontId="5" fillId="0" borderId="0" xfId="0" applyFont="1" applyAlignment="1">
      <alignment horizontal="left"/>
    </xf>
    <xf numFmtId="0" fontId="10" fillId="0" borderId="0" xfId="2" applyAlignment="1">
      <alignment horizontal="right" vertical="center"/>
    </xf>
    <xf numFmtId="0" fontId="10" fillId="0" borderId="0" xfId="2" applyAlignment="1">
      <alignment vertical="center"/>
    </xf>
    <xf numFmtId="0" fontId="11" fillId="0" borderId="0" xfId="2" applyFont="1" applyAlignment="1">
      <alignment horizontal="right" vertical="center"/>
    </xf>
    <xf numFmtId="0" fontId="12" fillId="0" borderId="0" xfId="2" applyFont="1" applyAlignment="1">
      <alignment horizontal="right" vertical="center"/>
    </xf>
    <xf numFmtId="2" fontId="5" fillId="0" borderId="0" xfId="0" applyNumberFormat="1" applyFont="1" applyAlignment="1">
      <alignment horizontal="left"/>
    </xf>
    <xf numFmtId="11" fontId="5" fillId="0" borderId="0" xfId="0" applyNumberFormat="1" applyFont="1" applyAlignment="1">
      <alignment horizontal="left"/>
    </xf>
    <xf numFmtId="11" fontId="0" fillId="0" borderId="0" xfId="0" applyNumberFormat="1" applyAlignment="1">
      <alignment horizontal="left"/>
    </xf>
    <xf numFmtId="2" fontId="0" fillId="0" borderId="0" xfId="0" applyNumberFormat="1" applyAlignment="1">
      <alignment horizontal="left"/>
    </xf>
    <xf numFmtId="0" fontId="2" fillId="0" borderId="0" xfId="0" applyFont="1" applyAlignment="1">
      <alignment horizontal="left"/>
    </xf>
    <xf numFmtId="0" fontId="3" fillId="4" borderId="0" xfId="0" applyFont="1" applyFill="1" applyAlignment="1">
      <alignment horizontal="left"/>
    </xf>
    <xf numFmtId="11" fontId="0" fillId="4" borderId="0" xfId="0" applyNumberFormat="1" applyFill="1" applyAlignment="1">
      <alignment horizontal="left"/>
    </xf>
    <xf numFmtId="0" fontId="0" fillId="4" borderId="0" xfId="0" applyFill="1" applyAlignment="1">
      <alignment horizontal="left"/>
    </xf>
    <xf numFmtId="2" fontId="13" fillId="0" borderId="0" xfId="0" applyNumberFormat="1" applyFont="1" applyAlignment="1">
      <alignment horizontal="left"/>
    </xf>
    <xf numFmtId="11" fontId="13" fillId="0" borderId="0" xfId="0" applyNumberFormat="1" applyFont="1" applyAlignment="1">
      <alignment horizontal="left"/>
    </xf>
    <xf numFmtId="0" fontId="13" fillId="0" borderId="0" xfId="0" applyFont="1" applyAlignment="1">
      <alignment horizontal="left"/>
    </xf>
    <xf numFmtId="165" fontId="5" fillId="0" borderId="0" xfId="0" applyNumberFormat="1" applyFont="1" applyAlignment="1">
      <alignment horizontal="left"/>
    </xf>
    <xf numFmtId="165" fontId="13" fillId="0" borderId="0" xfId="0" applyNumberFormat="1" applyFont="1" applyAlignment="1">
      <alignment horizontal="left"/>
    </xf>
    <xf numFmtId="0" fontId="14" fillId="0" borderId="0" xfId="0" applyFont="1" applyAlignment="1">
      <alignment horizontal="left"/>
    </xf>
    <xf numFmtId="0" fontId="3" fillId="5" borderId="0" xfId="0" applyFont="1" applyFill="1" applyAlignment="1">
      <alignment horizontal="left"/>
    </xf>
    <xf numFmtId="0" fontId="15" fillId="0" borderId="0" xfId="0" applyFont="1" applyAlignment="1">
      <alignment horizontal="left"/>
    </xf>
    <xf numFmtId="0" fontId="16" fillId="0" borderId="0" xfId="0" applyFont="1" applyAlignment="1">
      <alignment horizontal="left"/>
    </xf>
    <xf numFmtId="0" fontId="10" fillId="0" borderId="0" xfId="0" applyFont="1" applyAlignment="1">
      <alignment horizontal="left"/>
    </xf>
    <xf numFmtId="165" fontId="0" fillId="0" borderId="0" xfId="0" applyNumberFormat="1" applyAlignment="1">
      <alignment horizontal="left"/>
    </xf>
    <xf numFmtId="165" fontId="17" fillId="0" borderId="0" xfId="0" applyNumberFormat="1" applyFont="1" applyAlignment="1">
      <alignment horizontal="left"/>
    </xf>
    <xf numFmtId="0" fontId="18" fillId="5" borderId="0" xfId="0" applyFont="1" applyFill="1" applyAlignment="1">
      <alignment horizontal="left"/>
    </xf>
    <xf numFmtId="2" fontId="19" fillId="0" borderId="0" xfId="0" applyNumberFormat="1" applyFont="1" applyAlignment="1">
      <alignment horizontal="left"/>
    </xf>
    <xf numFmtId="0" fontId="10" fillId="0" borderId="0" xfId="2"/>
    <xf numFmtId="0" fontId="11" fillId="0" borderId="0" xfId="2" applyFont="1"/>
    <xf numFmtId="0" fontId="20" fillId="6" borderId="0" xfId="0" applyFont="1" applyFill="1" applyAlignment="1">
      <alignment horizontal="left"/>
    </xf>
    <xf numFmtId="0" fontId="12" fillId="0" borderId="0" xfId="2" applyFont="1"/>
    <xf numFmtId="0" fontId="20" fillId="0" borderId="0" xfId="0" applyFont="1" applyAlignment="1">
      <alignment horizontal="left"/>
    </xf>
    <xf numFmtId="2" fontId="16" fillId="0" borderId="0" xfId="0" applyNumberFormat="1" applyFont="1" applyAlignment="1">
      <alignment horizontal="left"/>
    </xf>
    <xf numFmtId="2" fontId="21" fillId="0" borderId="0" xfId="0" applyNumberFormat="1" applyFont="1" applyAlignment="1">
      <alignment horizontal="left"/>
    </xf>
    <xf numFmtId="2" fontId="22" fillId="0" borderId="0" xfId="0" applyNumberFormat="1" applyFont="1" applyAlignment="1">
      <alignment horizontal="left"/>
    </xf>
    <xf numFmtId="2" fontId="23" fillId="0" borderId="0" xfId="0" applyNumberFormat="1" applyFont="1" applyAlignment="1">
      <alignment horizontal="left"/>
    </xf>
    <xf numFmtId="0" fontId="3" fillId="7" borderId="0" xfId="0" applyFont="1" applyFill="1" applyAlignment="1">
      <alignment horizontal="left"/>
    </xf>
    <xf numFmtId="1" fontId="2" fillId="0" borderId="0" xfId="0" applyNumberFormat="1" applyFont="1" applyAlignment="1">
      <alignment horizontal="left"/>
    </xf>
    <xf numFmtId="164" fontId="0" fillId="0" borderId="0" xfId="0" applyNumberFormat="1" applyAlignment="1">
      <alignment horizontal="left"/>
    </xf>
    <xf numFmtId="2" fontId="0" fillId="0" borderId="0" xfId="0" applyNumberFormat="1" applyAlignment="1">
      <alignment horizontal="left" vertical="center"/>
    </xf>
    <xf numFmtId="164" fontId="2" fillId="0" borderId="0" xfId="0" applyNumberFormat="1" applyFont="1" applyAlignment="1">
      <alignment horizontal="left"/>
    </xf>
    <xf numFmtId="164" fontId="5" fillId="0" borderId="0" xfId="0" applyNumberFormat="1" applyFont="1" applyAlignment="1">
      <alignment horizontal="left"/>
    </xf>
    <xf numFmtId="0" fontId="3" fillId="0" borderId="0" xfId="0" applyFont="1" applyAlignment="1">
      <alignment horizontal="left"/>
    </xf>
    <xf numFmtId="0" fontId="18" fillId="6" borderId="0" xfId="0" applyFont="1" applyFill="1" applyAlignment="1">
      <alignment horizontal="left"/>
    </xf>
    <xf numFmtId="2" fontId="17" fillId="0" borderId="0" xfId="0" applyNumberFormat="1" applyFont="1" applyAlignment="1">
      <alignment horizontal="left"/>
    </xf>
    <xf numFmtId="0" fontId="24" fillId="0" borderId="0" xfId="2" applyFont="1"/>
    <xf numFmtId="2" fontId="25" fillId="0" borderId="0" xfId="0" applyNumberFormat="1" applyFont="1" applyAlignment="1">
      <alignment horizontal="left"/>
    </xf>
    <xf numFmtId="0" fontId="17" fillId="0" borderId="0" xfId="0" applyFont="1" applyAlignment="1">
      <alignment horizontal="left"/>
    </xf>
    <xf numFmtId="0" fontId="22" fillId="0" borderId="0" xfId="0" applyFont="1" applyAlignment="1">
      <alignment horizontal="left"/>
    </xf>
    <xf numFmtId="0" fontId="0" fillId="0" borderId="6" xfId="0" applyBorder="1" applyAlignment="1">
      <alignment horizontal="left"/>
    </xf>
    <xf numFmtId="2" fontId="2" fillId="0" borderId="0" xfId="0" applyNumberFormat="1" applyFont="1" applyAlignment="1">
      <alignment horizontal="left"/>
    </xf>
    <xf numFmtId="11" fontId="2" fillId="0" borderId="0" xfId="0" applyNumberFormat="1" applyFont="1" applyAlignment="1">
      <alignment horizontal="left"/>
    </xf>
    <xf numFmtId="2" fontId="0" fillId="2" borderId="0" xfId="0" applyNumberFormat="1" applyFill="1" applyAlignment="1">
      <alignment horizontal="left"/>
    </xf>
    <xf numFmtId="2" fontId="3" fillId="6" borderId="0" xfId="0" applyNumberFormat="1" applyFont="1" applyFill="1" applyAlignment="1">
      <alignment horizontal="left"/>
    </xf>
    <xf numFmtId="2" fontId="26" fillId="0" borderId="0" xfId="0" applyNumberFormat="1" applyFont="1" applyAlignment="1">
      <alignment horizontal="left"/>
    </xf>
    <xf numFmtId="1" fontId="0" fillId="0" borderId="0" xfId="0" applyNumberFormat="1" applyAlignment="1">
      <alignment horizontal="left"/>
    </xf>
    <xf numFmtId="0" fontId="18" fillId="6" borderId="0" xfId="0" applyFont="1" applyFill="1"/>
    <xf numFmtId="0" fontId="27" fillId="6" borderId="0" xfId="0" applyFont="1" applyFill="1"/>
    <xf numFmtId="0" fontId="18" fillId="0" borderId="0" xfId="0" applyFont="1"/>
    <xf numFmtId="0" fontId="27" fillId="0" borderId="0" xfId="0" applyFont="1"/>
    <xf numFmtId="0" fontId="3" fillId="0" borderId="0" xfId="0" applyFont="1"/>
    <xf numFmtId="11" fontId="3" fillId="0" borderId="0" xfId="0" applyNumberFormat="1" applyFont="1" applyAlignment="1">
      <alignment horizontal="left"/>
    </xf>
    <xf numFmtId="2" fontId="3" fillId="0" borderId="0" xfId="0" applyNumberFormat="1" applyFont="1" applyAlignment="1">
      <alignment horizontal="left"/>
    </xf>
    <xf numFmtId="166" fontId="0" fillId="0" borderId="0" xfId="0" applyNumberFormat="1" applyAlignment="1">
      <alignment horizontal="left"/>
    </xf>
    <xf numFmtId="0" fontId="13" fillId="0" borderId="0" xfId="0" applyFont="1"/>
    <xf numFmtId="167" fontId="0" fillId="0" borderId="0" xfId="0" applyNumberFormat="1" applyAlignment="1">
      <alignment horizontal="left"/>
    </xf>
    <xf numFmtId="0" fontId="20" fillId="7" borderId="0" xfId="0" applyFont="1" applyFill="1" applyAlignment="1">
      <alignment horizontal="center"/>
    </xf>
    <xf numFmtId="0" fontId="3" fillId="0" borderId="0" xfId="0" applyFont="1" applyAlignment="1">
      <alignment horizontal="center"/>
    </xf>
    <xf numFmtId="0" fontId="9"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4" fillId="0" borderId="0" xfId="0" applyFont="1" applyAlignment="1">
      <alignment horizontal="center"/>
    </xf>
    <xf numFmtId="0" fontId="0" fillId="0" borderId="4" xfId="0" applyBorder="1" applyAlignment="1">
      <alignment horizontal="center"/>
    </xf>
    <xf numFmtId="0" fontId="0" fillId="0" borderId="18" xfId="0" applyBorder="1" applyAlignment="1">
      <alignment horizontal="center"/>
    </xf>
    <xf numFmtId="1" fontId="0" fillId="3" borderId="7" xfId="0" applyNumberFormat="1"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1" fontId="0" fillId="3" borderId="12" xfId="0" applyNumberFormat="1" applyFill="1" applyBorder="1" applyAlignment="1">
      <alignment horizontal="center" vertical="center"/>
    </xf>
    <xf numFmtId="1" fontId="0" fillId="3" borderId="13" xfId="0" applyNumberFormat="1" applyFill="1" applyBorder="1" applyAlignment="1">
      <alignment horizontal="center" vertical="center"/>
    </xf>
    <xf numFmtId="0" fontId="0" fillId="0" borderId="12" xfId="0" applyBorder="1" applyAlignment="1">
      <alignment horizontal="center" vertical="center"/>
    </xf>
    <xf numFmtId="0" fontId="0" fillId="0" borderId="0" xfId="0" applyAlignment="1">
      <alignment horizontal="center" vertical="center"/>
    </xf>
    <xf numFmtId="1" fontId="0" fillId="0" borderId="6" xfId="0" applyNumberFormat="1" applyBorder="1" applyAlignment="1">
      <alignment horizontal="center" vertical="center"/>
    </xf>
    <xf numFmtId="1" fontId="0" fillId="0" borderId="0" xfId="0" applyNumberFormat="1" applyBorder="1" applyAlignment="1">
      <alignment horizontal="center" vertical="center"/>
    </xf>
    <xf numFmtId="1" fontId="0" fillId="0" borderId="5" xfId="0" applyNumberFormat="1" applyBorder="1" applyAlignment="1">
      <alignment horizontal="center" vertical="center"/>
    </xf>
    <xf numFmtId="0" fontId="0" fillId="0" borderId="10"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1" fontId="0" fillId="0" borderId="0" xfId="0" applyNumberFormat="1" applyAlignment="1">
      <alignment horizontal="center" vertical="center"/>
    </xf>
    <xf numFmtId="0" fontId="7" fillId="0" borderId="5" xfId="0" applyFont="1" applyBorder="1" applyAlignment="1">
      <alignment horizontal="center" vertical="top"/>
    </xf>
    <xf numFmtId="0" fontId="4" fillId="0" borderId="0" xfId="0" applyFont="1" applyAlignment="1">
      <alignment horizontal="center" vertical="center"/>
    </xf>
    <xf numFmtId="0" fontId="0" fillId="0" borderId="0" xfId="0" applyAlignment="1">
      <alignment horizontal="center" wrapText="1"/>
    </xf>
    <xf numFmtId="0" fontId="0" fillId="0" borderId="6" xfId="0" applyBorder="1" applyAlignment="1">
      <alignment horizontal="center" wrapText="1"/>
    </xf>
    <xf numFmtId="0" fontId="0" fillId="0" borderId="16" xfId="0" applyBorder="1" applyAlignment="1">
      <alignment horizontal="center"/>
    </xf>
    <xf numFmtId="0" fontId="0" fillId="0" borderId="26" xfId="0" applyBorder="1" applyAlignment="1">
      <alignment horizontal="center"/>
    </xf>
    <xf numFmtId="0" fontId="0" fillId="0" borderId="11" xfId="0" applyBorder="1" applyAlignment="1">
      <alignment horizontal="left"/>
    </xf>
    <xf numFmtId="0" fontId="16" fillId="0" borderId="9" xfId="0" applyFont="1" applyBorder="1" applyAlignment="1">
      <alignment horizontal="left"/>
    </xf>
    <xf numFmtId="2" fontId="0" fillId="0" borderId="9" xfId="0" applyNumberFormat="1" applyBorder="1" applyAlignment="1">
      <alignment horizontal="left"/>
    </xf>
    <xf numFmtId="2" fontId="0" fillId="0" borderId="11" xfId="0" applyNumberFormat="1" applyBorder="1" applyAlignment="1">
      <alignment horizontal="left"/>
    </xf>
    <xf numFmtId="2" fontId="0" fillId="0" borderId="11" xfId="0" applyNumberFormat="1" applyBorder="1" applyAlignment="1">
      <alignment horizontal="left" vertical="center"/>
    </xf>
    <xf numFmtId="2" fontId="0" fillId="0" borderId="5" xfId="0" applyNumberFormat="1" applyBorder="1" applyAlignment="1">
      <alignment horizontal="left"/>
    </xf>
    <xf numFmtId="2" fontId="0" fillId="0" borderId="14" xfId="0" applyNumberFormat="1" applyBorder="1" applyAlignment="1">
      <alignment horizontal="left"/>
    </xf>
    <xf numFmtId="2" fontId="0" fillId="0" borderId="15" xfId="0" applyNumberFormat="1" applyBorder="1" applyAlignment="1">
      <alignment horizontal="left"/>
    </xf>
    <xf numFmtId="2" fontId="16" fillId="0" borderId="5" xfId="0" applyNumberFormat="1" applyFont="1" applyBorder="1" applyAlignment="1">
      <alignment horizontal="left"/>
    </xf>
    <xf numFmtId="164" fontId="0" fillId="0" borderId="5" xfId="0" applyNumberFormat="1" applyBorder="1" applyAlignment="1">
      <alignment horizontal="left"/>
    </xf>
    <xf numFmtId="0" fontId="0" fillId="0" borderId="0" xfId="0" applyAlignment="1">
      <alignment horizontal="left" wrapText="1"/>
    </xf>
    <xf numFmtId="0" fontId="3" fillId="0" borderId="4" xfId="0" applyFont="1" applyBorder="1" applyAlignment="1">
      <alignment horizontal="center"/>
    </xf>
  </cellXfs>
  <cellStyles count="3">
    <cellStyle name="Normal" xfId="0" builtinId="0"/>
    <cellStyle name="Normal 13" xfId="2" xr:uid="{FE0C6897-CC1C-492F-9CCD-4808B9CB438E}"/>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9.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SDS Max Mass Data for Ink B and C</a:t>
            </a:r>
          </a:p>
        </c:rich>
      </c:tx>
      <c:layout>
        <c:manualLayout>
          <c:xMode val="edge"/>
          <c:yMode val="edge"/>
          <c:x val="0.11984475393022301"/>
          <c:y val="2.143815107481942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'Sample Info and Data Narrative'!$P$7</c:f>
              <c:strCache>
                <c:ptCount val="1"/>
                <c:pt idx="0">
                  <c:v>Water </c:v>
                </c:pt>
              </c:strCache>
            </c:strRef>
          </c:tx>
          <c:spPr>
            <a:solidFill>
              <a:schemeClr val="accent1"/>
            </a:solidFill>
            <a:ln>
              <a:noFill/>
            </a:ln>
            <a:effectLst/>
          </c:spPr>
          <c:invertIfNegative val="0"/>
          <c:cat>
            <c:strRef>
              <c:f>'Sample Info and Data Narrative'!$Q$5:$R$5</c:f>
              <c:strCache>
                <c:ptCount val="2"/>
                <c:pt idx="0">
                  <c:v>Ink B</c:v>
                </c:pt>
                <c:pt idx="1">
                  <c:v>Ink C</c:v>
                </c:pt>
              </c:strCache>
            </c:strRef>
          </c:cat>
          <c:val>
            <c:numRef>
              <c:f>'Sample Info and Data Narrative'!$Q$7:$R$7</c:f>
              <c:numCache>
                <c:formatCode>0.00</c:formatCode>
                <c:ptCount val="2"/>
                <c:pt idx="0" formatCode="0.00E+00">
                  <c:v>3.5838769000000004</c:v>
                </c:pt>
                <c:pt idx="1">
                  <c:v>5.0039046000000003</c:v>
                </c:pt>
              </c:numCache>
            </c:numRef>
          </c:val>
          <c:extLst>
            <c:ext xmlns:c16="http://schemas.microsoft.com/office/drawing/2014/chart" uri="{C3380CC4-5D6E-409C-BE32-E72D297353CC}">
              <c16:uniqueId val="{00000000-C8FF-4E7A-9164-DE8E08B3CE6A}"/>
            </c:ext>
          </c:extLst>
        </c:ser>
        <c:ser>
          <c:idx val="1"/>
          <c:order val="1"/>
          <c:tx>
            <c:strRef>
              <c:f>'Sample Info and Data Narrative'!$P$8</c:f>
              <c:strCache>
                <c:ptCount val="1"/>
                <c:pt idx="0">
                  <c:v>Carbon black </c:v>
                </c:pt>
              </c:strCache>
            </c:strRef>
          </c:tx>
          <c:spPr>
            <a:solidFill>
              <a:schemeClr val="accent2"/>
            </a:solidFill>
            <a:ln>
              <a:noFill/>
            </a:ln>
            <a:effectLst/>
          </c:spPr>
          <c:invertIfNegative val="0"/>
          <c:cat>
            <c:strRef>
              <c:f>'Sample Info and Data Narrative'!$Q$5:$R$5</c:f>
              <c:strCache>
                <c:ptCount val="2"/>
                <c:pt idx="0">
                  <c:v>Ink B</c:v>
                </c:pt>
                <c:pt idx="1">
                  <c:v>Ink C</c:v>
                </c:pt>
              </c:strCache>
            </c:strRef>
          </c:cat>
          <c:val>
            <c:numRef>
              <c:f>'Sample Info and Data Narrative'!$Q$8:$R$8</c:f>
              <c:numCache>
                <c:formatCode>0.00</c:formatCode>
                <c:ptCount val="2"/>
                <c:pt idx="0" formatCode="0.00E+00">
                  <c:v>0.48141630000000002</c:v>
                </c:pt>
                <c:pt idx="1">
                  <c:v>0.43243620000000005</c:v>
                </c:pt>
              </c:numCache>
            </c:numRef>
          </c:val>
          <c:extLst>
            <c:ext xmlns:c16="http://schemas.microsoft.com/office/drawing/2014/chart" uri="{C3380CC4-5D6E-409C-BE32-E72D297353CC}">
              <c16:uniqueId val="{00000001-C8FF-4E7A-9164-DE8E08B3CE6A}"/>
            </c:ext>
          </c:extLst>
        </c:ser>
        <c:ser>
          <c:idx val="2"/>
          <c:order val="2"/>
          <c:tx>
            <c:strRef>
              <c:f>'Sample Info and Data Narrative'!$P$9</c:f>
              <c:strCache>
                <c:ptCount val="1"/>
                <c:pt idx="0">
                  <c:v>Glycerol </c:v>
                </c:pt>
              </c:strCache>
            </c:strRef>
          </c:tx>
          <c:spPr>
            <a:solidFill>
              <a:schemeClr val="accent3"/>
            </a:solidFill>
            <a:ln>
              <a:noFill/>
            </a:ln>
            <a:effectLst/>
          </c:spPr>
          <c:invertIfNegative val="0"/>
          <c:cat>
            <c:strRef>
              <c:f>'Sample Info and Data Narrative'!$Q$5:$R$5</c:f>
              <c:strCache>
                <c:ptCount val="2"/>
                <c:pt idx="0">
                  <c:v>Ink B</c:v>
                </c:pt>
                <c:pt idx="1">
                  <c:v>Ink C</c:v>
                </c:pt>
              </c:strCache>
            </c:strRef>
          </c:cat>
          <c:val>
            <c:numRef>
              <c:f>'Sample Info and Data Narrative'!$Q$9:$R$9</c:f>
              <c:numCache>
                <c:formatCode>0.00</c:formatCode>
                <c:ptCount val="2"/>
                <c:pt idx="0" formatCode="0.00E+00">
                  <c:v>0.80236050000000003</c:v>
                </c:pt>
                <c:pt idx="1">
                  <c:v>0.43243620000000005</c:v>
                </c:pt>
              </c:numCache>
            </c:numRef>
          </c:val>
          <c:extLst>
            <c:ext xmlns:c16="http://schemas.microsoft.com/office/drawing/2014/chart" uri="{C3380CC4-5D6E-409C-BE32-E72D297353CC}">
              <c16:uniqueId val="{00000002-C8FF-4E7A-9164-DE8E08B3CE6A}"/>
            </c:ext>
          </c:extLst>
        </c:ser>
        <c:ser>
          <c:idx val="3"/>
          <c:order val="3"/>
          <c:tx>
            <c:strRef>
              <c:f>'Sample Info and Data Narrative'!$P$10</c:f>
              <c:strCache>
                <c:ptCount val="1"/>
                <c:pt idx="0">
                  <c:v>Diethylene glycol </c:v>
                </c:pt>
              </c:strCache>
            </c:strRef>
          </c:tx>
          <c:spPr>
            <a:solidFill>
              <a:schemeClr val="accent4"/>
            </a:solidFill>
            <a:ln>
              <a:noFill/>
            </a:ln>
            <a:effectLst/>
          </c:spPr>
          <c:invertIfNegative val="0"/>
          <c:cat>
            <c:strRef>
              <c:f>'Sample Info and Data Narrative'!$Q$5:$R$5</c:f>
              <c:strCache>
                <c:ptCount val="2"/>
                <c:pt idx="0">
                  <c:v>Ink B</c:v>
                </c:pt>
                <c:pt idx="1">
                  <c:v>Ink C</c:v>
                </c:pt>
              </c:strCache>
            </c:strRef>
          </c:cat>
          <c:val>
            <c:numRef>
              <c:f>'Sample Info and Data Narrative'!$Q$10:$R$10</c:f>
              <c:numCache>
                <c:formatCode>0.00</c:formatCode>
                <c:ptCount val="2"/>
                <c:pt idx="0" formatCode="0.00E+00">
                  <c:v>0.48141630000000002</c:v>
                </c:pt>
              </c:numCache>
            </c:numRef>
          </c:val>
          <c:extLst>
            <c:ext xmlns:c16="http://schemas.microsoft.com/office/drawing/2014/chart" uri="{C3380CC4-5D6E-409C-BE32-E72D297353CC}">
              <c16:uniqueId val="{00000003-C8FF-4E7A-9164-DE8E08B3CE6A}"/>
            </c:ext>
          </c:extLst>
        </c:ser>
        <c:ser>
          <c:idx val="4"/>
          <c:order val="4"/>
          <c:tx>
            <c:strRef>
              <c:f>'Sample Info and Data Narrative'!$P$11</c:f>
              <c:strCache>
                <c:ptCount val="1"/>
                <c:pt idx="0">
                  <c:v>TGME </c:v>
                </c:pt>
              </c:strCache>
            </c:strRef>
          </c:tx>
          <c:spPr>
            <a:solidFill>
              <a:schemeClr val="accent5"/>
            </a:solidFill>
            <a:ln>
              <a:noFill/>
            </a:ln>
            <a:effectLst/>
          </c:spPr>
          <c:invertIfNegative val="0"/>
          <c:cat>
            <c:strRef>
              <c:f>'Sample Info and Data Narrative'!$Q$5:$R$5</c:f>
              <c:strCache>
                <c:ptCount val="2"/>
                <c:pt idx="0">
                  <c:v>Ink B</c:v>
                </c:pt>
                <c:pt idx="1">
                  <c:v>Ink C</c:v>
                </c:pt>
              </c:strCache>
            </c:strRef>
          </c:cat>
          <c:val>
            <c:numRef>
              <c:f>'Sample Info and Data Narrative'!$Q$11:$R$11</c:f>
              <c:numCache>
                <c:formatCode>0.00</c:formatCode>
                <c:ptCount val="2"/>
                <c:pt idx="1">
                  <c:v>0.30888300000000002</c:v>
                </c:pt>
              </c:numCache>
            </c:numRef>
          </c:val>
          <c:extLst>
            <c:ext xmlns:c16="http://schemas.microsoft.com/office/drawing/2014/chart" uri="{C3380CC4-5D6E-409C-BE32-E72D297353CC}">
              <c16:uniqueId val="{00000004-C8FF-4E7A-9164-DE8E08B3CE6A}"/>
            </c:ext>
          </c:extLst>
        </c:ser>
        <c:dLbls>
          <c:showLegendKey val="0"/>
          <c:showVal val="0"/>
          <c:showCatName val="0"/>
          <c:showSerName val="0"/>
          <c:showPercent val="0"/>
          <c:showBubbleSize val="0"/>
        </c:dLbls>
        <c:gapWidth val="150"/>
        <c:overlap val="100"/>
        <c:axId val="919639328"/>
        <c:axId val="913197472"/>
      </c:barChart>
      <c:catAx>
        <c:axId val="91963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913197472"/>
        <c:crosses val="autoZero"/>
        <c:auto val="1"/>
        <c:lblAlgn val="ctr"/>
        <c:lblOffset val="100"/>
        <c:noMultiLvlLbl val="0"/>
      </c:catAx>
      <c:valAx>
        <c:axId val="913197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Mass (g)</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919639328"/>
        <c:crosses val="autoZero"/>
        <c:crossBetween val="between"/>
      </c:valAx>
      <c:spPr>
        <a:noFill/>
        <a:ln>
          <a:solidFill>
            <a:schemeClr val="tx1"/>
          </a:solidFill>
        </a:ln>
        <a:effectLst/>
      </c:spPr>
    </c:plotArea>
    <c:legend>
      <c:legendPos val="b"/>
      <c:layout>
        <c:manualLayout>
          <c:xMode val="edge"/>
          <c:yMode val="edge"/>
          <c:x val="6.5526578399313098E-2"/>
          <c:y val="0.87558783041633437"/>
          <c:w val="0.88233709055700693"/>
          <c:h val="0.12441216958366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T2-3-Pentanone (VOC)</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456916467494627"/>
          <c:y val="0.20086308113020485"/>
          <c:w val="0.72120096999695626"/>
          <c:h val="0.53094408693959549"/>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'!$Y$139:$Y$150</c:f>
              <c:numCache>
                <c:formatCode>0.00</c:formatCode>
                <c:ptCount val="12"/>
                <c:pt idx="0">
                  <c:v>0.31402777775656432</c:v>
                </c:pt>
                <c:pt idx="1">
                  <c:v>1.3222222222248092</c:v>
                </c:pt>
                <c:pt idx="2">
                  <c:v>2.4509722223156132</c:v>
                </c:pt>
                <c:pt idx="3">
                  <c:v>3.6791666665230878</c:v>
                </c:pt>
                <c:pt idx="4">
                  <c:v>4.7030555555247702</c:v>
                </c:pt>
                <c:pt idx="5">
                  <c:v>5.7769444443401881</c:v>
                </c:pt>
                <c:pt idx="6">
                  <c:v>6.9502777777961455</c:v>
                </c:pt>
                <c:pt idx="7">
                  <c:v>24.107777777651791</c:v>
                </c:pt>
                <c:pt idx="8">
                  <c:v>48.246666666702367</c:v>
                </c:pt>
                <c:pt idx="9">
                  <c:v>72.191388888924848</c:v>
                </c:pt>
                <c:pt idx="10">
                  <c:v>96.344722222303972</c:v>
                </c:pt>
                <c:pt idx="11">
                  <c:v>168.29944444441935</c:v>
                </c:pt>
              </c:numCache>
            </c:numRef>
          </c:xVal>
          <c:yVal>
            <c:numRef>
              <c:f>'Time-Int. Data by Analyte '!$Z$139:$Z$150</c:f>
              <c:numCache>
                <c:formatCode>0.00</c:formatCode>
                <c:ptCount val="12"/>
                <c:pt idx="0">
                  <c:v>21430.425119733289</c:v>
                </c:pt>
                <c:pt idx="1">
                  <c:v>14391.335592621252</c:v>
                </c:pt>
                <c:pt idx="2">
                  <c:v>14903.218932254047</c:v>
                </c:pt>
                <c:pt idx="3">
                  <c:v>0</c:v>
                </c:pt>
                <c:pt idx="4">
                  <c:v>12228.071731619548</c:v>
                </c:pt>
                <c:pt idx="5">
                  <c:v>11978.336748003647</c:v>
                </c:pt>
                <c:pt idx="6">
                  <c:v>0</c:v>
                </c:pt>
                <c:pt idx="7">
                  <c:v>6291.0325296223336</c:v>
                </c:pt>
                <c:pt idx="8">
                  <c:v>13901.205530682631</c:v>
                </c:pt>
                <c:pt idx="9">
                  <c:v>15499.37804618985</c:v>
                </c:pt>
                <c:pt idx="10">
                  <c:v>13877.127877519069</c:v>
                </c:pt>
                <c:pt idx="11">
                  <c:v>13556.07210265032</c:v>
                </c:pt>
              </c:numCache>
            </c:numRef>
          </c:yVal>
          <c:smooth val="0"/>
          <c:extLst>
            <c:ext xmlns:c16="http://schemas.microsoft.com/office/drawing/2014/chart" uri="{C3380CC4-5D6E-409C-BE32-E72D297353CC}">
              <c16:uniqueId val="{00000000-B95A-4DDB-96B6-41EBE2CB441D}"/>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44815644490216583"/>
          <c:y val="0.16369488321500614"/>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Ethanol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456916467494627"/>
          <c:y val="0.20086308113020485"/>
          <c:w val="0.72120096999695626"/>
          <c:h val="0.53094408693959549"/>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'!$Y$157:$Y$167</c:f>
              <c:numCache>
                <c:formatCode>0.00</c:formatCode>
                <c:ptCount val="11"/>
                <c:pt idx="0">
                  <c:v>0.31402777775656432</c:v>
                </c:pt>
                <c:pt idx="1">
                  <c:v>1.3222222222248092</c:v>
                </c:pt>
                <c:pt idx="2">
                  <c:v>2.4509722223156132</c:v>
                </c:pt>
                <c:pt idx="3">
                  <c:v>3.6791666665230878</c:v>
                </c:pt>
                <c:pt idx="4">
                  <c:v>4.7030555555247702</c:v>
                </c:pt>
                <c:pt idx="5">
                  <c:v>5.7769444443401881</c:v>
                </c:pt>
                <c:pt idx="6">
                  <c:v>6.9502777777961455</c:v>
                </c:pt>
                <c:pt idx="7">
                  <c:v>48.246666666702367</c:v>
                </c:pt>
                <c:pt idx="8">
                  <c:v>72.191388888924848</c:v>
                </c:pt>
                <c:pt idx="9">
                  <c:v>96.344722222303972</c:v>
                </c:pt>
                <c:pt idx="10">
                  <c:v>168.29944444441935</c:v>
                </c:pt>
              </c:numCache>
            </c:numRef>
          </c:xVal>
          <c:yVal>
            <c:numRef>
              <c:f>'Time-Int. Data by Analyte '!$Z$157:$Z$167</c:f>
              <c:numCache>
                <c:formatCode>0.00</c:formatCode>
                <c:ptCount val="11"/>
                <c:pt idx="0">
                  <c:v>10399.479194071331</c:v>
                </c:pt>
                <c:pt idx="1">
                  <c:v>3310.0722675905572</c:v>
                </c:pt>
                <c:pt idx="2">
                  <c:v>1777.8037577042085</c:v>
                </c:pt>
                <c:pt idx="3">
                  <c:v>0</c:v>
                </c:pt>
                <c:pt idx="4">
                  <c:v>0</c:v>
                </c:pt>
                <c:pt idx="5">
                  <c:v>0</c:v>
                </c:pt>
                <c:pt idx="6">
                  <c:v>0</c:v>
                </c:pt>
                <c:pt idx="7">
                  <c:v>0</c:v>
                </c:pt>
                <c:pt idx="8">
                  <c:v>945.05481872087989</c:v>
                </c:pt>
                <c:pt idx="9">
                  <c:v>0</c:v>
                </c:pt>
                <c:pt idx="10">
                  <c:v>1172.0842278432845</c:v>
                </c:pt>
              </c:numCache>
            </c:numRef>
          </c:yVal>
          <c:smooth val="0"/>
          <c:extLst>
            <c:ext xmlns:c16="http://schemas.microsoft.com/office/drawing/2014/chart" uri="{C3380CC4-5D6E-409C-BE32-E72D297353CC}">
              <c16:uniqueId val="{00000000-1E0E-4047-A624-A62CF5803502}"/>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3053630988600797"/>
          <c:y val="0.25816939441303105"/>
          <c:w val="0.41002893773634008"/>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Isopropyl Alcohol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456916467494627"/>
          <c:y val="0.20086308113020485"/>
          <c:w val="0.72120096999695626"/>
          <c:h val="0.53094408693959549"/>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'!$Y$174:$Y$178</c:f>
              <c:numCache>
                <c:formatCode>0.00</c:formatCode>
                <c:ptCount val="5"/>
                <c:pt idx="0">
                  <c:v>0.31402777775656432</c:v>
                </c:pt>
                <c:pt idx="1">
                  <c:v>1.3222222222248092</c:v>
                </c:pt>
                <c:pt idx="2">
                  <c:v>2.4509722223156132</c:v>
                </c:pt>
                <c:pt idx="3">
                  <c:v>3.6791666665230878</c:v>
                </c:pt>
                <c:pt idx="4">
                  <c:v>4.7030555555247702</c:v>
                </c:pt>
              </c:numCache>
            </c:numRef>
          </c:xVal>
          <c:yVal>
            <c:numRef>
              <c:f>'Time-Int. Data by Analyte '!$Z$174:$Z$178</c:f>
              <c:numCache>
                <c:formatCode>0.00</c:formatCode>
                <c:ptCount val="5"/>
                <c:pt idx="0">
                  <c:v>71624.8519345198</c:v>
                </c:pt>
                <c:pt idx="1">
                  <c:v>41539.789952251813</c:v>
                </c:pt>
                <c:pt idx="2">
                  <c:v>3756.9660615863154</c:v>
                </c:pt>
                <c:pt idx="3">
                  <c:v>0</c:v>
                </c:pt>
                <c:pt idx="4">
                  <c:v>336.99900638849749</c:v>
                </c:pt>
              </c:numCache>
            </c:numRef>
          </c:yVal>
          <c:smooth val="0"/>
          <c:extLst>
            <c:ext xmlns:c16="http://schemas.microsoft.com/office/drawing/2014/chart" uri="{C3380CC4-5D6E-409C-BE32-E72D297353CC}">
              <c16:uniqueId val="{00000000-4D9D-46D0-B19F-5AD59FBFC885}"/>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Total SVOCs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8927496417343057"/>
          <c:y val="0.22185739324206322"/>
          <c:w val="0.74649504224237351"/>
          <c:h val="0.50994977482773707"/>
        </c:manualLayout>
      </c:layout>
      <c:scatterChart>
        <c:scatterStyle val="lineMarker"/>
        <c:varyColors val="0"/>
        <c:ser>
          <c:idx val="0"/>
          <c:order val="0"/>
          <c:tx>
            <c:strRef>
              <c:f>'Time-Int. Data by Analyte '!$AB$194</c:f>
              <c:strCache>
                <c:ptCount val="1"/>
              </c:strCache>
            </c:strRef>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'!$Y$193:$Y$204</c:f>
              <c:numCache>
                <c:formatCode>0.00</c:formatCode>
                <c:ptCount val="12"/>
                <c:pt idx="0" formatCode="General">
                  <c:v>0.1</c:v>
                </c:pt>
                <c:pt idx="1">
                  <c:v>0.99722222222222223</c:v>
                </c:pt>
                <c:pt idx="2">
                  <c:v>2.1288888888888891</c:v>
                </c:pt>
                <c:pt idx="3">
                  <c:v>3.339722222222222</c:v>
                </c:pt>
                <c:pt idx="4">
                  <c:v>4.3736111111111109</c:v>
                </c:pt>
                <c:pt idx="5">
                  <c:v>5.4625000000000004</c:v>
                </c:pt>
                <c:pt idx="6">
                  <c:v>6.6330555555555559</c:v>
                </c:pt>
                <c:pt idx="7">
                  <c:v>24.33111111111111</c:v>
                </c:pt>
                <c:pt idx="8">
                  <c:v>48.563055555555557</c:v>
                </c:pt>
                <c:pt idx="9">
                  <c:v>72.413888888888891</c:v>
                </c:pt>
                <c:pt idx="10">
                  <c:v>96.575555555555553</c:v>
                </c:pt>
                <c:pt idx="11">
                  <c:v>168.52055555555555</c:v>
                </c:pt>
              </c:numCache>
            </c:numRef>
          </c:xVal>
          <c:yVal>
            <c:numRef>
              <c:f>'Time-Int. Data by Analyte '!$Z$193:$Z$204</c:f>
              <c:numCache>
                <c:formatCode>0.0</c:formatCode>
                <c:ptCount val="12"/>
                <c:pt idx="0">
                  <c:v>82821.5</c:v>
                </c:pt>
                <c:pt idx="1">
                  <c:v>144415.71523286626</c:v>
                </c:pt>
                <c:pt idx="2">
                  <c:v>195956.59641114032</c:v>
                </c:pt>
                <c:pt idx="3">
                  <c:v>288551.0937378268</c:v>
                </c:pt>
                <c:pt idx="4">
                  <c:v>86272.670378814379</c:v>
                </c:pt>
                <c:pt idx="5">
                  <c:v>72812.276532965174</c:v>
                </c:pt>
                <c:pt idx="6">
                  <c:v>62786.573529679641</c:v>
                </c:pt>
                <c:pt idx="7">
                  <c:v>10813.474172701268</c:v>
                </c:pt>
                <c:pt idx="8">
                  <c:v>8926.271590860315</c:v>
                </c:pt>
                <c:pt idx="9">
                  <c:v>9144.1000120403696</c:v>
                </c:pt>
                <c:pt idx="10">
                  <c:v>10266.558984085741</c:v>
                </c:pt>
                <c:pt idx="11">
                  <c:v>7931.7868647734513</c:v>
                </c:pt>
              </c:numCache>
            </c:numRef>
          </c:yVal>
          <c:smooth val="0"/>
          <c:extLst>
            <c:ext xmlns:c16="http://schemas.microsoft.com/office/drawing/2014/chart" uri="{C3380CC4-5D6E-409C-BE32-E72D297353CC}">
              <c16:uniqueId val="{00000000-DD3F-42C5-B6C9-33EC728E4A39}"/>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2691699628442998E-2"/>
              <c:y val="0.158874456906488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45464990895954044"/>
          <c:y val="0.2214292415226165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 Acetaldehyde (DNPH)</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8625528149840734"/>
          <c:y val="0.20086295095466009"/>
          <c:w val="0.74951507325467781"/>
          <c:h val="0.53094416139159073"/>
        </c:manualLayout>
      </c:layout>
      <c:scatterChart>
        <c:scatterStyle val="lineMarker"/>
        <c:varyColors val="0"/>
        <c:ser>
          <c:idx val="0"/>
          <c:order val="0"/>
          <c:tx>
            <c:v>Experimental</c:v>
          </c:tx>
          <c:spPr>
            <a:ln w="19050" cap="rnd">
              <a:noFill/>
              <a:round/>
            </a:ln>
            <a:effectLst/>
          </c:spPr>
          <c:marker>
            <c:symbol val="circle"/>
            <c:size val="5"/>
            <c:spPr>
              <a:solidFill>
                <a:schemeClr val="accent1"/>
              </a:solidFill>
              <a:ln w="25400">
                <a:solidFill>
                  <a:srgbClr val="3333FF"/>
                </a:solidFill>
              </a:ln>
              <a:effectLst/>
            </c:spPr>
          </c:marker>
          <c:xVal>
            <c:numLit>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Lit>
          </c:xVal>
          <c:yVal>
            <c:numLit>
              <c:formatCode>0.000</c:formatCode>
              <c:ptCount val="12"/>
              <c:pt idx="0">
                <c:v>1415.9132955157536</c:v>
              </c:pt>
              <c:pt idx="1">
                <c:v>454.83999041466927</c:v>
              </c:pt>
              <c:pt idx="2">
                <c:v>425.85641854355242</c:v>
              </c:pt>
              <c:pt idx="3">
                <c:v>243.81340075207407</c:v>
              </c:pt>
              <c:pt idx="4">
                <c:v>172.48071560121724</c:v>
              </c:pt>
              <c:pt idx="5">
                <c:v>135.57725599579356</c:v>
              </c:pt>
              <c:pt idx="6">
                <c:v>126.9534077231875</c:v>
              </c:pt>
              <c:pt idx="7">
                <c:v>42.174382290371085</c:v>
              </c:pt>
              <c:pt idx="8">
                <c:v>23.761329508212327</c:v>
              </c:pt>
              <c:pt idx="9">
                <c:v>19.014990339567017</c:v>
              </c:pt>
              <c:pt idx="10">
                <c:v>15.682626036065921</c:v>
              </c:pt>
              <c:pt idx="11">
                <c:v>10.134322479632733</c:v>
              </c:pt>
            </c:numLit>
          </c:yVal>
          <c:smooth val="0"/>
          <c:extLst>
            <c:ext xmlns:c16="http://schemas.microsoft.com/office/drawing/2014/chart" uri="{C3380CC4-5D6E-409C-BE32-E72D297353CC}">
              <c16:uniqueId val="{00000000-A8FE-4B18-B560-4D41A7A68CFE}"/>
            </c:ext>
          </c:extLst>
        </c:ser>
        <c:ser>
          <c:idx val="1"/>
          <c:order val="1"/>
          <c:tx>
            <c:v>1st order</c:v>
          </c:tx>
          <c:spPr>
            <a:ln w="12700" cap="rnd">
              <a:solidFill>
                <a:srgbClr val="FFC000"/>
              </a:solidFill>
              <a:round/>
            </a:ln>
            <a:effectLst/>
          </c:spPr>
          <c:marker>
            <c:symbol val="none"/>
          </c:marker>
          <c:xVal>
            <c:numRef>
              <c:f>'Time-Int. Data by Analyte '!$M$36:$M$47</c:f>
              <c:numCache>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Cache>
            </c:numRef>
          </c:xVal>
          <c:yVal>
            <c:numRef>
              <c:f>'Time-Int. Data by Analyte '!$P$36:$P$47</c:f>
              <c:numCache>
                <c:formatCode>0.000</c:formatCode>
                <c:ptCount val="12"/>
                <c:pt idx="0">
                  <c:v>1340.347</c:v>
                </c:pt>
                <c:pt idx="1">
                  <c:v>682.08100000000002</c:v>
                </c:pt>
                <c:pt idx="2">
                  <c:v>344.83100000000002</c:v>
                </c:pt>
                <c:pt idx="3">
                  <c:v>177.79600000000002</c:v>
                </c:pt>
                <c:pt idx="4">
                  <c:v>92.882999999999996</c:v>
                </c:pt>
                <c:pt idx="5">
                  <c:v>44.557000000000002</c:v>
                </c:pt>
                <c:pt idx="6">
                  <c:v>21.943000000000001</c:v>
                </c:pt>
                <c:pt idx="7">
                  <c:v>5.3000000000000001E-5</c:v>
                </c:pt>
                <c:pt idx="8">
                  <c:v>4.6700000000000001E-12</c:v>
                </c:pt>
                <c:pt idx="9">
                  <c:v>6.8999999999999999E-19</c:v>
                </c:pt>
                <c:pt idx="10">
                  <c:v>1.01E-25</c:v>
                </c:pt>
                <c:pt idx="11">
                  <c:v>3.0600000000000002E-46</c:v>
                </c:pt>
              </c:numCache>
            </c:numRef>
          </c:yVal>
          <c:smooth val="0"/>
          <c:extLst>
            <c:ext xmlns:c16="http://schemas.microsoft.com/office/drawing/2014/chart" uri="{C3380CC4-5D6E-409C-BE32-E72D297353CC}">
              <c16:uniqueId val="{00000001-A8FE-4B18-B560-4D41A7A68CFE}"/>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9.0561481183336692E-3"/>
              <c:y val="0.1798687690183464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T4- 2-Butanone (DNPH)</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45717700422773"/>
          <c:y val="0.22710597127002777"/>
          <c:w val="0.71119844605645144"/>
          <c:h val="0.50470119679977254"/>
        </c:manualLayout>
      </c:layout>
      <c:scatterChart>
        <c:scatterStyle val="lineMarker"/>
        <c:varyColors val="0"/>
        <c:ser>
          <c:idx val="0"/>
          <c:order val="0"/>
          <c:tx>
            <c:v>Experimental</c:v>
          </c:tx>
          <c:spPr>
            <a:ln w="25400" cap="rnd">
              <a:noFill/>
              <a:round/>
            </a:ln>
            <a:effectLst/>
          </c:spPr>
          <c:marker>
            <c:symbol val="circle"/>
            <c:size val="5"/>
            <c:spPr>
              <a:solidFill>
                <a:schemeClr val="accent1"/>
              </a:solidFill>
              <a:ln w="25400">
                <a:solidFill>
                  <a:srgbClr val="3333FF"/>
                </a:solidFill>
              </a:ln>
              <a:effectLst/>
            </c:spPr>
          </c:marker>
          <c:xVal>
            <c:numRef>
              <c:f>'Time-Int. Data by Analyte '!$M$91:$M$102</c:f>
              <c:numCache>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Cache>
            </c:numRef>
          </c:xVal>
          <c:yVal>
            <c:numRef>
              <c:f>'Time-Int. Data by Analyte '!$N$91:$N$102</c:f>
              <c:numCache>
                <c:formatCode>0.000</c:formatCode>
                <c:ptCount val="12"/>
                <c:pt idx="0">
                  <c:v>9345.9812568079378</c:v>
                </c:pt>
                <c:pt idx="1">
                  <c:v>384.73354351017957</c:v>
                </c:pt>
                <c:pt idx="2">
                  <c:v>72.673299660280435</c:v>
                </c:pt>
                <c:pt idx="3">
                  <c:v>509.5023592347469</c:v>
                </c:pt>
                <c:pt idx="4">
                  <c:v>466.29821679545199</c:v>
                </c:pt>
                <c:pt idx="5">
                  <c:v>394.95320021370657</c:v>
                </c:pt>
                <c:pt idx="6">
                  <c:v>355.91686938350477</c:v>
                </c:pt>
                <c:pt idx="7">
                  <c:v>62.338828308779661</c:v>
                </c:pt>
                <c:pt idx="8">
                  <c:v>15.901826739756705</c:v>
                </c:pt>
                <c:pt idx="9">
                  <c:v>9.9705447027254621</c:v>
                </c:pt>
                <c:pt idx="10">
                  <c:v>20.82330206977764</c:v>
                </c:pt>
                <c:pt idx="11">
                  <c:v>7.5014233647853157</c:v>
                </c:pt>
              </c:numCache>
            </c:numRef>
          </c:yVal>
          <c:smooth val="0"/>
          <c:extLst>
            <c:ext xmlns:c16="http://schemas.microsoft.com/office/drawing/2014/chart" uri="{C3380CC4-5D6E-409C-BE32-E72D297353CC}">
              <c16:uniqueId val="{00000000-248C-4ED5-B031-C92EB908C996}"/>
            </c:ext>
          </c:extLst>
        </c:ser>
        <c:ser>
          <c:idx val="1"/>
          <c:order val="1"/>
          <c:tx>
            <c:v>1st order</c:v>
          </c:tx>
          <c:spPr>
            <a:ln w="12700" cap="rnd">
              <a:solidFill>
                <a:srgbClr val="FFC000"/>
              </a:solidFill>
              <a:round/>
            </a:ln>
            <a:effectLst/>
          </c:spPr>
          <c:marker>
            <c:symbol val="triangle"/>
            <c:size val="9"/>
            <c:spPr>
              <a:noFill/>
              <a:ln w="9525">
                <a:noFill/>
              </a:ln>
              <a:effectLst/>
            </c:spPr>
          </c:marker>
          <c:xVal>
            <c:numRef>
              <c:f>'Time-Int. Data by Analyte '!$M$91:$M$102</c:f>
              <c:numCache>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Cache>
            </c:numRef>
          </c:xVal>
          <c:yVal>
            <c:numRef>
              <c:f>'Time-Int. Data by Analyte '!$P$91:$P$102</c:f>
              <c:numCache>
                <c:formatCode>0.000</c:formatCode>
                <c:ptCount val="12"/>
                <c:pt idx="0">
                  <c:v>9344.8209999999999</c:v>
                </c:pt>
                <c:pt idx="1">
                  <c:v>391.54899999999998</c:v>
                </c:pt>
                <c:pt idx="2">
                  <c:v>15.907999999999998</c:v>
                </c:pt>
                <c:pt idx="3">
                  <c:v>0.70899999999999996</c:v>
                </c:pt>
                <c:pt idx="4">
                  <c:v>3.3599999999999998E-2</c:v>
                </c:pt>
                <c:pt idx="5">
                  <c:v>1.07E-3</c:v>
                </c:pt>
                <c:pt idx="6">
                  <c:v>3.8299999999999996E-5</c:v>
                </c:pt>
                <c:pt idx="7">
                  <c:v>1.6000000000000001E-31</c:v>
                </c:pt>
                <c:pt idx="8">
                  <c:v>1.18E-64</c:v>
                </c:pt>
                <c:pt idx="9">
                  <c:v>9.9000000000000014E-97</c:v>
                </c:pt>
                <c:pt idx="10">
                  <c:v>7.9999999999999994E-129</c:v>
                </c:pt>
                <c:pt idx="11">
                  <c:v>3.4999999999999997E-225</c:v>
                </c:pt>
              </c:numCache>
            </c:numRef>
          </c:yVal>
          <c:smooth val="0"/>
          <c:extLst>
            <c:ext xmlns:c16="http://schemas.microsoft.com/office/drawing/2014/chart" uri="{C3380CC4-5D6E-409C-BE32-E72D297353CC}">
              <c16:uniqueId val="{00000002-248C-4ED5-B031-C92EB908C996}"/>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3.1900754992907733E-3"/>
              <c:y val="0.1903659250742756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T4- 3-Pentanone (DNPH)</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002618908"/>
          <c:y val="0.21651450537569825"/>
          <c:w val="0.71417640564540796"/>
          <c:h val="0.52044693088366634"/>
        </c:manualLayout>
      </c:layout>
      <c:scatterChart>
        <c:scatterStyle val="lineMarker"/>
        <c:varyColors val="0"/>
        <c:ser>
          <c:idx val="0"/>
          <c:order val="0"/>
          <c:tx>
            <c:v>Experimental</c:v>
          </c:tx>
          <c:spPr>
            <a:ln w="25400" cap="rnd">
              <a:noFill/>
              <a:round/>
            </a:ln>
            <a:effectLst/>
          </c:spPr>
          <c:marker>
            <c:symbol val="circle"/>
            <c:size val="5"/>
            <c:spPr>
              <a:solidFill>
                <a:schemeClr val="accent1"/>
              </a:solidFill>
              <a:ln w="25400">
                <a:solidFill>
                  <a:srgbClr val="3333FF"/>
                </a:solidFill>
              </a:ln>
              <a:effectLst/>
            </c:spPr>
          </c:marker>
          <c:xVal>
            <c:numRef>
              <c:f>'Time-Int. Data by Analyte '!$M$110:$M$121</c:f>
              <c:numCache>
                <c:formatCode>0.00</c:formatCode>
                <c:ptCount val="12"/>
                <c:pt idx="0">
                  <c:v>0.71666666655801237</c:v>
                </c:pt>
                <c:pt idx="1">
                  <c:v>1.7562499999185093</c:v>
                </c:pt>
                <c:pt idx="2">
                  <c:v>2.751388888747897</c:v>
                </c:pt>
                <c:pt idx="3">
                  <c:v>3.8333333332557231</c:v>
                </c:pt>
                <c:pt idx="4">
                  <c:v>4.9999999998835847</c:v>
                </c:pt>
                <c:pt idx="5">
                  <c:v>6.1666666665114462</c:v>
                </c:pt>
                <c:pt idx="6">
                  <c:v>7.3333333331393078</c:v>
                </c:pt>
                <c:pt idx="7">
                  <c:v>25.666666666511446</c:v>
                </c:pt>
                <c:pt idx="8">
                  <c:v>49.68333333323244</c:v>
                </c:pt>
                <c:pt idx="9">
                  <c:v>75.549999999871943</c:v>
                </c:pt>
                <c:pt idx="10">
                  <c:v>99.166666666511446</c:v>
                </c:pt>
                <c:pt idx="11">
                  <c:v>172.19999999989523</c:v>
                </c:pt>
              </c:numCache>
            </c:numRef>
          </c:xVal>
          <c:yVal>
            <c:numRef>
              <c:f>'Time-Int. Data by Analyte '!$N$110:$N$121</c:f>
              <c:numCache>
                <c:formatCode>0.00</c:formatCode>
                <c:ptCount val="12"/>
                <c:pt idx="0">
                  <c:v>86917.650889250857</c:v>
                </c:pt>
                <c:pt idx="1">
                  <c:v>108578.56430591333</c:v>
                </c:pt>
                <c:pt idx="2">
                  <c:v>96935.360970346475</c:v>
                </c:pt>
                <c:pt idx="3">
                  <c:v>104447.76306194544</c:v>
                </c:pt>
                <c:pt idx="4">
                  <c:v>112333.72422988748</c:v>
                </c:pt>
                <c:pt idx="5">
                  <c:v>110947.67121206596</c:v>
                </c:pt>
                <c:pt idx="6">
                  <c:v>107368.3952612586</c:v>
                </c:pt>
                <c:pt idx="7">
                  <c:v>29040.107179569779</c:v>
                </c:pt>
                <c:pt idx="8">
                  <c:v>5976.7825751338132</c:v>
                </c:pt>
                <c:pt idx="9">
                  <c:v>4342.2625628269916</c:v>
                </c:pt>
                <c:pt idx="10">
                  <c:v>5386.4033639166237</c:v>
                </c:pt>
                <c:pt idx="11">
                  <c:v>2492.0364226508054</c:v>
                </c:pt>
              </c:numCache>
            </c:numRef>
          </c:yVal>
          <c:smooth val="0"/>
          <c:extLst>
            <c:ext xmlns:c16="http://schemas.microsoft.com/office/drawing/2014/chart" uri="{C3380CC4-5D6E-409C-BE32-E72D297353CC}">
              <c16:uniqueId val="{00000000-316A-4976-87D8-059663F618A1}"/>
            </c:ext>
          </c:extLst>
        </c:ser>
        <c:ser>
          <c:idx val="1"/>
          <c:order val="1"/>
          <c:tx>
            <c:v>1st order</c:v>
          </c:tx>
          <c:spPr>
            <a:ln w="12700" cap="rnd">
              <a:solidFill>
                <a:srgbClr val="FFC000"/>
              </a:solidFill>
              <a:round/>
            </a:ln>
            <a:effectLst/>
          </c:spPr>
          <c:marker>
            <c:symbol val="none"/>
          </c:marker>
          <c:xVal>
            <c:numRef>
              <c:f>'Time-Int. Data by Analyte '!$M$110:$M$121</c:f>
              <c:numCache>
                <c:formatCode>0.00</c:formatCode>
                <c:ptCount val="12"/>
                <c:pt idx="0">
                  <c:v>0.71666666655801237</c:v>
                </c:pt>
                <c:pt idx="1">
                  <c:v>1.7562499999185093</c:v>
                </c:pt>
                <c:pt idx="2">
                  <c:v>2.751388888747897</c:v>
                </c:pt>
                <c:pt idx="3">
                  <c:v>3.8333333332557231</c:v>
                </c:pt>
                <c:pt idx="4">
                  <c:v>4.9999999998835847</c:v>
                </c:pt>
                <c:pt idx="5">
                  <c:v>6.1666666665114462</c:v>
                </c:pt>
                <c:pt idx="6">
                  <c:v>7.3333333331393078</c:v>
                </c:pt>
                <c:pt idx="7">
                  <c:v>25.666666666511446</c:v>
                </c:pt>
                <c:pt idx="8">
                  <c:v>49.68333333323244</c:v>
                </c:pt>
                <c:pt idx="9">
                  <c:v>75.549999999871943</c:v>
                </c:pt>
                <c:pt idx="10">
                  <c:v>99.166666666511446</c:v>
                </c:pt>
                <c:pt idx="11">
                  <c:v>172.19999999989523</c:v>
                </c:pt>
              </c:numCache>
            </c:numRef>
          </c:xVal>
          <c:yVal>
            <c:numRef>
              <c:f>'Time-Int. Data by Analyte '!$P$110:$P$121</c:f>
              <c:numCache>
                <c:formatCode>0.000</c:formatCode>
                <c:ptCount val="12"/>
                <c:pt idx="0">
                  <c:v>109775.5</c:v>
                </c:pt>
                <c:pt idx="1">
                  <c:v>106070.09999999999</c:v>
                </c:pt>
                <c:pt idx="2">
                  <c:v>102455.5</c:v>
                </c:pt>
                <c:pt idx="3">
                  <c:v>99063.17</c:v>
                </c:pt>
                <c:pt idx="4">
                  <c:v>95847.03</c:v>
                </c:pt>
                <c:pt idx="5">
                  <c:v>92334.27</c:v>
                </c:pt>
                <c:pt idx="6">
                  <c:v>89068.95</c:v>
                </c:pt>
                <c:pt idx="7">
                  <c:v>46154.44</c:v>
                </c:pt>
                <c:pt idx="8">
                  <c:v>20210.87</c:v>
                </c:pt>
                <c:pt idx="9">
                  <c:v>9086.4510000000009</c:v>
                </c:pt>
                <c:pt idx="10">
                  <c:v>4083.7469999999998</c:v>
                </c:pt>
                <c:pt idx="11">
                  <c:v>369.86200000000002</c:v>
                </c:pt>
              </c:numCache>
            </c:numRef>
          </c:yVal>
          <c:smooth val="0"/>
          <c:extLst>
            <c:ext xmlns:c16="http://schemas.microsoft.com/office/drawing/2014/chart" uri="{C3380CC4-5D6E-409C-BE32-E72D297353CC}">
              <c16:uniqueId val="{00000001-316A-4976-87D8-059663F618A1}"/>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Acetaldehyde (VOC)</a:t>
            </a:r>
          </a:p>
        </c:rich>
      </c:tx>
      <c:layout>
        <c:manualLayout>
          <c:xMode val="edge"/>
          <c:yMode val="edge"/>
          <c:x val="0.3292791847427492"/>
          <c:y val="3.674004619575212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'!$M$147:$M$158</c:f>
              <c:numCache>
                <c:formatCode>0.00</c:formatCode>
                <c:ptCount val="12"/>
                <c:pt idx="0">
                  <c:v>0</c:v>
                </c:pt>
                <c:pt idx="1">
                  <c:v>0.10902777768205851</c:v>
                </c:pt>
                <c:pt idx="2">
                  <c:v>1.0820833333418705</c:v>
                </c:pt>
                <c:pt idx="3">
                  <c:v>2.1151388888829388</c:v>
                </c:pt>
                <c:pt idx="4">
                  <c:v>4.1686111110029742</c:v>
                </c:pt>
                <c:pt idx="5">
                  <c:v>5.248749999969732</c:v>
                </c:pt>
                <c:pt idx="6">
                  <c:v>6.339444444514811</c:v>
                </c:pt>
                <c:pt idx="7">
                  <c:v>24.679166666697711</c:v>
                </c:pt>
                <c:pt idx="8">
                  <c:v>48.534027777670417</c:v>
                </c:pt>
                <c:pt idx="9">
                  <c:v>72.635138888843358</c:v>
                </c:pt>
                <c:pt idx="10">
                  <c:v>96.680138888885267</c:v>
                </c:pt>
                <c:pt idx="11">
                  <c:v>167.99166666663999</c:v>
                </c:pt>
              </c:numCache>
            </c:numRef>
          </c:xVal>
          <c:yVal>
            <c:numRef>
              <c:f>'Time-Int. Data by Analyte '!$N$148:$N$158</c:f>
              <c:numCache>
                <c:formatCode>0.00</c:formatCode>
                <c:ptCount val="11"/>
                <c:pt idx="0">
                  <c:v>21533.831199616983</c:v>
                </c:pt>
                <c:pt idx="1">
                  <c:v>5878.0647805187255</c:v>
                </c:pt>
                <c:pt idx="2">
                  <c:v>4089.2602087270466</c:v>
                </c:pt>
                <c:pt idx="3">
                  <c:v>2453.1021411131587</c:v>
                </c:pt>
                <c:pt idx="4">
                  <c:v>3778.2543643789031</c:v>
                </c:pt>
                <c:pt idx="5">
                  <c:v>3036.4537602608812</c:v>
                </c:pt>
                <c:pt idx="6">
                  <c:v>2404.6172003306542</c:v>
                </c:pt>
                <c:pt idx="7">
                  <c:v>0</c:v>
                </c:pt>
                <c:pt idx="8">
                  <c:v>0</c:v>
                </c:pt>
                <c:pt idx="9">
                  <c:v>0</c:v>
                </c:pt>
                <c:pt idx="10">
                  <c:v>0</c:v>
                </c:pt>
              </c:numCache>
            </c:numRef>
          </c:yVal>
          <c:smooth val="0"/>
          <c:extLst>
            <c:ext xmlns:c16="http://schemas.microsoft.com/office/drawing/2014/chart" uri="{C3380CC4-5D6E-409C-BE32-E72D297353CC}">
              <c16:uniqueId val="{00000000-3EDA-4E47-9461-8E6D840CD86B}"/>
            </c:ext>
          </c:extLst>
        </c:ser>
        <c:dLbls>
          <c:showLegendKey val="0"/>
          <c:showVal val="0"/>
          <c:showCatName val="0"/>
          <c:showSerName val="0"/>
          <c:showPercent val="0"/>
          <c:showBubbleSize val="0"/>
        </c:dLbls>
        <c:axId val="1805094592"/>
        <c:axId val="1805096256"/>
      </c:scatterChart>
      <c:valAx>
        <c:axId val="1805094592"/>
        <c:scaling>
          <c:orientation val="minMax"/>
          <c:max val="3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6715096584795098"/>
          <c:h val="0.18902567794477257"/>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Methanol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'!$M$165:$M$167</c:f>
              <c:numCache>
                <c:formatCode>0.00</c:formatCode>
                <c:ptCount val="3"/>
                <c:pt idx="0">
                  <c:v>0.10902777768205851</c:v>
                </c:pt>
                <c:pt idx="1">
                  <c:v>1.0820833333418705</c:v>
                </c:pt>
                <c:pt idx="2">
                  <c:v>2.1151388888829388</c:v>
                </c:pt>
              </c:numCache>
            </c:numRef>
          </c:xVal>
          <c:yVal>
            <c:numRef>
              <c:f>'Time-Int. Data by Analyte '!$N$165:$N$167</c:f>
              <c:numCache>
                <c:formatCode>0.00</c:formatCode>
                <c:ptCount val="3"/>
                <c:pt idx="0">
                  <c:v>815146.57517522608</c:v>
                </c:pt>
                <c:pt idx="1">
                  <c:v>88282.378173231962</c:v>
                </c:pt>
                <c:pt idx="2">
                  <c:v>122460.90856023403</c:v>
                </c:pt>
              </c:numCache>
            </c:numRef>
          </c:yVal>
          <c:smooth val="0"/>
          <c:extLst>
            <c:ext xmlns:c16="http://schemas.microsoft.com/office/drawing/2014/chart" uri="{C3380CC4-5D6E-409C-BE32-E72D297353CC}">
              <c16:uniqueId val="{00000000-F534-4C0B-9F2F-0469A4FF49C5}"/>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48118517428618651"/>
          <c:y val="0.25816918102379466"/>
          <c:w val="0.44074430904304851"/>
          <c:h val="0.18902559982543318"/>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T4- 3-Pentanone (VOC)</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'!$M$182:$M$194</c:f>
              <c:numCache>
                <c:formatCode>0.00</c:formatCode>
                <c:ptCount val="13"/>
                <c:pt idx="0">
                  <c:v>0</c:v>
                </c:pt>
                <c:pt idx="1">
                  <c:v>0.10902777768205851</c:v>
                </c:pt>
                <c:pt idx="2">
                  <c:v>1.0820833333418705</c:v>
                </c:pt>
                <c:pt idx="3">
                  <c:v>2.1151388888829388</c:v>
                </c:pt>
                <c:pt idx="4">
                  <c:v>3.1488888887688518</c:v>
                </c:pt>
                <c:pt idx="5">
                  <c:v>4.1686111110029742</c:v>
                </c:pt>
                <c:pt idx="6">
                  <c:v>5.248749999969732</c:v>
                </c:pt>
                <c:pt idx="7">
                  <c:v>6.339444444514811</c:v>
                </c:pt>
                <c:pt idx="8">
                  <c:v>24.679166666697711</c:v>
                </c:pt>
                <c:pt idx="9">
                  <c:v>48.534027777670417</c:v>
                </c:pt>
                <c:pt idx="10">
                  <c:v>72.635138888843358</c:v>
                </c:pt>
                <c:pt idx="11">
                  <c:v>96.680138888885267</c:v>
                </c:pt>
                <c:pt idx="12">
                  <c:v>167.99166666663999</c:v>
                </c:pt>
              </c:numCache>
            </c:numRef>
          </c:xVal>
          <c:yVal>
            <c:numRef>
              <c:f>'Time-Int. Data by Analyte '!$N$182:$N$194</c:f>
              <c:numCache>
                <c:formatCode>0.00</c:formatCode>
                <c:ptCount val="13"/>
                <c:pt idx="0">
                  <c:v>37321.093018026331</c:v>
                </c:pt>
                <c:pt idx="1">
                  <c:v>75324598.675647229</c:v>
                </c:pt>
                <c:pt idx="2">
                  <c:v>80734129.624285728</c:v>
                </c:pt>
                <c:pt idx="3">
                  <c:v>47385132.612279661</c:v>
                </c:pt>
                <c:pt idx="4">
                  <c:v>26793497.45471951</c:v>
                </c:pt>
                <c:pt idx="5">
                  <c:v>625072.62574989931</c:v>
                </c:pt>
                <c:pt idx="6">
                  <c:v>370438.87365695724</c:v>
                </c:pt>
                <c:pt idx="7">
                  <c:v>406657.60653927323</c:v>
                </c:pt>
                <c:pt idx="8">
                  <c:v>147774.1586071373</c:v>
                </c:pt>
                <c:pt idx="9">
                  <c:v>60453.846275709308</c:v>
                </c:pt>
                <c:pt idx="10">
                  <c:v>98000.217251540394</c:v>
                </c:pt>
                <c:pt idx="11">
                  <c:v>108488.61425325008</c:v>
                </c:pt>
                <c:pt idx="12">
                  <c:v>24108.084123219218</c:v>
                </c:pt>
              </c:numCache>
            </c:numRef>
          </c:yVal>
          <c:smooth val="0"/>
          <c:extLst>
            <c:ext xmlns:c16="http://schemas.microsoft.com/office/drawing/2014/chart" uri="{C3380CC4-5D6E-409C-BE32-E72D297353CC}">
              <c16:uniqueId val="{00000000-CA9C-41CF-A774-2FDE3189F7EA}"/>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41194687768322524"/>
          <c:h val="0.2152685680845955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SDS Max Mass Data for Ink 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'Sample Info and Data Narrative'!$N$7</c:f>
              <c:strCache>
                <c:ptCount val="1"/>
                <c:pt idx="0">
                  <c:v>Butanone-79%</c:v>
                </c:pt>
              </c:strCache>
            </c:strRef>
          </c:tx>
          <c:spPr>
            <a:solidFill>
              <a:schemeClr val="accent1"/>
            </a:solidFill>
            <a:ln>
              <a:noFill/>
            </a:ln>
            <a:effectLst/>
          </c:spPr>
          <c:invertIfNegative val="0"/>
          <c:val>
            <c:numRef>
              <c:f>'Sample Info and Data Narrative'!$O$7</c:f>
              <c:numCache>
                <c:formatCode>0.00</c:formatCode>
                <c:ptCount val="1"/>
                <c:pt idx="0">
                  <c:v>3.2112156999999999</c:v>
                </c:pt>
              </c:numCache>
            </c:numRef>
          </c:val>
          <c:extLs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0-C8F6-4A98-BBA5-E9E6636DB4D5}"/>
            </c:ext>
          </c:extLst>
        </c:ser>
        <c:ser>
          <c:idx val="1"/>
          <c:order val="1"/>
          <c:tx>
            <c:strRef>
              <c:f>'Sample Info and Data Narrative'!$N$8</c:f>
              <c:strCache>
                <c:ptCount val="1"/>
                <c:pt idx="0">
                  <c:v>Ethanol-10%</c:v>
                </c:pt>
              </c:strCache>
            </c:strRef>
          </c:tx>
          <c:spPr>
            <a:solidFill>
              <a:schemeClr val="accent2"/>
            </a:solidFill>
            <a:ln>
              <a:noFill/>
            </a:ln>
            <a:effectLst/>
          </c:spPr>
          <c:invertIfNegative val="0"/>
          <c:val>
            <c:numRef>
              <c:f>'Sample Info and Data Narrative'!$O$8</c:f>
              <c:numCache>
                <c:formatCode>0.00</c:formatCode>
                <c:ptCount val="1"/>
                <c:pt idx="0">
                  <c:v>0.40648299999999998</c:v>
                </c:pt>
              </c:numCache>
            </c:numRef>
          </c:val>
          <c:extLs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1-C8F6-4A98-BBA5-E9E6636DB4D5}"/>
            </c:ext>
          </c:extLst>
        </c:ser>
        <c:ser>
          <c:idx val="2"/>
          <c:order val="2"/>
          <c:tx>
            <c:strRef>
              <c:f>'Sample Info and Data Narrative'!$N$9</c:f>
              <c:strCache>
                <c:ptCount val="1"/>
                <c:pt idx="0">
                  <c:v>n-Propyl acetate-10%</c:v>
                </c:pt>
              </c:strCache>
            </c:strRef>
          </c:tx>
          <c:spPr>
            <a:solidFill>
              <a:schemeClr val="accent3"/>
            </a:solidFill>
            <a:ln>
              <a:noFill/>
            </a:ln>
            <a:effectLst/>
          </c:spPr>
          <c:invertIfNegative val="0"/>
          <c:val>
            <c:numRef>
              <c:f>'Sample Info and Data Narrative'!$O$9</c:f>
              <c:numCache>
                <c:formatCode>0.00</c:formatCode>
                <c:ptCount val="1"/>
                <c:pt idx="0">
                  <c:v>0.40648299999999998</c:v>
                </c:pt>
              </c:numCache>
            </c:numRef>
          </c:val>
          <c:extLs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2-C8F6-4A98-BBA5-E9E6636DB4D5}"/>
            </c:ext>
          </c:extLst>
        </c:ser>
        <c:ser>
          <c:idx val="3"/>
          <c:order val="3"/>
          <c:tx>
            <c:strRef>
              <c:f>'Sample Info and Data Narrative'!$N$10</c:f>
              <c:strCache>
                <c:ptCount val="1"/>
                <c:pt idx="0">
                  <c:v>Methanol-0.1%</c:v>
                </c:pt>
              </c:strCache>
            </c:strRef>
          </c:tx>
          <c:spPr>
            <a:solidFill>
              <a:schemeClr val="accent4"/>
            </a:solidFill>
            <a:ln>
              <a:noFill/>
            </a:ln>
            <a:effectLst/>
          </c:spPr>
          <c:invertIfNegative val="0"/>
          <c:val>
            <c:numRef>
              <c:f>'Sample Info and Data Narrative'!$O$10</c:f>
              <c:numCache>
                <c:formatCode>0.00</c:formatCode>
                <c:ptCount val="1"/>
                <c:pt idx="0">
                  <c:v>4.0648299999999998E-2</c:v>
                </c:pt>
              </c:numCache>
            </c:numRef>
          </c:val>
          <c:extLst>
            <c:ext xmlns:c15="http://schemas.microsoft.com/office/drawing/2012/chart" uri="{02D57815-91ED-43cb-92C2-25804820EDAC}">
              <c15:filteredCategoryTitle>
                <c15:cat>
                  <c:strRef>
                    <c:extLst>
                      <c:ext uri="{02D57815-91ED-43cb-92C2-25804820EDAC}">
                        <c15:formulaRef>
                          <c15:sqref>#REF!</c15:sqref>
                        </c15:formulaRef>
                      </c:ext>
                    </c:extLst>
                  </c:strRef>
                </c15:cat>
              </c15:filteredCategoryTitle>
            </c:ext>
            <c:ext xmlns:c16="http://schemas.microsoft.com/office/drawing/2014/chart" uri="{C3380CC4-5D6E-409C-BE32-E72D297353CC}">
              <c16:uniqueId val="{00000003-C8F6-4A98-BBA5-E9E6636DB4D5}"/>
            </c:ext>
          </c:extLst>
        </c:ser>
        <c:dLbls>
          <c:showLegendKey val="0"/>
          <c:showVal val="0"/>
          <c:showCatName val="0"/>
          <c:showSerName val="0"/>
          <c:showPercent val="0"/>
          <c:showBubbleSize val="0"/>
        </c:dLbls>
        <c:gapWidth val="150"/>
        <c:overlap val="100"/>
        <c:axId val="665419184"/>
        <c:axId val="625090496"/>
      </c:barChart>
      <c:catAx>
        <c:axId val="665419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625090496"/>
        <c:crosses val="autoZero"/>
        <c:auto val="1"/>
        <c:lblAlgn val="ctr"/>
        <c:lblOffset val="100"/>
        <c:noMultiLvlLbl val="0"/>
      </c:catAx>
      <c:valAx>
        <c:axId val="625090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Mass</a:t>
                </a:r>
                <a:r>
                  <a:rPr lang="en-US" b="1" baseline="0"/>
                  <a:t> </a:t>
                </a:r>
                <a:r>
                  <a:rPr lang="en-US" b="1"/>
                  <a:t>(g)</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665419184"/>
        <c:crosses val="autoZero"/>
        <c:crossBetween val="between"/>
      </c:valAx>
      <c:spPr>
        <a:noFill/>
        <a:ln>
          <a:solidFill>
            <a:schemeClr val="tx1"/>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Ethanol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434282397236249"/>
          <c:y val="0.21136014983650894"/>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'!$M$200:$M$212</c:f>
              <c:numCache>
                <c:formatCode>0.00</c:formatCode>
                <c:ptCount val="13"/>
                <c:pt idx="0">
                  <c:v>0</c:v>
                </c:pt>
                <c:pt idx="1">
                  <c:v>0.10902777768205851</c:v>
                </c:pt>
                <c:pt idx="2">
                  <c:v>1.0820833333418705</c:v>
                </c:pt>
                <c:pt idx="3">
                  <c:v>2.1151388888829388</c:v>
                </c:pt>
                <c:pt idx="4">
                  <c:v>3.1488888887688518</c:v>
                </c:pt>
                <c:pt idx="5">
                  <c:v>4.1686111110029742</c:v>
                </c:pt>
                <c:pt idx="6">
                  <c:v>5.248749999969732</c:v>
                </c:pt>
                <c:pt idx="7">
                  <c:v>6.339444444514811</c:v>
                </c:pt>
                <c:pt idx="8">
                  <c:v>24.679166666697711</c:v>
                </c:pt>
                <c:pt idx="9">
                  <c:v>48.534027777670417</c:v>
                </c:pt>
                <c:pt idx="10">
                  <c:v>72.635138888843358</c:v>
                </c:pt>
                <c:pt idx="11">
                  <c:v>96.680138888885267</c:v>
                </c:pt>
                <c:pt idx="12">
                  <c:v>167.99166666663999</c:v>
                </c:pt>
              </c:numCache>
            </c:numRef>
          </c:xVal>
          <c:yVal>
            <c:numRef>
              <c:f>'Time-Int. Data by Analyte '!$N$200:$N$212</c:f>
              <c:numCache>
                <c:formatCode>0.00</c:formatCode>
                <c:ptCount val="13"/>
                <c:pt idx="0">
                  <c:v>19935.690131649091</c:v>
                </c:pt>
                <c:pt idx="1">
                  <c:v>57132219.866178468</c:v>
                </c:pt>
                <c:pt idx="2">
                  <c:v>46271393.097553104</c:v>
                </c:pt>
                <c:pt idx="3">
                  <c:v>30623806.072975427</c:v>
                </c:pt>
                <c:pt idx="4">
                  <c:v>68977806.319121465</c:v>
                </c:pt>
                <c:pt idx="5">
                  <c:v>1233766.6802105599</c:v>
                </c:pt>
                <c:pt idx="6">
                  <c:v>3395277.9478191491</c:v>
                </c:pt>
                <c:pt idx="7">
                  <c:v>635433.76746240293</c:v>
                </c:pt>
                <c:pt idx="8">
                  <c:v>88115.443938842873</c:v>
                </c:pt>
                <c:pt idx="9">
                  <c:v>6150.2184512991844</c:v>
                </c:pt>
                <c:pt idx="10">
                  <c:v>39056.362693354269</c:v>
                </c:pt>
                <c:pt idx="11">
                  <c:v>66731.995565351666</c:v>
                </c:pt>
                <c:pt idx="12">
                  <c:v>0</c:v>
                </c:pt>
              </c:numCache>
            </c:numRef>
          </c:yVal>
          <c:smooth val="0"/>
          <c:extLst>
            <c:ext xmlns:c16="http://schemas.microsoft.com/office/drawing/2014/chart" uri="{C3380CC4-5D6E-409C-BE32-E72D297353CC}">
              <c16:uniqueId val="{00000000-FD4E-4FAA-9908-44B5B94D1731}"/>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6715087334572233"/>
          <c:h val="0.18377702396656781"/>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Acetone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'!$M$219:$M$221</c:f>
              <c:numCache>
                <c:formatCode>0.00</c:formatCode>
                <c:ptCount val="3"/>
                <c:pt idx="0">
                  <c:v>0.10902777768205851</c:v>
                </c:pt>
                <c:pt idx="1">
                  <c:v>1.0820833333418705</c:v>
                </c:pt>
                <c:pt idx="2">
                  <c:v>2.1151388888829388</c:v>
                </c:pt>
              </c:numCache>
            </c:numRef>
          </c:xVal>
          <c:yVal>
            <c:numRef>
              <c:f>'Time-Int. Data by Analyte '!$N$219:$N$230</c:f>
              <c:numCache>
                <c:formatCode>0.00</c:formatCode>
                <c:ptCount val="12"/>
                <c:pt idx="0">
                  <c:v>691220.54393564118</c:v>
                </c:pt>
                <c:pt idx="1">
                  <c:v>26085.367946872972</c:v>
                </c:pt>
                <c:pt idx="2">
                  <c:v>26972.582487917967</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1655-4D32-9F7E-85031E54AF5E}"/>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40234773389661749"/>
          <c:h val="0.19427425597273715"/>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Isopropyl Alcohol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'!$M$237:$M$241</c:f>
              <c:numCache>
                <c:formatCode>0.00</c:formatCode>
                <c:ptCount val="5"/>
                <c:pt idx="0">
                  <c:v>0.10902777768205851</c:v>
                </c:pt>
                <c:pt idx="1">
                  <c:v>1.0820833333418705</c:v>
                </c:pt>
                <c:pt idx="2">
                  <c:v>2.1151388888829388</c:v>
                </c:pt>
                <c:pt idx="3">
                  <c:v>3.1488888887688518</c:v>
                </c:pt>
                <c:pt idx="4">
                  <c:v>4.1686111110029742</c:v>
                </c:pt>
              </c:numCache>
            </c:numRef>
          </c:xVal>
          <c:yVal>
            <c:numRef>
              <c:f>'Time-Int. Data by Analyte '!$N$237:$N$241</c:f>
              <c:numCache>
                <c:formatCode>0.00</c:formatCode>
                <c:ptCount val="5"/>
                <c:pt idx="0">
                  <c:v>72481.591748958803</c:v>
                </c:pt>
                <c:pt idx="1">
                  <c:v>61166.602657938347</c:v>
                </c:pt>
                <c:pt idx="2">
                  <c:v>17420.537847269166</c:v>
                </c:pt>
                <c:pt idx="3" formatCode="General">
                  <c:v>23684.279000261857</c:v>
                </c:pt>
                <c:pt idx="4" formatCode="General">
                  <c:v>643.31001129469212</c:v>
                </c:pt>
              </c:numCache>
            </c:numRef>
          </c:yVal>
          <c:smooth val="0"/>
          <c:extLst>
            <c:ext xmlns:c16="http://schemas.microsoft.com/office/drawing/2014/chart" uri="{C3380CC4-5D6E-409C-BE32-E72D297353CC}">
              <c16:uniqueId val="{00000000-D1E1-4C1D-9EC0-F377536F8421}"/>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6757746836565637"/>
          <c:y val="0.26341775688266006"/>
          <c:w val="0.31275572522161171"/>
          <c:h val="0.18377702396656781"/>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T4-2-Butanone</a:t>
            </a:r>
            <a:r>
              <a:rPr lang="en-US" b="1" baseline="0">
                <a:solidFill>
                  <a:sysClr val="windowText" lastClr="000000"/>
                </a:solidFill>
              </a:rPr>
              <a:t> (VOC)</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'!$M$255:$M$261</c:f>
              <c:numCache>
                <c:formatCode>0.00</c:formatCode>
                <c:ptCount val="7"/>
                <c:pt idx="0">
                  <c:v>0.10902777768205851</c:v>
                </c:pt>
                <c:pt idx="1">
                  <c:v>1.0820833333418705</c:v>
                </c:pt>
                <c:pt idx="2">
                  <c:v>2.1151388888829388</c:v>
                </c:pt>
                <c:pt idx="3">
                  <c:v>3.1488888887688518</c:v>
                </c:pt>
                <c:pt idx="4">
                  <c:v>4.1686111110029742</c:v>
                </c:pt>
                <c:pt idx="5">
                  <c:v>5.248749999969732</c:v>
                </c:pt>
                <c:pt idx="6">
                  <c:v>6.339444444514811</c:v>
                </c:pt>
              </c:numCache>
            </c:numRef>
          </c:xVal>
          <c:yVal>
            <c:numRef>
              <c:f>'Time-Int. Data by Analyte '!$N$255:$N$261</c:f>
              <c:numCache>
                <c:formatCode>0.00</c:formatCode>
                <c:ptCount val="7"/>
                <c:pt idx="0">
                  <c:v>1420345.3961909583</c:v>
                </c:pt>
                <c:pt idx="1">
                  <c:v>387376.7817712854</c:v>
                </c:pt>
                <c:pt idx="2">
                  <c:v>242259.34775321328</c:v>
                </c:pt>
                <c:pt idx="3">
                  <c:v>80577.695043547268</c:v>
                </c:pt>
                <c:pt idx="4">
                  <c:v>5120.8498509716947</c:v>
                </c:pt>
                <c:pt idx="5">
                  <c:v>0</c:v>
                </c:pt>
                <c:pt idx="6">
                  <c:v>1655.4329919616227</c:v>
                </c:pt>
              </c:numCache>
            </c:numRef>
          </c:yVal>
          <c:smooth val="0"/>
          <c:extLst>
            <c:ext xmlns:c16="http://schemas.microsoft.com/office/drawing/2014/chart" uri="{C3380CC4-5D6E-409C-BE32-E72D297353CC}">
              <c16:uniqueId val="{00000000-EC9E-4B7A-8775-77CBC4D75C2D}"/>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Ethyl Acetate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'!$M$272:$M$284</c:f>
              <c:numCache>
                <c:formatCode>0.00</c:formatCode>
                <c:ptCount val="13"/>
                <c:pt idx="0">
                  <c:v>0</c:v>
                </c:pt>
                <c:pt idx="1">
                  <c:v>0.10902777768205851</c:v>
                </c:pt>
                <c:pt idx="2">
                  <c:v>1.0820833333418705</c:v>
                </c:pt>
                <c:pt idx="3">
                  <c:v>2.1151388888829388</c:v>
                </c:pt>
                <c:pt idx="4">
                  <c:v>3.1488888887688518</c:v>
                </c:pt>
                <c:pt idx="5">
                  <c:v>4.1686111110029742</c:v>
                </c:pt>
                <c:pt idx="6">
                  <c:v>5.248749999969732</c:v>
                </c:pt>
                <c:pt idx="7">
                  <c:v>6.339444444514811</c:v>
                </c:pt>
                <c:pt idx="8">
                  <c:v>24.679166666697711</c:v>
                </c:pt>
                <c:pt idx="9">
                  <c:v>48.534027777670417</c:v>
                </c:pt>
                <c:pt idx="10">
                  <c:v>72.635138888843358</c:v>
                </c:pt>
                <c:pt idx="11">
                  <c:v>96.680138888885267</c:v>
                </c:pt>
                <c:pt idx="12">
                  <c:v>167.99166666663999</c:v>
                </c:pt>
              </c:numCache>
            </c:numRef>
          </c:xVal>
          <c:yVal>
            <c:numRef>
              <c:f>'Time-Int. Data by Analyte '!$N$272:$N$284</c:f>
              <c:numCache>
                <c:formatCode>0.00</c:formatCode>
                <c:ptCount val="13"/>
                <c:pt idx="0">
                  <c:v>487.477420386174</c:v>
                </c:pt>
                <c:pt idx="1">
                  <c:v>3395296.9192242408</c:v>
                </c:pt>
                <c:pt idx="2">
                  <c:v>455940.57804379566</c:v>
                </c:pt>
                <c:pt idx="3">
                  <c:v>433118.56793704804</c:v>
                </c:pt>
                <c:pt idx="4">
                  <c:v>169000.4417839846</c:v>
                </c:pt>
                <c:pt idx="5">
                  <c:v>18271.190428076221</c:v>
                </c:pt>
                <c:pt idx="6">
                  <c:v>816.90700637601003</c:v>
                </c:pt>
                <c:pt idx="7">
                  <c:v>6961.659046834091</c:v>
                </c:pt>
                <c:pt idx="8">
                  <c:v>1324.8608228637368</c:v>
                </c:pt>
                <c:pt idx="9">
                  <c:v>0</c:v>
                </c:pt>
                <c:pt idx="10">
                  <c:v>689.08476123578885</c:v>
                </c:pt>
                <c:pt idx="11">
                  <c:v>879.93383614697609</c:v>
                </c:pt>
                <c:pt idx="12">
                  <c:v>0</c:v>
                </c:pt>
              </c:numCache>
            </c:numRef>
          </c:yVal>
          <c:smooth val="0"/>
          <c:extLst>
            <c:ext xmlns:c16="http://schemas.microsoft.com/office/drawing/2014/chart" uri="{C3380CC4-5D6E-409C-BE32-E72D297353CC}">
              <c16:uniqueId val="{00000000-674D-4AD8-9299-66F5499FCE2C}"/>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4155315658143498"/>
          <c:h val="0.23626288019645386"/>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Glycol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'!$M$349:$M$360</c:f>
              <c:numCache>
                <c:formatCode>0.00</c:formatCode>
                <c:ptCount val="12"/>
                <c:pt idx="0" formatCode="General">
                  <c:v>0.1</c:v>
                </c:pt>
                <c:pt idx="1">
                  <c:v>0.80722222222222217</c:v>
                </c:pt>
                <c:pt idx="2">
                  <c:v>1.8291666666666666</c:v>
                </c:pt>
                <c:pt idx="3">
                  <c:v>2.8580555555555556</c:v>
                </c:pt>
                <c:pt idx="4">
                  <c:v>3.8711111111111109</c:v>
                </c:pt>
                <c:pt idx="5">
                  <c:v>4.9749999999999996</c:v>
                </c:pt>
                <c:pt idx="6">
                  <c:v>6.052777777777778</c:v>
                </c:pt>
                <c:pt idx="7">
                  <c:v>24.97388888888889</c:v>
                </c:pt>
                <c:pt idx="8">
                  <c:v>48.914722222222224</c:v>
                </c:pt>
                <c:pt idx="9">
                  <c:v>72.958888888888893</c:v>
                </c:pt>
                <c:pt idx="10">
                  <c:v>96.963055555555556</c:v>
                </c:pt>
                <c:pt idx="11">
                  <c:v>168.29166666666666</c:v>
                </c:pt>
              </c:numCache>
            </c:numRef>
          </c:xVal>
          <c:yVal>
            <c:numRef>
              <c:f>'Time-Int. Data by Analyte '!$N$349:$N$360</c:f>
              <c:numCache>
                <c:formatCode>0.0</c:formatCode>
                <c:ptCount val="12"/>
                <c:pt idx="0">
                  <c:v>8298990.5338297803</c:v>
                </c:pt>
                <c:pt idx="1">
                  <c:v>682749.68841943063</c:v>
                </c:pt>
                <c:pt idx="2">
                  <c:v>256667.18534857288</c:v>
                </c:pt>
                <c:pt idx="3">
                  <c:v>192224.19297161076</c:v>
                </c:pt>
                <c:pt idx="4">
                  <c:v>107989.22039411459</c:v>
                </c:pt>
                <c:pt idx="5">
                  <c:v>88200.541267359324</c:v>
                </c:pt>
                <c:pt idx="6">
                  <c:v>55847.297446481658</c:v>
                </c:pt>
                <c:pt idx="7">
                  <c:v>6049.1959839153324</c:v>
                </c:pt>
                <c:pt idx="8">
                  <c:v>2981.7514546822349</c:v>
                </c:pt>
                <c:pt idx="9">
                  <c:v>6982.4781903727326</c:v>
                </c:pt>
                <c:pt idx="10">
                  <c:v>1823.9817421681701</c:v>
                </c:pt>
                <c:pt idx="11">
                  <c:v>1429.4753313554925</c:v>
                </c:pt>
              </c:numCache>
            </c:numRef>
          </c:yVal>
          <c:smooth val="0"/>
          <c:extLst>
            <c:ext xmlns:c16="http://schemas.microsoft.com/office/drawing/2014/chart" uri="{C3380CC4-5D6E-409C-BE32-E72D297353CC}">
              <c16:uniqueId val="{00000000-34DC-4EF7-9437-5B630F9A8E6B}"/>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6422565477539997E-2"/>
              <c:y val="0.16938771703287026"/>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4155315658143498"/>
          <c:h val="0.23626288019645386"/>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SubBenzene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'!$M$368:$M$379</c:f>
              <c:numCache>
                <c:formatCode>0.00</c:formatCode>
                <c:ptCount val="12"/>
                <c:pt idx="0" formatCode="General">
                  <c:v>0.1</c:v>
                </c:pt>
                <c:pt idx="1">
                  <c:v>0.80722222222222217</c:v>
                </c:pt>
                <c:pt idx="2">
                  <c:v>1.8291666666666666</c:v>
                </c:pt>
                <c:pt idx="3">
                  <c:v>2.8580555555555556</c:v>
                </c:pt>
                <c:pt idx="4">
                  <c:v>3.8711111111111109</c:v>
                </c:pt>
                <c:pt idx="5">
                  <c:v>4.9749999999999996</c:v>
                </c:pt>
                <c:pt idx="6">
                  <c:v>6.052777777777778</c:v>
                </c:pt>
                <c:pt idx="7">
                  <c:v>24.97388888888889</c:v>
                </c:pt>
                <c:pt idx="8">
                  <c:v>48.914722222222224</c:v>
                </c:pt>
                <c:pt idx="9">
                  <c:v>72.958888888888893</c:v>
                </c:pt>
                <c:pt idx="10">
                  <c:v>96.963055555555556</c:v>
                </c:pt>
                <c:pt idx="11">
                  <c:v>168.29166666666666</c:v>
                </c:pt>
              </c:numCache>
            </c:numRef>
          </c:xVal>
          <c:yVal>
            <c:numRef>
              <c:f>'Time-Int. Data by Analyte '!$N$368:$N$379</c:f>
              <c:numCache>
                <c:formatCode>0.0</c:formatCode>
                <c:ptCount val="12"/>
                <c:pt idx="0">
                  <c:v>932252.9580192978</c:v>
                </c:pt>
                <c:pt idx="1">
                  <c:v>123987.64939537615</c:v>
                </c:pt>
                <c:pt idx="2">
                  <c:v>56259.659969357548</c:v>
                </c:pt>
                <c:pt idx="3">
                  <c:v>46933.656967932126</c:v>
                </c:pt>
                <c:pt idx="4">
                  <c:v>26546.376849193046</c:v>
                </c:pt>
                <c:pt idx="5">
                  <c:v>16357.204743060944</c:v>
                </c:pt>
                <c:pt idx="6">
                  <c:v>19601.449094677584</c:v>
                </c:pt>
                <c:pt idx="7">
                  <c:v>4149.9973134132761</c:v>
                </c:pt>
                <c:pt idx="8">
                  <c:v>2100.6865846736487</c:v>
                </c:pt>
                <c:pt idx="9">
                  <c:v>1631.4313203921299</c:v>
                </c:pt>
                <c:pt idx="10">
                  <c:v>1169.014150066369</c:v>
                </c:pt>
                <c:pt idx="11">
                  <c:v>839.45965592881748</c:v>
                </c:pt>
              </c:numCache>
            </c:numRef>
          </c:yVal>
          <c:smooth val="0"/>
          <c:extLst>
            <c:ext xmlns:c16="http://schemas.microsoft.com/office/drawing/2014/chart" uri="{C3380CC4-5D6E-409C-BE32-E72D297353CC}">
              <c16:uniqueId val="{00000000-A97B-4AB9-B124-FAB5D2A94F2B}"/>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4155315658143498"/>
          <c:h val="0.23626288019645386"/>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Alkane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'!$M$313:$M$324</c:f>
              <c:numCache>
                <c:formatCode>0.00</c:formatCode>
                <c:ptCount val="12"/>
                <c:pt idx="0" formatCode="General">
                  <c:v>0.1</c:v>
                </c:pt>
                <c:pt idx="1">
                  <c:v>0.80722222222222217</c:v>
                </c:pt>
                <c:pt idx="2">
                  <c:v>1.8291666666666666</c:v>
                </c:pt>
                <c:pt idx="3">
                  <c:v>2.8580555555555556</c:v>
                </c:pt>
                <c:pt idx="4">
                  <c:v>3.8711111111111109</c:v>
                </c:pt>
                <c:pt idx="5">
                  <c:v>4.9749999999999996</c:v>
                </c:pt>
                <c:pt idx="6">
                  <c:v>6.052777777777778</c:v>
                </c:pt>
                <c:pt idx="7">
                  <c:v>24.97388888888889</c:v>
                </c:pt>
                <c:pt idx="8">
                  <c:v>48.914722222222224</c:v>
                </c:pt>
                <c:pt idx="9">
                  <c:v>72.958888888888893</c:v>
                </c:pt>
                <c:pt idx="10">
                  <c:v>96.963055555555556</c:v>
                </c:pt>
                <c:pt idx="11">
                  <c:v>168.29166666666666</c:v>
                </c:pt>
              </c:numCache>
            </c:numRef>
          </c:xVal>
          <c:yVal>
            <c:numRef>
              <c:f>'Time-Int. Data by Analyte '!$N$313:$N$324</c:f>
              <c:numCache>
                <c:formatCode>General</c:formatCode>
                <c:ptCount val="12"/>
                <c:pt idx="0">
                  <c:v>50812.365479293403</c:v>
                </c:pt>
                <c:pt idx="1">
                  <c:v>6387.4167930668154</c:v>
                </c:pt>
                <c:pt idx="2">
                  <c:v>2834.9924563094719</c:v>
                </c:pt>
                <c:pt idx="3">
                  <c:v>1474.646533093583</c:v>
                </c:pt>
                <c:pt idx="4">
                  <c:v>1655.5049446226087</c:v>
                </c:pt>
                <c:pt idx="5">
                  <c:v>1093.0047266411261</c:v>
                </c:pt>
                <c:pt idx="6">
                  <c:v>927.60273495460513</c:v>
                </c:pt>
                <c:pt idx="7">
                  <c:v>185.89724487680604</c:v>
                </c:pt>
                <c:pt idx="8">
                  <c:v>105.02667511109466</c:v>
                </c:pt>
                <c:pt idx="9">
                  <c:v>76.758403655181084</c:v>
                </c:pt>
                <c:pt idx="10">
                  <c:v>49.455165462977938</c:v>
                </c:pt>
                <c:pt idx="11">
                  <c:v>35.411471521925982</c:v>
                </c:pt>
              </c:numCache>
            </c:numRef>
          </c:yVal>
          <c:smooth val="0"/>
          <c:extLst>
            <c:ext xmlns:c16="http://schemas.microsoft.com/office/drawing/2014/chart" uri="{C3380CC4-5D6E-409C-BE32-E72D297353CC}">
              <c16:uniqueId val="{00000000-FF56-4FB5-A3D9-AC2B48893700}"/>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34155315658143498"/>
          <c:h val="0.23626288019645386"/>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PAH</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'!$M$331:$M$342</c:f>
              <c:numCache>
                <c:formatCode>0.00</c:formatCode>
                <c:ptCount val="12"/>
                <c:pt idx="0" formatCode="General">
                  <c:v>0.1</c:v>
                </c:pt>
                <c:pt idx="1">
                  <c:v>0.80722222222222217</c:v>
                </c:pt>
                <c:pt idx="2">
                  <c:v>1.8291666666666666</c:v>
                </c:pt>
                <c:pt idx="3">
                  <c:v>2.8580555555555556</c:v>
                </c:pt>
                <c:pt idx="4">
                  <c:v>3.8711111111111109</c:v>
                </c:pt>
                <c:pt idx="5">
                  <c:v>4.9749999999999996</c:v>
                </c:pt>
                <c:pt idx="6">
                  <c:v>6.052777777777778</c:v>
                </c:pt>
                <c:pt idx="7">
                  <c:v>24.97388888888889</c:v>
                </c:pt>
                <c:pt idx="8">
                  <c:v>48.914722222222224</c:v>
                </c:pt>
                <c:pt idx="9">
                  <c:v>72.958888888888893</c:v>
                </c:pt>
                <c:pt idx="10">
                  <c:v>96.963055555555556</c:v>
                </c:pt>
                <c:pt idx="11">
                  <c:v>168.29166666666666</c:v>
                </c:pt>
              </c:numCache>
            </c:numRef>
          </c:xVal>
          <c:yVal>
            <c:numRef>
              <c:f>'Time-Int. Data by Analyte '!$N$331:$N$342</c:f>
              <c:numCache>
                <c:formatCode>General</c:formatCode>
                <c:ptCount val="12"/>
                <c:pt idx="0">
                  <c:v>24016.338128069212</c:v>
                </c:pt>
                <c:pt idx="1">
                  <c:v>6524.4377111752547</c:v>
                </c:pt>
                <c:pt idx="2">
                  <c:v>3916.1628533214111</c:v>
                </c:pt>
                <c:pt idx="3">
                  <c:v>3488.7609564951417</c:v>
                </c:pt>
                <c:pt idx="4">
                  <c:v>2157.8806906956252</c:v>
                </c:pt>
                <c:pt idx="5">
                  <c:v>1960.4627634187141</c:v>
                </c:pt>
                <c:pt idx="6">
                  <c:v>1996.7813998647482</c:v>
                </c:pt>
                <c:pt idx="7">
                  <c:v>708.77332428915417</c:v>
                </c:pt>
                <c:pt idx="8">
                  <c:v>463.76182694506622</c:v>
                </c:pt>
                <c:pt idx="9">
                  <c:v>416.08170043326766</c:v>
                </c:pt>
                <c:pt idx="10">
                  <c:v>334.78863217196647</c:v>
                </c:pt>
                <c:pt idx="11">
                  <c:v>242.37978146333054</c:v>
                </c:pt>
              </c:numCache>
            </c:numRef>
          </c:yVal>
          <c:smooth val="0"/>
          <c:extLst>
            <c:ext xmlns:c16="http://schemas.microsoft.com/office/drawing/2014/chart" uri="{C3380CC4-5D6E-409C-BE32-E72D297353CC}">
              <c16:uniqueId val="{00000000-A536-4A89-A4A9-0D90BAC471BA}"/>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739768975567282"/>
          <c:y val="0.17944069145704722"/>
          <c:w val="0.34155315658143498"/>
          <c:h val="0.23626288019645386"/>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 Acetone (DNPH)</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8625528149840734"/>
          <c:y val="0.20086295095466009"/>
          <c:w val="0.74951507325467781"/>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'!$M$54:$M$65</c:f>
              <c:numCache>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Cache>
            </c:numRef>
          </c:xVal>
          <c:yVal>
            <c:numRef>
              <c:f>'Time-Int. Data by Analyte '!$N$54:$N$65</c:f>
              <c:numCache>
                <c:formatCode>0.000</c:formatCode>
                <c:ptCount val="12"/>
                <c:pt idx="0">
                  <c:v>9234.1027033587652</c:v>
                </c:pt>
                <c:pt idx="1">
                  <c:v>8370.9116873739968</c:v>
                </c:pt>
                <c:pt idx="2">
                  <c:v>27.379169406728629</c:v>
                </c:pt>
                <c:pt idx="3">
                  <c:v>95.374702030464562</c:v>
                </c:pt>
                <c:pt idx="4">
                  <c:v>79.174001013397458</c:v>
                </c:pt>
                <c:pt idx="5">
                  <c:v>129.63815806446499</c:v>
                </c:pt>
                <c:pt idx="6">
                  <c:v>86.803002407043323</c:v>
                </c:pt>
                <c:pt idx="7">
                  <c:v>7.4293704619396053</c:v>
                </c:pt>
                <c:pt idx="8">
                  <c:v>-6.3247560246549241</c:v>
                </c:pt>
                <c:pt idx="9">
                  <c:v>-8.9661259580645023</c:v>
                </c:pt>
                <c:pt idx="10">
                  <c:v>2.6902612163938784</c:v>
                </c:pt>
                <c:pt idx="11">
                  <c:v>-12.749510864627101</c:v>
                </c:pt>
              </c:numCache>
            </c:numRef>
          </c:yVal>
          <c:smooth val="0"/>
          <c:extLst>
            <c:ext xmlns:c16="http://schemas.microsoft.com/office/drawing/2014/chart" uri="{C3380CC4-5D6E-409C-BE32-E72D297353CC}">
              <c16:uniqueId val="{00000000-889C-4EAD-8950-BC22F8F4F3F5}"/>
            </c:ext>
          </c:extLst>
        </c:ser>
        <c:dLbls>
          <c:showLegendKey val="0"/>
          <c:showVal val="0"/>
          <c:showCatName val="0"/>
          <c:showSerName val="0"/>
          <c:showPercent val="0"/>
          <c:showBubbleSize val="0"/>
        </c:dLbls>
        <c:axId val="1805094592"/>
        <c:axId val="1805096256"/>
      </c:scatterChart>
      <c:valAx>
        <c:axId val="1805094592"/>
        <c:scaling>
          <c:orientation val="minMax"/>
          <c:max val="3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9.0561481183336692E-3"/>
              <c:y val="0.1798687690183464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SDS Emissive Mass Data for Ink B and C</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2"/>
          <c:order val="0"/>
          <c:tx>
            <c:strRef>
              <c:f>'Sample Info and Data Narrative'!$P$9</c:f>
              <c:strCache>
                <c:ptCount val="1"/>
                <c:pt idx="0">
                  <c:v>Glycerol </c:v>
                </c:pt>
              </c:strCache>
            </c:strRef>
          </c:tx>
          <c:spPr>
            <a:solidFill>
              <a:schemeClr val="accent3"/>
            </a:solidFill>
            <a:ln>
              <a:noFill/>
            </a:ln>
            <a:effectLst/>
          </c:spPr>
          <c:invertIfNegative val="0"/>
          <c:cat>
            <c:strRef>
              <c:f>'Sample Info and Data Narrative'!$Q$5:$R$5</c:f>
              <c:strCache>
                <c:ptCount val="2"/>
                <c:pt idx="0">
                  <c:v>Ink B</c:v>
                </c:pt>
                <c:pt idx="1">
                  <c:v>Ink C</c:v>
                </c:pt>
              </c:strCache>
            </c:strRef>
          </c:cat>
          <c:val>
            <c:numRef>
              <c:f>'Sample Info and Data Narrative'!$Q$9:$R$9</c:f>
              <c:numCache>
                <c:formatCode>0.00</c:formatCode>
                <c:ptCount val="2"/>
                <c:pt idx="0" formatCode="0.00E+00">
                  <c:v>0.80236050000000003</c:v>
                </c:pt>
                <c:pt idx="1">
                  <c:v>0.43243620000000005</c:v>
                </c:pt>
              </c:numCache>
            </c:numRef>
          </c:val>
          <c:extLst>
            <c:ext xmlns:c16="http://schemas.microsoft.com/office/drawing/2014/chart" uri="{C3380CC4-5D6E-409C-BE32-E72D297353CC}">
              <c16:uniqueId val="{00000000-9A3B-4F1C-9FD5-DFA05DFA11B5}"/>
            </c:ext>
          </c:extLst>
        </c:ser>
        <c:ser>
          <c:idx val="3"/>
          <c:order val="1"/>
          <c:tx>
            <c:strRef>
              <c:f>'Sample Info and Data Narrative'!$P$10</c:f>
              <c:strCache>
                <c:ptCount val="1"/>
                <c:pt idx="0">
                  <c:v>Diethylene glycol </c:v>
                </c:pt>
              </c:strCache>
            </c:strRef>
          </c:tx>
          <c:spPr>
            <a:solidFill>
              <a:schemeClr val="accent4"/>
            </a:solidFill>
            <a:ln>
              <a:noFill/>
            </a:ln>
            <a:effectLst/>
          </c:spPr>
          <c:invertIfNegative val="0"/>
          <c:cat>
            <c:strRef>
              <c:f>'Sample Info and Data Narrative'!$Q$5:$R$5</c:f>
              <c:strCache>
                <c:ptCount val="2"/>
                <c:pt idx="0">
                  <c:v>Ink B</c:v>
                </c:pt>
                <c:pt idx="1">
                  <c:v>Ink C</c:v>
                </c:pt>
              </c:strCache>
            </c:strRef>
          </c:cat>
          <c:val>
            <c:numRef>
              <c:f>'Sample Info and Data Narrative'!$Q$10:$R$10</c:f>
              <c:numCache>
                <c:formatCode>0.00</c:formatCode>
                <c:ptCount val="2"/>
                <c:pt idx="0" formatCode="0.00E+00">
                  <c:v>0.48141630000000002</c:v>
                </c:pt>
              </c:numCache>
            </c:numRef>
          </c:val>
          <c:extLst>
            <c:ext xmlns:c16="http://schemas.microsoft.com/office/drawing/2014/chart" uri="{C3380CC4-5D6E-409C-BE32-E72D297353CC}">
              <c16:uniqueId val="{00000001-9A3B-4F1C-9FD5-DFA05DFA11B5}"/>
            </c:ext>
          </c:extLst>
        </c:ser>
        <c:ser>
          <c:idx val="4"/>
          <c:order val="2"/>
          <c:tx>
            <c:strRef>
              <c:f>'Sample Info and Data Narrative'!$P$11</c:f>
              <c:strCache>
                <c:ptCount val="1"/>
                <c:pt idx="0">
                  <c:v>TGME </c:v>
                </c:pt>
              </c:strCache>
            </c:strRef>
          </c:tx>
          <c:spPr>
            <a:solidFill>
              <a:schemeClr val="accent5"/>
            </a:solidFill>
            <a:ln>
              <a:noFill/>
            </a:ln>
            <a:effectLst/>
          </c:spPr>
          <c:invertIfNegative val="0"/>
          <c:cat>
            <c:strRef>
              <c:f>'Sample Info and Data Narrative'!$Q$5:$R$5</c:f>
              <c:strCache>
                <c:ptCount val="2"/>
                <c:pt idx="0">
                  <c:v>Ink B</c:v>
                </c:pt>
                <c:pt idx="1">
                  <c:v>Ink C</c:v>
                </c:pt>
              </c:strCache>
            </c:strRef>
          </c:cat>
          <c:val>
            <c:numRef>
              <c:f>'Sample Info and Data Narrative'!$Q$11:$R$11</c:f>
              <c:numCache>
                <c:formatCode>0.00</c:formatCode>
                <c:ptCount val="2"/>
                <c:pt idx="1">
                  <c:v>0.30888300000000002</c:v>
                </c:pt>
              </c:numCache>
            </c:numRef>
          </c:val>
          <c:extLst>
            <c:ext xmlns:c16="http://schemas.microsoft.com/office/drawing/2014/chart" uri="{C3380CC4-5D6E-409C-BE32-E72D297353CC}">
              <c16:uniqueId val="{00000002-9A3B-4F1C-9FD5-DFA05DFA11B5}"/>
            </c:ext>
          </c:extLst>
        </c:ser>
        <c:dLbls>
          <c:showLegendKey val="0"/>
          <c:showVal val="0"/>
          <c:showCatName val="0"/>
          <c:showSerName val="0"/>
          <c:showPercent val="0"/>
          <c:showBubbleSize val="0"/>
        </c:dLbls>
        <c:gapWidth val="150"/>
        <c:overlap val="100"/>
        <c:axId val="919639328"/>
        <c:axId val="913197472"/>
      </c:barChart>
      <c:catAx>
        <c:axId val="91963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913197472"/>
        <c:crosses val="autoZero"/>
        <c:auto val="1"/>
        <c:lblAlgn val="ctr"/>
        <c:lblOffset val="100"/>
        <c:noMultiLvlLbl val="0"/>
      </c:catAx>
      <c:valAx>
        <c:axId val="913197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Mass (g)</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919639328"/>
        <c:crosses val="autoZero"/>
        <c:crossBetween val="between"/>
      </c:valAx>
      <c:spPr>
        <a:noFill/>
        <a:ln>
          <a:solidFill>
            <a:schemeClr val="tx1"/>
          </a:solid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 Propionaldehyde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8625528149840734"/>
          <c:y val="0.20086295095466009"/>
          <c:w val="0.74951507325467781"/>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'!$M$72:$M$83</c:f>
              <c:numCache>
                <c:formatCode>0.00</c:formatCode>
                <c:ptCount val="12"/>
                <c:pt idx="0">
                  <c:v>0.71666666673263535</c:v>
                </c:pt>
                <c:pt idx="1">
                  <c:v>1.7487500000861473</c:v>
                </c:pt>
                <c:pt idx="2">
                  <c:v>2.785277777700685</c:v>
                </c:pt>
                <c:pt idx="3">
                  <c:v>3.8011111110099591</c:v>
                </c:pt>
                <c:pt idx="4">
                  <c:v>4.7944444444729015</c:v>
                </c:pt>
                <c:pt idx="5">
                  <c:v>5.905833333323244</c:v>
                </c:pt>
                <c:pt idx="6">
                  <c:v>6.9933333332883194</c:v>
                </c:pt>
                <c:pt idx="7">
                  <c:v>26.70638888888061</c:v>
                </c:pt>
                <c:pt idx="8">
                  <c:v>51.480972222110722</c:v>
                </c:pt>
                <c:pt idx="9">
                  <c:v>75.459166666609235</c:v>
                </c:pt>
                <c:pt idx="10">
                  <c:v>99.445416666625533</c:v>
                </c:pt>
                <c:pt idx="11">
                  <c:v>171.49166666652309</c:v>
                </c:pt>
              </c:numCache>
            </c:numRef>
          </c:xVal>
          <c:yVal>
            <c:numRef>
              <c:f>'Time-Int. Data by Analyte '!$N$72:$N$83</c:f>
              <c:numCache>
                <c:formatCode>0.000</c:formatCode>
                <c:ptCount val="12"/>
                <c:pt idx="0">
                  <c:v>0</c:v>
                </c:pt>
                <c:pt idx="1">
                  <c:v>265.86621803420803</c:v>
                </c:pt>
                <c:pt idx="2">
                  <c:v>193.13881277529191</c:v>
                </c:pt>
                <c:pt idx="3">
                  <c:v>93.761925813646627</c:v>
                </c:pt>
                <c:pt idx="4">
                  <c:v>62.00324764369882</c:v>
                </c:pt>
                <c:pt idx="5">
                  <c:v>50.000977690041232</c:v>
                </c:pt>
                <c:pt idx="6">
                  <c:v>36.607504090454839</c:v>
                </c:pt>
                <c:pt idx="7">
                  <c:v>0</c:v>
                </c:pt>
                <c:pt idx="8">
                  <c:v>0</c:v>
                </c:pt>
                <c:pt idx="9">
                  <c:v>0</c:v>
                </c:pt>
                <c:pt idx="10">
                  <c:v>0</c:v>
                </c:pt>
                <c:pt idx="11">
                  <c:v>0</c:v>
                </c:pt>
              </c:numCache>
            </c:numRef>
          </c:yVal>
          <c:smooth val="0"/>
          <c:extLst>
            <c:ext xmlns:c16="http://schemas.microsoft.com/office/drawing/2014/chart" uri="{C3380CC4-5D6E-409C-BE32-E72D297353CC}">
              <c16:uniqueId val="{00000000-800D-4BD4-9A15-0E290B935F39}"/>
            </c:ext>
          </c:extLst>
        </c:ser>
        <c:dLbls>
          <c:showLegendKey val="0"/>
          <c:showVal val="0"/>
          <c:showCatName val="0"/>
          <c:showSerName val="0"/>
          <c:showPercent val="0"/>
          <c:showBubbleSize val="0"/>
        </c:dLbls>
        <c:axId val="1805094592"/>
        <c:axId val="1805096256"/>
      </c:scatterChart>
      <c:valAx>
        <c:axId val="1805094592"/>
        <c:scaling>
          <c:orientation val="minMax"/>
          <c:max val="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9.0561481183336692E-3"/>
              <c:y val="0.1798687690183464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T4- Benzaldehyde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2754265322483527"/>
          <c:y val="0.21136023718613403"/>
          <c:w val="0.71417640564540796"/>
          <c:h val="0.52044693088366634"/>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'!$M$128:$M$139</c:f>
              <c:numCache>
                <c:formatCode>0.00</c:formatCode>
                <c:ptCount val="12"/>
                <c:pt idx="0">
                  <c:v>0.71666666655801237</c:v>
                </c:pt>
                <c:pt idx="1">
                  <c:v>1.7562499999185093</c:v>
                </c:pt>
                <c:pt idx="2">
                  <c:v>2.751388888747897</c:v>
                </c:pt>
                <c:pt idx="3">
                  <c:v>3.8333333332557231</c:v>
                </c:pt>
                <c:pt idx="4">
                  <c:v>4.9999999998835847</c:v>
                </c:pt>
                <c:pt idx="5">
                  <c:v>6.1666666665114462</c:v>
                </c:pt>
                <c:pt idx="6">
                  <c:v>7.3333333331393078</c:v>
                </c:pt>
                <c:pt idx="7">
                  <c:v>25.666666666511446</c:v>
                </c:pt>
                <c:pt idx="8">
                  <c:v>49.68333333323244</c:v>
                </c:pt>
                <c:pt idx="9">
                  <c:v>75.549999999871943</c:v>
                </c:pt>
                <c:pt idx="10">
                  <c:v>99.166666666511446</c:v>
                </c:pt>
                <c:pt idx="11">
                  <c:v>172.19999999989523</c:v>
                </c:pt>
              </c:numCache>
            </c:numRef>
          </c:xVal>
          <c:yVal>
            <c:numRef>
              <c:f>'Time-Int. Data by Analyte '!$N$128:$N$139</c:f>
              <c:numCache>
                <c:formatCode>0.00</c:formatCode>
                <c:ptCount val="12"/>
                <c:pt idx="0">
                  <c:v>0</c:v>
                </c:pt>
                <c:pt idx="1">
                  <c:v>275.91289557032758</c:v>
                </c:pt>
                <c:pt idx="2">
                  <c:v>104.67647649672588</c:v>
                </c:pt>
                <c:pt idx="3">
                  <c:v>55.46625984137269</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34A1-4939-AE95-5D643F20410C}"/>
            </c:ext>
          </c:extLst>
        </c:ser>
        <c:dLbls>
          <c:showLegendKey val="0"/>
          <c:showVal val="0"/>
          <c:showCatName val="0"/>
          <c:showSerName val="0"/>
          <c:showPercent val="0"/>
          <c:showBubbleSize val="0"/>
        </c:dLbls>
        <c:axId val="1805094592"/>
        <c:axId val="1805096256"/>
      </c:scatterChart>
      <c:valAx>
        <c:axId val="1805094592"/>
        <c:scaling>
          <c:orientation val="minMax"/>
          <c:max val="6"/>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3918765504136702E-2"/>
              <c:y val="0.16412303493445271"/>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Formaldehyde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119995475425907"/>
          <c:y val="0.20086295095466009"/>
          <c:w val="0.7845701968818144"/>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'!$AL$29:$AL$40</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'!$AM$30:$AM$40</c:f>
              <c:numCache>
                <c:formatCode>0.000</c:formatCode>
                <c:ptCount val="11"/>
                <c:pt idx="0">
                  <c:v>234.97203449978204</c:v>
                </c:pt>
                <c:pt idx="1">
                  <c:v>174.44670281151929</c:v>
                </c:pt>
                <c:pt idx="2">
                  <c:v>126.29277374514565</c:v>
                </c:pt>
                <c:pt idx="3">
                  <c:v>34.708935069329108</c:v>
                </c:pt>
                <c:pt idx="4">
                  <c:v>43.382772922576422</c:v>
                </c:pt>
                <c:pt idx="5">
                  <c:v>79.024006663001529</c:v>
                </c:pt>
                <c:pt idx="6">
                  <c:v>13.589467899164719</c:v>
                </c:pt>
                <c:pt idx="7">
                  <c:v>11.237890577352594</c:v>
                </c:pt>
                <c:pt idx="8">
                  <c:v>17.098305168495308</c:v>
                </c:pt>
                <c:pt idx="9">
                  <c:v>6.6502380482212455</c:v>
                </c:pt>
                <c:pt idx="10">
                  <c:v>8.3396789102246522</c:v>
                </c:pt>
              </c:numCache>
            </c:numRef>
          </c:yVal>
          <c:smooth val="0"/>
          <c:extLst>
            <c:ext xmlns:c16="http://schemas.microsoft.com/office/drawing/2014/chart" uri="{C3380CC4-5D6E-409C-BE32-E72D297353CC}">
              <c16:uniqueId val="{00000000-C500-4532-BAC4-2CB88EEC3AAC}"/>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7471916010498686"/>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Acetaldehyde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504672251164139"/>
          <c:y val="0.21132046729452933"/>
          <c:w val="0.73668512106377748"/>
          <c:h val="0.52048664505172149"/>
        </c:manualLayout>
      </c:layout>
      <c:scatterChart>
        <c:scatterStyle val="lineMarker"/>
        <c:varyColors val="0"/>
        <c:ser>
          <c:idx val="0"/>
          <c:order val="0"/>
          <c:tx>
            <c:v>Experimental</c:v>
          </c:tx>
          <c:spPr>
            <a:ln w="25400" cap="rnd">
              <a:noFill/>
              <a:round/>
            </a:ln>
            <a:effectLst/>
          </c:spPr>
          <c:marker>
            <c:symbol val="circle"/>
            <c:size val="5"/>
            <c:spPr>
              <a:solidFill>
                <a:schemeClr val="accent1"/>
              </a:solidFill>
              <a:ln w="25400">
                <a:solidFill>
                  <a:srgbClr val="3333FF"/>
                </a:solidFill>
              </a:ln>
              <a:effectLst/>
            </c:spPr>
          </c:marker>
          <c:xVal>
            <c:numRef>
              <c:f>'Time-Int. Data by Analyte '!$AL$47:$AL$58</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'!$AM$47:$AM$58</c:f>
              <c:numCache>
                <c:formatCode>0.000</c:formatCode>
                <c:ptCount val="12"/>
                <c:pt idx="0">
                  <c:v>4663.766616273766</c:v>
                </c:pt>
                <c:pt idx="1">
                  <c:v>3188.3151314605616</c:v>
                </c:pt>
                <c:pt idx="2">
                  <c:v>1879.8652214970264</c:v>
                </c:pt>
                <c:pt idx="3">
                  <c:v>1236.845532220827</c:v>
                </c:pt>
                <c:pt idx="4">
                  <c:v>574.93211195333413</c:v>
                </c:pt>
                <c:pt idx="5">
                  <c:v>514.34325605605773</c:v>
                </c:pt>
                <c:pt idx="6">
                  <c:v>241.57611977925663</c:v>
                </c:pt>
                <c:pt idx="7">
                  <c:v>30.020191331698555</c:v>
                </c:pt>
                <c:pt idx="8">
                  <c:v>15.651276124275327</c:v>
                </c:pt>
                <c:pt idx="9">
                  <c:v>23.074547300104843</c:v>
                </c:pt>
                <c:pt idx="10">
                  <c:v>8.169113893986049</c:v>
                </c:pt>
                <c:pt idx="11">
                  <c:v>7.2080571430264477</c:v>
                </c:pt>
              </c:numCache>
            </c:numRef>
          </c:yVal>
          <c:smooth val="0"/>
          <c:extLst>
            <c:ext xmlns:c16="http://schemas.microsoft.com/office/drawing/2014/chart" uri="{C3380CC4-5D6E-409C-BE32-E72D297353CC}">
              <c16:uniqueId val="{00000000-730C-4BA6-9094-682B4786EEC7}"/>
            </c:ext>
          </c:extLst>
        </c:ser>
        <c:ser>
          <c:idx val="1"/>
          <c:order val="1"/>
          <c:tx>
            <c:v>1st order</c:v>
          </c:tx>
          <c:spPr>
            <a:ln w="12700" cap="rnd">
              <a:solidFill>
                <a:srgbClr val="FFC000"/>
              </a:solidFill>
              <a:round/>
            </a:ln>
            <a:effectLst/>
          </c:spPr>
          <c:marker>
            <c:symbol val="none"/>
          </c:marker>
          <c:xVal>
            <c:numRef>
              <c:f>'Time-Int. Data by Analyte '!$AL$47:$AL$58</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'!$AO$47:$AO$58</c:f>
              <c:numCache>
                <c:formatCode>General</c:formatCode>
                <c:ptCount val="12"/>
                <c:pt idx="0">
                  <c:v>4713.2420000000002</c:v>
                </c:pt>
                <c:pt idx="1">
                  <c:v>3108.357</c:v>
                </c:pt>
                <c:pt idx="2">
                  <c:v>1862.7760000000001</c:v>
                </c:pt>
                <c:pt idx="3">
                  <c:v>1154.127</c:v>
                </c:pt>
                <c:pt idx="4">
                  <c:v>764.31600000000003</c:v>
                </c:pt>
                <c:pt idx="5">
                  <c:v>475.52499999999998</c:v>
                </c:pt>
                <c:pt idx="6">
                  <c:v>298.32499999999999</c:v>
                </c:pt>
                <c:pt idx="7">
                  <c:v>0.13100000000000001</c:v>
                </c:pt>
                <c:pt idx="8">
                  <c:v>4.0099999999999997E-6</c:v>
                </c:pt>
                <c:pt idx="9">
                  <c:v>1.9900000000000001E-10</c:v>
                </c:pt>
                <c:pt idx="10">
                  <c:v>8.2499999999999996E-15</c:v>
                </c:pt>
                <c:pt idx="11">
                  <c:v>5.9300000000000002E-28</c:v>
                </c:pt>
              </c:numCache>
            </c:numRef>
          </c:yVal>
          <c:smooth val="0"/>
          <c:extLst>
            <c:ext xmlns:c16="http://schemas.microsoft.com/office/drawing/2014/chart" uri="{C3380CC4-5D6E-409C-BE32-E72D297353CC}">
              <c16:uniqueId val="{00000001-730C-4BA6-9094-682B4786EEC7}"/>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8.8108539505187544E-3"/>
              <c:y val="0.18517667644485614"/>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Unkown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908503057229579"/>
          <c:y val="0.20086295095466009"/>
          <c:w val="0.73668512106377748"/>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'!$AL$66:$AL$77</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'!$AM$66:$AM$77</c:f>
              <c:numCache>
                <c:formatCode>0.00</c:formatCode>
                <c:ptCount val="12"/>
                <c:pt idx="0">
                  <c:v>1117.1717384900919</c:v>
                </c:pt>
                <c:pt idx="1">
                  <c:v>57.23715178776073</c:v>
                </c:pt>
                <c:pt idx="2">
                  <c:v>35.636234056069121</c:v>
                </c:pt>
                <c:pt idx="3">
                  <c:v>2491.8842866185601</c:v>
                </c:pt>
                <c:pt idx="4">
                  <c:v>569.56434418460992</c:v>
                </c:pt>
                <c:pt idx="5">
                  <c:v>3971.5243665644098</c:v>
                </c:pt>
                <c:pt idx="6">
                  <c:v>7099.2684230079785</c:v>
                </c:pt>
                <c:pt idx="7">
                  <c:v>778.71203214167349</c:v>
                </c:pt>
                <c:pt idx="8">
                  <c:v>644.65896042904956</c:v>
                </c:pt>
                <c:pt idx="9">
                  <c:v>970.38108194647737</c:v>
                </c:pt>
                <c:pt idx="10">
                  <c:v>390.32532424932367</c:v>
                </c:pt>
                <c:pt idx="11">
                  <c:v>591.07698654727119</c:v>
                </c:pt>
              </c:numCache>
            </c:numRef>
          </c:yVal>
          <c:smooth val="0"/>
          <c:extLst>
            <c:ext xmlns:c16="http://schemas.microsoft.com/office/drawing/2014/chart" uri="{C3380CC4-5D6E-409C-BE32-E72D297353CC}">
              <c16:uniqueId val="{00000000-C87A-44EB-8856-D2022EEC3C05}"/>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4904019350522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Hexaldehyde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119995475425907"/>
          <c:y val="0.20086295095466009"/>
          <c:w val="0.7845701968818144"/>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'!$AL$102:$AL$113</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'!$AM$102:$AM$113</c:f>
              <c:numCache>
                <c:formatCode>General</c:formatCode>
                <c:ptCount val="12"/>
                <c:pt idx="0">
                  <c:v>0</c:v>
                </c:pt>
                <c:pt idx="1">
                  <c:v>0</c:v>
                </c:pt>
                <c:pt idx="2">
                  <c:v>0</c:v>
                </c:pt>
                <c:pt idx="3" formatCode="0.00">
                  <c:v>91.325227777685242</c:v>
                </c:pt>
                <c:pt idx="4" formatCode="0.00">
                  <c:v>71.178447047955558</c:v>
                </c:pt>
                <c:pt idx="5" formatCode="0.00">
                  <c:v>101.65776727332748</c:v>
                </c:pt>
                <c:pt idx="6" formatCode="0.00">
                  <c:v>256.64455223911079</c:v>
                </c:pt>
                <c:pt idx="7" formatCode="0.000">
                  <c:v>23.296653519258097</c:v>
                </c:pt>
                <c:pt idx="8" formatCode="0.00">
                  <c:v>0</c:v>
                </c:pt>
                <c:pt idx="9" formatCode="0.000">
                  <c:v>15.521196101318889</c:v>
                </c:pt>
                <c:pt idx="10" formatCode="0.00">
                  <c:v>0</c:v>
                </c:pt>
                <c:pt idx="11" formatCode="0.00">
                  <c:v>0</c:v>
                </c:pt>
              </c:numCache>
            </c:numRef>
          </c:yVal>
          <c:smooth val="0"/>
          <c:extLst>
            <c:ext xmlns:c16="http://schemas.microsoft.com/office/drawing/2014/chart" uri="{C3380CC4-5D6E-409C-BE32-E72D297353CC}">
              <c16:uniqueId val="{00000000-4DF5-4DFE-A906-E1F68713FAC1}"/>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a:t>
            </a:r>
            <a:r>
              <a:rPr lang="en-US" b="1" baseline="0">
                <a:solidFill>
                  <a:sysClr val="windowText" lastClr="000000"/>
                </a:solidFill>
              </a:rPr>
              <a:t> </a:t>
            </a:r>
            <a:r>
              <a:rPr lang="en-US" b="1">
                <a:solidFill>
                  <a:sysClr val="windowText" lastClr="000000"/>
                </a:solidFill>
              </a:rPr>
              <a:t>-Acetaldehyde (VOC)</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022773689601649"/>
          <c:y val="0.20086295095466009"/>
          <c:w val="0.73349278267590845"/>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'!$AL$122:$AL$131</c:f>
              <c:numCache>
                <c:formatCode>0.00</c:formatCode>
                <c:ptCount val="10"/>
                <c:pt idx="0">
                  <c:v>0.31513888895278797</c:v>
                </c:pt>
                <c:pt idx="1">
                  <c:v>1.3175000001210719</c:v>
                </c:pt>
                <c:pt idx="2">
                  <c:v>2.5129166667466052</c:v>
                </c:pt>
                <c:pt idx="3">
                  <c:v>3.6902777777868323</c:v>
                </c:pt>
                <c:pt idx="4">
                  <c:v>4.7041666667209938</c:v>
                </c:pt>
                <c:pt idx="5">
                  <c:v>5.784444444521796</c:v>
                </c:pt>
                <c:pt idx="6">
                  <c:v>24.102500000211876</c:v>
                </c:pt>
                <c:pt idx="7">
                  <c:v>72.18902777787298</c:v>
                </c:pt>
                <c:pt idx="8">
                  <c:v>96.397222222352866</c:v>
                </c:pt>
                <c:pt idx="9">
                  <c:v>168.29472222231561</c:v>
                </c:pt>
              </c:numCache>
            </c:numRef>
          </c:xVal>
          <c:yVal>
            <c:numRef>
              <c:f>'Time-Int. Data by Analyte '!$AM$122:$AM$131</c:f>
              <c:numCache>
                <c:formatCode>0.00</c:formatCode>
                <c:ptCount val="10"/>
                <c:pt idx="0">
                  <c:v>11981.983401778709</c:v>
                </c:pt>
                <c:pt idx="1">
                  <c:v>7677.3961845191334</c:v>
                </c:pt>
                <c:pt idx="2">
                  <c:v>4954.345789412323</c:v>
                </c:pt>
                <c:pt idx="3">
                  <c:v>2607.2455287694788</c:v>
                </c:pt>
                <c:pt idx="4">
                  <c:v>2292.061500658619</c:v>
                </c:pt>
                <c:pt idx="5">
                  <c:v>1639.6176452000677</c:v>
                </c:pt>
                <c:pt idx="6">
                  <c:v>0</c:v>
                </c:pt>
                <c:pt idx="7">
                  <c:v>1307.0843655754472</c:v>
                </c:pt>
                <c:pt idx="8">
                  <c:v>0</c:v>
                </c:pt>
                <c:pt idx="9">
                  <c:v>0</c:v>
                </c:pt>
              </c:numCache>
            </c:numRef>
          </c:yVal>
          <c:smooth val="0"/>
          <c:extLst>
            <c:ext xmlns:c16="http://schemas.microsoft.com/office/drawing/2014/chart" uri="{C3380CC4-5D6E-409C-BE32-E72D297353CC}">
              <c16:uniqueId val="{00000000-92F5-4A2E-B5A3-8C4D6CAC56FA}"/>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Methanol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022773689601649"/>
          <c:y val="0.20086295095466009"/>
          <c:w val="0.73349278267590845"/>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'!$AL$138:$AL$147</c:f>
              <c:numCache>
                <c:formatCode>0.00</c:formatCode>
                <c:ptCount val="10"/>
                <c:pt idx="0">
                  <c:v>0.31513888895278797</c:v>
                </c:pt>
                <c:pt idx="1">
                  <c:v>1.3175000001210719</c:v>
                </c:pt>
                <c:pt idx="2">
                  <c:v>2.5129166667466052</c:v>
                </c:pt>
                <c:pt idx="3">
                  <c:v>3.6902777777868323</c:v>
                </c:pt>
                <c:pt idx="4">
                  <c:v>4.7041666667209938</c:v>
                </c:pt>
                <c:pt idx="5">
                  <c:v>5.784444444521796</c:v>
                </c:pt>
                <c:pt idx="6">
                  <c:v>24.102500000211876</c:v>
                </c:pt>
                <c:pt idx="7">
                  <c:v>72.18902777787298</c:v>
                </c:pt>
                <c:pt idx="8">
                  <c:v>96.397222222352866</c:v>
                </c:pt>
                <c:pt idx="9">
                  <c:v>168.29472222231561</c:v>
                </c:pt>
              </c:numCache>
            </c:numRef>
          </c:xVal>
          <c:yVal>
            <c:numRef>
              <c:f>'Time-Int. Data by Analyte '!$AM$138:$AM$147</c:f>
              <c:numCache>
                <c:formatCode>0.00</c:formatCode>
                <c:ptCount val="10"/>
                <c:pt idx="0">
                  <c:v>737013.84016006673</c:v>
                </c:pt>
                <c:pt idx="1">
                  <c:v>371005.92536997522</c:v>
                </c:pt>
                <c:pt idx="2">
                  <c:v>249340.39630671311</c:v>
                </c:pt>
                <c:pt idx="3">
                  <c:v>70158.820203065086</c:v>
                </c:pt>
                <c:pt idx="4">
                  <c:v>33531.96120050778</c:v>
                </c:pt>
                <c:pt idx="5">
                  <c:v>0</c:v>
                </c:pt>
                <c:pt idx="6">
                  <c:v>0</c:v>
                </c:pt>
                <c:pt idx="7">
                  <c:v>0</c:v>
                </c:pt>
                <c:pt idx="8">
                  <c:v>0</c:v>
                </c:pt>
                <c:pt idx="9">
                  <c:v>272.78376561712912</c:v>
                </c:pt>
              </c:numCache>
            </c:numRef>
          </c:yVal>
          <c:smooth val="0"/>
          <c:extLst>
            <c:ext xmlns:c16="http://schemas.microsoft.com/office/drawing/2014/chart" uri="{C3380CC4-5D6E-409C-BE32-E72D297353CC}">
              <c16:uniqueId val="{00000000-CC80-44A2-9D5D-9A5BF57A184F}"/>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46171393380296732"/>
          <c:y val="0.26339807524059494"/>
          <c:w val="0.41862666608014781"/>
          <c:h val="8.932242293242755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T3- 3-Pentanone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022773689601649"/>
          <c:y val="0.20086295095466009"/>
          <c:w val="0.73349278267590845"/>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'!$AL$154:$AL$163</c:f>
              <c:numCache>
                <c:formatCode>0.00</c:formatCode>
                <c:ptCount val="10"/>
                <c:pt idx="0">
                  <c:v>0.31513888895278797</c:v>
                </c:pt>
                <c:pt idx="1">
                  <c:v>1.3175000001210719</c:v>
                </c:pt>
                <c:pt idx="2">
                  <c:v>2.5129166667466052</c:v>
                </c:pt>
                <c:pt idx="3">
                  <c:v>3.6902777777868323</c:v>
                </c:pt>
                <c:pt idx="4">
                  <c:v>4.7041666667209938</c:v>
                </c:pt>
                <c:pt idx="5">
                  <c:v>5.784444444521796</c:v>
                </c:pt>
                <c:pt idx="6">
                  <c:v>24.102500000211876</c:v>
                </c:pt>
                <c:pt idx="7">
                  <c:v>72.18902777787298</c:v>
                </c:pt>
                <c:pt idx="8">
                  <c:v>96.397222222352866</c:v>
                </c:pt>
                <c:pt idx="9">
                  <c:v>168.29472222231561</c:v>
                </c:pt>
              </c:numCache>
            </c:numRef>
          </c:xVal>
          <c:yVal>
            <c:numRef>
              <c:f>'Time-Int. Data by Analyte '!$AM$154:$AM$163</c:f>
              <c:numCache>
                <c:formatCode>0.00</c:formatCode>
                <c:ptCount val="10"/>
                <c:pt idx="0">
                  <c:v>22754.640937935215</c:v>
                </c:pt>
                <c:pt idx="1">
                  <c:v>14719.767741706681</c:v>
                </c:pt>
                <c:pt idx="2">
                  <c:v>0</c:v>
                </c:pt>
                <c:pt idx="3">
                  <c:v>0</c:v>
                </c:pt>
                <c:pt idx="4">
                  <c:v>0</c:v>
                </c:pt>
                <c:pt idx="5">
                  <c:v>0</c:v>
                </c:pt>
                <c:pt idx="6">
                  <c:v>13668.618935777733</c:v>
                </c:pt>
                <c:pt idx="7">
                  <c:v>15409.276362663675</c:v>
                </c:pt>
                <c:pt idx="8">
                  <c:v>0</c:v>
                </c:pt>
                <c:pt idx="9">
                  <c:v>0</c:v>
                </c:pt>
              </c:numCache>
            </c:numRef>
          </c:yVal>
          <c:smooth val="0"/>
          <c:extLst>
            <c:ext xmlns:c16="http://schemas.microsoft.com/office/drawing/2014/chart" uri="{C3380CC4-5D6E-409C-BE32-E72D297353CC}">
              <c16:uniqueId val="{00000000-FC36-4371-99AF-75A6FCFDFCC1}"/>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45532925702722915"/>
          <c:y val="0.22679676805105245"/>
          <c:w val="0.42820368124375519"/>
          <c:h val="0.1102374556121661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Total SVOCs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022773689601649"/>
          <c:y val="0.20086295095466009"/>
          <c:w val="0.73349278267590845"/>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'!$AL$174:$AL$185</c:f>
              <c:numCache>
                <c:formatCode>0.0</c:formatCode>
                <c:ptCount val="12"/>
                <c:pt idx="0" formatCode="General">
                  <c:v>0.1</c:v>
                </c:pt>
                <c:pt idx="1">
                  <c:v>0.99722222222222223</c:v>
                </c:pt>
                <c:pt idx="2">
                  <c:v>2.1783333333333332</c:v>
                </c:pt>
                <c:pt idx="3">
                  <c:v>3.3541666666666665</c:v>
                </c:pt>
                <c:pt idx="4">
                  <c:v>4.3902777777777775</c:v>
                </c:pt>
                <c:pt idx="5">
                  <c:v>5.4672222222222224</c:v>
                </c:pt>
                <c:pt idx="6">
                  <c:v>6.6483333333333334</c:v>
                </c:pt>
                <c:pt idx="7">
                  <c:v>24.337777777777777</c:v>
                </c:pt>
                <c:pt idx="8">
                  <c:v>48.573333333333331</c:v>
                </c:pt>
                <c:pt idx="9">
                  <c:v>72.424166666666665</c:v>
                </c:pt>
                <c:pt idx="10">
                  <c:v>96.613055555555562</c:v>
                </c:pt>
                <c:pt idx="11">
                  <c:v>168.55722222222221</c:v>
                </c:pt>
              </c:numCache>
            </c:numRef>
          </c:xVal>
          <c:yVal>
            <c:numRef>
              <c:f>'Time-Int. Data by Analyte '!$AM$174:$AM$185</c:f>
              <c:numCache>
                <c:formatCode>0</c:formatCode>
                <c:ptCount val="12"/>
                <c:pt idx="0">
                  <c:v>1660.1196937673515</c:v>
                </c:pt>
                <c:pt idx="1">
                  <c:v>2060.4069992628606</c:v>
                </c:pt>
                <c:pt idx="2">
                  <c:v>5333.1926900282015</c:v>
                </c:pt>
                <c:pt idx="3">
                  <c:v>3623.8643432680424</c:v>
                </c:pt>
                <c:pt idx="4">
                  <c:v>2458.4196860226275</c:v>
                </c:pt>
                <c:pt idx="5">
                  <c:v>3073.2058877172844</c:v>
                </c:pt>
                <c:pt idx="6">
                  <c:v>492.88005164677588</c:v>
                </c:pt>
                <c:pt idx="7">
                  <c:v>9379.8389789813245</c:v>
                </c:pt>
                <c:pt idx="8">
                  <c:v>7875.9713824809878</c:v>
                </c:pt>
                <c:pt idx="9">
                  <c:v>8347.6902822845877</c:v>
                </c:pt>
                <c:pt idx="10">
                  <c:v>3509.5856759851272</c:v>
                </c:pt>
                <c:pt idx="11">
                  <c:v>3421.6214170478888</c:v>
                </c:pt>
              </c:numCache>
            </c:numRef>
          </c:yVal>
          <c:smooth val="0"/>
          <c:extLst>
            <c:ext xmlns:c16="http://schemas.microsoft.com/office/drawing/2014/chart" uri="{C3380CC4-5D6E-409C-BE32-E72D297353CC}">
              <c16:uniqueId val="{00000000-8C23-4D4D-ADF9-0490D9D48EC6}"/>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6706110060264814"/>
          <c:y val="0.20588173537131391"/>
          <c:w val="0.42820368124375519"/>
          <c:h val="0.1102374556121661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Formaldehyde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119995475425907"/>
          <c:y val="0.20086295095466009"/>
          <c:w val="0.7845701968818144"/>
          <c:h val="0.53094416139159073"/>
        </c:manualLayout>
      </c:layout>
      <c:scatterChart>
        <c:scatterStyle val="lineMarker"/>
        <c:varyColors val="0"/>
        <c:ser>
          <c:idx val="0"/>
          <c:order val="0"/>
          <c:tx>
            <c:v>Experimental</c:v>
          </c:tx>
          <c:spPr>
            <a:ln w="25400" cap="rnd">
              <a:noFill/>
              <a:round/>
            </a:ln>
            <a:effectLst/>
          </c:spPr>
          <c:marker>
            <c:symbol val="circle"/>
            <c:size val="5"/>
            <c:spPr>
              <a:solidFill>
                <a:schemeClr val="accent1"/>
              </a:solidFill>
              <a:ln w="25400">
                <a:solidFill>
                  <a:srgbClr val="3333FF"/>
                </a:solidFill>
              </a:ln>
              <a:effectLst/>
            </c:spPr>
          </c:marker>
          <c:xVal>
            <c:numRef>
              <c:f>'Time-Int. Data by Analyte '!$Y$30:$Y$41</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'!$Z$30:$Z$41</c:f>
              <c:numCache>
                <c:formatCode>0.000</c:formatCode>
                <c:ptCount val="12"/>
                <c:pt idx="0">
                  <c:v>454.47193783800816</c:v>
                </c:pt>
                <c:pt idx="1">
                  <c:v>287.60415871006506</c:v>
                </c:pt>
                <c:pt idx="2">
                  <c:v>111.53545321153689</c:v>
                </c:pt>
                <c:pt idx="3">
                  <c:v>99.163028661168283</c:v>
                </c:pt>
                <c:pt idx="4">
                  <c:v>52.459017759238023</c:v>
                </c:pt>
                <c:pt idx="5">
                  <c:v>36.692410393950489</c:v>
                </c:pt>
                <c:pt idx="6">
                  <c:v>43.006477320426768</c:v>
                </c:pt>
                <c:pt idx="7">
                  <c:v>8.6894889136975468</c:v>
                </c:pt>
                <c:pt idx="8">
                  <c:v>16.901862229195423</c:v>
                </c:pt>
                <c:pt idx="9">
                  <c:v>11.067390720561267</c:v>
                </c:pt>
                <c:pt idx="10">
                  <c:v>5.8858604294312702</c:v>
                </c:pt>
                <c:pt idx="11">
                  <c:v>4.5475600200466868</c:v>
                </c:pt>
              </c:numCache>
            </c:numRef>
          </c:yVal>
          <c:smooth val="0"/>
          <c:extLst>
            <c:ext xmlns:c16="http://schemas.microsoft.com/office/drawing/2014/chart" uri="{C3380CC4-5D6E-409C-BE32-E72D297353CC}">
              <c16:uniqueId val="{00000000-A40E-43CD-AD3D-EFE0A89F995E}"/>
            </c:ext>
          </c:extLst>
        </c:ser>
        <c:ser>
          <c:idx val="1"/>
          <c:order val="1"/>
          <c:tx>
            <c:v>1st order</c:v>
          </c:tx>
          <c:spPr>
            <a:ln w="12700" cap="rnd">
              <a:solidFill>
                <a:srgbClr val="FFC000"/>
              </a:solidFill>
              <a:round/>
            </a:ln>
            <a:effectLst/>
          </c:spPr>
          <c:marker>
            <c:symbol val="none"/>
          </c:marker>
          <c:xVal>
            <c:numRef>
              <c:f>'Time-Int. Data by Analyte '!$Y$30:$Y$41</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'!$AB$30:$AB$41</c:f>
              <c:numCache>
                <c:formatCode>General</c:formatCode>
                <c:ptCount val="12"/>
                <c:pt idx="0">
                  <c:v>454.60699999999997</c:v>
                </c:pt>
                <c:pt idx="1">
                  <c:v>273.75899999999996</c:v>
                </c:pt>
                <c:pt idx="2">
                  <c:v>149.249</c:v>
                </c:pt>
                <c:pt idx="3">
                  <c:v>84.25</c:v>
                </c:pt>
                <c:pt idx="4">
                  <c:v>51.497</c:v>
                </c:pt>
                <c:pt idx="5">
                  <c:v>29.215</c:v>
                </c:pt>
                <c:pt idx="6">
                  <c:v>16.823</c:v>
                </c:pt>
                <c:pt idx="7">
                  <c:v>1.64E-3</c:v>
                </c:pt>
                <c:pt idx="8">
                  <c:v>6.6299999999999996E-9</c:v>
                </c:pt>
                <c:pt idx="9">
                  <c:v>4.8099999999999998E-14</c:v>
                </c:pt>
                <c:pt idx="10">
                  <c:v>2.8E-19</c:v>
                </c:pt>
                <c:pt idx="11">
                  <c:v>5.5899999999999997E-35</c:v>
                </c:pt>
              </c:numCache>
            </c:numRef>
          </c:yVal>
          <c:smooth val="0"/>
          <c:extLst>
            <c:ext xmlns:c16="http://schemas.microsoft.com/office/drawing/2014/chart" uri="{C3380CC4-5D6E-409C-BE32-E72D297353CC}">
              <c16:uniqueId val="{00000001-A40E-43CD-AD3D-EFE0A89F995E}"/>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5887445690648813"/>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T3- Butanal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119995475425907"/>
          <c:y val="0.20086295095466009"/>
          <c:w val="0.7845701968818144"/>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'!$AL$84:$AL$95</c:f>
              <c:numCache>
                <c:formatCode>0.00</c:formatCode>
                <c:ptCount val="12"/>
                <c:pt idx="0">
                  <c:v>0.82222222234122455</c:v>
                </c:pt>
                <c:pt idx="1">
                  <c:v>1.8191666667116806</c:v>
                </c:pt>
                <c:pt idx="2">
                  <c:v>3.0547222224413417</c:v>
                </c:pt>
                <c:pt idx="3">
                  <c:v>4.2004166667466052</c:v>
                </c:pt>
                <c:pt idx="4">
                  <c:v>5.1883333334117197</c:v>
                </c:pt>
                <c:pt idx="5">
                  <c:v>6.3295833332813345</c:v>
                </c:pt>
                <c:pt idx="6">
                  <c:v>7.4450000000651926</c:v>
                </c:pt>
                <c:pt idx="7">
                  <c:v>26.024583333462942</c:v>
                </c:pt>
                <c:pt idx="8">
                  <c:v>50.991666666814126</c:v>
                </c:pt>
                <c:pt idx="9">
                  <c:v>74.80375000013737</c:v>
                </c:pt>
                <c:pt idx="10">
                  <c:v>99.039583333418705</c:v>
                </c:pt>
                <c:pt idx="11">
                  <c:v>171.73888888891088</c:v>
                </c:pt>
              </c:numCache>
            </c:numRef>
          </c:xVal>
          <c:yVal>
            <c:numRef>
              <c:f>'Time-Int. Data by Analyte '!$AM$84:$AM$86</c:f>
              <c:numCache>
                <c:formatCode>0.00</c:formatCode>
                <c:ptCount val="3"/>
                <c:pt idx="0">
                  <c:v>523.61381194970431</c:v>
                </c:pt>
                <c:pt idx="1">
                  <c:v>208.064112378809</c:v>
                </c:pt>
                <c:pt idx="2">
                  <c:v>120.53108888653426</c:v>
                </c:pt>
              </c:numCache>
            </c:numRef>
          </c:yVal>
          <c:smooth val="0"/>
          <c:extLst>
            <c:ext xmlns:c16="http://schemas.microsoft.com/office/drawing/2014/chart" uri="{C3380CC4-5D6E-409C-BE32-E72D297353CC}">
              <c16:uniqueId val="{00000000-820B-48A6-B4F0-42A1037A3E40}"/>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Decane</a:t>
            </a:r>
            <a:endParaRPr lang="en-US" baseline="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2"/>
          <c:order val="0"/>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2272340816314439"/>
                  <c:y val="0.2902918478473772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'SVOC Data Preparation'!$S$13:$S$17</c:f>
              <c:numCache>
                <c:formatCode>General</c:formatCode>
                <c:ptCount val="5"/>
                <c:pt idx="0">
                  <c:v>0.14705882352941177</c:v>
                </c:pt>
                <c:pt idx="1">
                  <c:v>0.36823529411764705</c:v>
                </c:pt>
                <c:pt idx="2">
                  <c:v>0.73529411764705888</c:v>
                </c:pt>
                <c:pt idx="3">
                  <c:v>1.4705882352941178</c:v>
                </c:pt>
                <c:pt idx="4">
                  <c:v>2.7941176470588234</c:v>
                </c:pt>
              </c:numCache>
            </c:numRef>
          </c:xVal>
          <c:yVal>
            <c:numRef>
              <c:f>'SVOC Data Preparation'!$T$13:$T$17</c:f>
              <c:numCache>
                <c:formatCode>General</c:formatCode>
                <c:ptCount val="5"/>
                <c:pt idx="0">
                  <c:v>0.35409283629956023</c:v>
                </c:pt>
                <c:pt idx="1">
                  <c:v>0.40457940612845622</c:v>
                </c:pt>
                <c:pt idx="2">
                  <c:v>0.79764937327212904</c:v>
                </c:pt>
                <c:pt idx="3">
                  <c:v>1.5073105649465384</c:v>
                </c:pt>
                <c:pt idx="4">
                  <c:v>2.0208095939324808</c:v>
                </c:pt>
              </c:numCache>
            </c:numRef>
          </c:yVal>
          <c:smooth val="0"/>
          <c:extLst>
            <c:ext xmlns:c16="http://schemas.microsoft.com/office/drawing/2014/chart" uri="{C3380CC4-5D6E-409C-BE32-E72D297353CC}">
              <c16:uniqueId val="{00000001-A4C6-459B-BA50-A299811E89E2}"/>
            </c:ext>
          </c:extLst>
        </c:ser>
        <c:dLbls>
          <c:showLegendKey val="0"/>
          <c:showVal val="0"/>
          <c:showCatName val="0"/>
          <c:showSerName val="0"/>
          <c:showPercent val="0"/>
          <c:showBubbleSize val="0"/>
        </c:dLbls>
        <c:axId val="2048973263"/>
        <c:axId val="1907399695"/>
      </c:scatterChart>
      <c:valAx>
        <c:axId val="20489732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7399695"/>
        <c:crosses val="autoZero"/>
        <c:crossBetween val="midCat"/>
      </c:valAx>
      <c:valAx>
        <c:axId val="1907399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8973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Diethylene</a:t>
            </a:r>
            <a:r>
              <a:rPr lang="en-US" baseline="0"/>
              <a:t> Glycol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2"/>
          <c:order val="0"/>
          <c:tx>
            <c:v>Average TMB</c:v>
          </c:tx>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4915791776027998"/>
                  <c:y val="0.3332290755322251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'SVOC Data Preparation'!$S$22:$S$24</c:f>
              <c:numCache>
                <c:formatCode>General</c:formatCode>
                <c:ptCount val="3"/>
                <c:pt idx="0">
                  <c:v>14891089</c:v>
                </c:pt>
                <c:pt idx="1">
                  <c:v>31906315</c:v>
                </c:pt>
                <c:pt idx="2">
                  <c:v>81096369</c:v>
                </c:pt>
              </c:numCache>
            </c:numRef>
          </c:xVal>
          <c:yVal>
            <c:numRef>
              <c:f>'SVOC Data Preparation'!$R$22:$R$24</c:f>
              <c:numCache>
                <c:formatCode>General</c:formatCode>
                <c:ptCount val="3"/>
                <c:pt idx="0">
                  <c:v>250</c:v>
                </c:pt>
                <c:pt idx="1">
                  <c:v>500</c:v>
                </c:pt>
                <c:pt idx="2">
                  <c:v>1000</c:v>
                </c:pt>
              </c:numCache>
            </c:numRef>
          </c:yVal>
          <c:smooth val="0"/>
          <c:extLst>
            <c:ext xmlns:c16="http://schemas.microsoft.com/office/drawing/2014/chart" uri="{C3380CC4-5D6E-409C-BE32-E72D297353CC}">
              <c16:uniqueId val="{00000001-DB57-413E-81E6-5788467A064A}"/>
            </c:ext>
          </c:extLst>
        </c:ser>
        <c:dLbls>
          <c:showLegendKey val="0"/>
          <c:showVal val="0"/>
          <c:showCatName val="0"/>
          <c:showSerName val="0"/>
          <c:showPercent val="0"/>
          <c:showBubbleSize val="0"/>
        </c:dLbls>
        <c:axId val="2048973263"/>
        <c:axId val="1907399695"/>
      </c:scatterChart>
      <c:valAx>
        <c:axId val="20489732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7399695"/>
        <c:crosses val="autoZero"/>
        <c:crossBetween val="midCat"/>
      </c:valAx>
      <c:valAx>
        <c:axId val="1907399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8973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Napthalene</a:t>
            </a:r>
            <a:endParaRPr lang="en-US" baseline="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2"/>
          <c:order val="0"/>
          <c:tx>
            <c:v>Average TMB</c:v>
          </c:tx>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wer"/>
            <c:dispRSqr val="1"/>
            <c:dispEq val="1"/>
            <c:trendlineLbl>
              <c:layout>
                <c:manualLayout>
                  <c:x val="0.14915791776027998"/>
                  <c:y val="0.3332290755322251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'SVOC Data Preparation'!$T$44:$T$48</c:f>
              <c:numCache>
                <c:formatCode>General</c:formatCode>
                <c:ptCount val="5"/>
                <c:pt idx="0">
                  <c:v>0.52631578947368418</c:v>
                </c:pt>
                <c:pt idx="1">
                  <c:v>1.3157894736842106</c:v>
                </c:pt>
                <c:pt idx="2">
                  <c:v>2.6315789473684212</c:v>
                </c:pt>
                <c:pt idx="3">
                  <c:v>5.2631578947368425</c:v>
                </c:pt>
                <c:pt idx="4">
                  <c:v>10</c:v>
                </c:pt>
              </c:numCache>
            </c:numRef>
          </c:xVal>
          <c:yVal>
            <c:numRef>
              <c:f>'SVOC Data Preparation'!$U$44:$U$48</c:f>
              <c:numCache>
                <c:formatCode>General</c:formatCode>
                <c:ptCount val="5"/>
                <c:pt idx="0">
                  <c:v>0.35996465594527621</c:v>
                </c:pt>
                <c:pt idx="1">
                  <c:v>0.64969677663218806</c:v>
                </c:pt>
                <c:pt idx="2">
                  <c:v>0.81291170634051846</c:v>
                </c:pt>
                <c:pt idx="3">
                  <c:v>1.6503497038100945</c:v>
                </c:pt>
                <c:pt idx="4">
                  <c:v>2.4325084169808417</c:v>
                </c:pt>
              </c:numCache>
            </c:numRef>
          </c:yVal>
          <c:smooth val="0"/>
          <c:extLst>
            <c:ext xmlns:c16="http://schemas.microsoft.com/office/drawing/2014/chart" uri="{C3380CC4-5D6E-409C-BE32-E72D297353CC}">
              <c16:uniqueId val="{00000001-C16D-42C4-8672-14ADDE04C705}"/>
            </c:ext>
          </c:extLst>
        </c:ser>
        <c:dLbls>
          <c:showLegendKey val="0"/>
          <c:showVal val="0"/>
          <c:showCatName val="0"/>
          <c:showSerName val="0"/>
          <c:showPercent val="0"/>
          <c:showBubbleSize val="0"/>
        </c:dLbls>
        <c:axId val="2048973263"/>
        <c:axId val="1907399695"/>
      </c:scatterChart>
      <c:valAx>
        <c:axId val="20489732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7399695"/>
        <c:crosses val="autoZero"/>
        <c:crossBetween val="midCat"/>
      </c:valAx>
      <c:valAx>
        <c:axId val="1907399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8973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983937554680663"/>
          <c:y val="5.747126436781609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2"/>
          <c:order val="0"/>
          <c:tx>
            <c:v>Average TMB</c:v>
          </c:tx>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14915791776027998"/>
                  <c:y val="0.3332290755322251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'SVOC Data Preparation'!$U$53:$U$56</c:f>
              <c:numCache>
                <c:formatCode>General</c:formatCode>
                <c:ptCount val="4"/>
                <c:pt idx="0">
                  <c:v>186702.5</c:v>
                </c:pt>
                <c:pt idx="1">
                  <c:v>4233018.5</c:v>
                </c:pt>
                <c:pt idx="2">
                  <c:v>23014936.5</c:v>
                </c:pt>
                <c:pt idx="3">
                  <c:v>44308361.5</c:v>
                </c:pt>
              </c:numCache>
            </c:numRef>
          </c:xVal>
          <c:yVal>
            <c:numRef>
              <c:f>'SVOC Data Preparation'!$R$53:$R$56</c:f>
              <c:numCache>
                <c:formatCode>General</c:formatCode>
                <c:ptCount val="4"/>
                <c:pt idx="0">
                  <c:v>1</c:v>
                </c:pt>
                <c:pt idx="1">
                  <c:v>10</c:v>
                </c:pt>
                <c:pt idx="2">
                  <c:v>50</c:v>
                </c:pt>
                <c:pt idx="3">
                  <c:v>100</c:v>
                </c:pt>
              </c:numCache>
            </c:numRef>
          </c:yVal>
          <c:smooth val="0"/>
          <c:extLst>
            <c:ext xmlns:c16="http://schemas.microsoft.com/office/drawing/2014/chart" uri="{C3380CC4-5D6E-409C-BE32-E72D297353CC}">
              <c16:uniqueId val="{00000001-D4D9-4719-AC68-EC33E6CFA034}"/>
            </c:ext>
          </c:extLst>
        </c:ser>
        <c:dLbls>
          <c:showLegendKey val="0"/>
          <c:showVal val="0"/>
          <c:showCatName val="0"/>
          <c:showSerName val="0"/>
          <c:showPercent val="0"/>
          <c:showBubbleSize val="0"/>
        </c:dLbls>
        <c:axId val="2048973263"/>
        <c:axId val="1907399695"/>
      </c:scatterChart>
      <c:valAx>
        <c:axId val="20489732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7399695"/>
        <c:crosses val="autoZero"/>
        <c:crossBetween val="midCat"/>
      </c:valAx>
      <c:valAx>
        <c:axId val="1907399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897326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Alkanes</c:v>
          </c:tx>
          <c:trendline>
            <c:trendlineType val="power"/>
            <c:dispRSqr val="1"/>
            <c:dispEq val="1"/>
            <c:trendlineLbl>
              <c:layout>
                <c:manualLayout>
                  <c:x val="0.13146296918852152"/>
                  <c:y val="-0.39792519646689523"/>
                </c:manualLayout>
              </c:layout>
              <c:numFmt formatCode="General" sourceLinked="0"/>
              <c:spPr>
                <a:solidFill>
                  <a:schemeClr val="lt1"/>
                </a:solidFill>
              </c:spPr>
            </c:trendlineLbl>
          </c:trendline>
          <c:xVal>
            <c:numRef>
              <c:f>'SVOC Data Preparation'!$BD$144:$BL$144</c:f>
              <c:numCache>
                <c:formatCode>0.00</c:formatCode>
                <c:ptCount val="9"/>
                <c:pt idx="0">
                  <c:v>168.29166666666666</c:v>
                </c:pt>
                <c:pt idx="1">
                  <c:v>96.963055555555556</c:v>
                </c:pt>
                <c:pt idx="2">
                  <c:v>72.958888888888893</c:v>
                </c:pt>
                <c:pt idx="3">
                  <c:v>48.914722222222224</c:v>
                </c:pt>
                <c:pt idx="4">
                  <c:v>24.97388888888889</c:v>
                </c:pt>
                <c:pt idx="5">
                  <c:v>6.052777777777778</c:v>
                </c:pt>
                <c:pt idx="6">
                  <c:v>4.9749999999999996</c:v>
                </c:pt>
                <c:pt idx="7">
                  <c:v>3.8711111111111109</c:v>
                </c:pt>
                <c:pt idx="8">
                  <c:v>2.8580555555555556</c:v>
                </c:pt>
              </c:numCache>
            </c:numRef>
          </c:xVal>
          <c:yVal>
            <c:numRef>
              <c:f>'SVOC Data Preparation'!$BD$145:$BL$145</c:f>
              <c:numCache>
                <c:formatCode>General</c:formatCode>
                <c:ptCount val="9"/>
                <c:pt idx="0">
                  <c:v>35.411471521925982</c:v>
                </c:pt>
                <c:pt idx="1">
                  <c:v>49.455165462977938</c:v>
                </c:pt>
                <c:pt idx="2">
                  <c:v>76.758403655181084</c:v>
                </c:pt>
                <c:pt idx="3">
                  <c:v>105.02667511109466</c:v>
                </c:pt>
                <c:pt idx="4">
                  <c:v>185.89724487680604</c:v>
                </c:pt>
                <c:pt idx="5">
                  <c:v>927.60273495460513</c:v>
                </c:pt>
                <c:pt idx="6">
                  <c:v>1093.0047266411261</c:v>
                </c:pt>
                <c:pt idx="7">
                  <c:v>1655.5049446226087</c:v>
                </c:pt>
                <c:pt idx="8">
                  <c:v>1474.646533093583</c:v>
                </c:pt>
              </c:numCache>
            </c:numRef>
          </c:yVal>
          <c:smooth val="0"/>
          <c:extLst>
            <c:ext xmlns:c16="http://schemas.microsoft.com/office/drawing/2014/chart" uri="{C3380CC4-5D6E-409C-BE32-E72D297353CC}">
              <c16:uniqueId val="{00000001-8C29-4B1A-ABDB-AD108A49991B}"/>
            </c:ext>
          </c:extLst>
        </c:ser>
        <c:dLbls>
          <c:showLegendKey val="0"/>
          <c:showVal val="0"/>
          <c:showCatName val="0"/>
          <c:showSerName val="0"/>
          <c:showPercent val="0"/>
          <c:showBubbleSize val="0"/>
        </c:dLbls>
        <c:axId val="1630230351"/>
        <c:axId val="307214831"/>
      </c:scatterChart>
      <c:valAx>
        <c:axId val="1630230351"/>
        <c:scaling>
          <c:orientation val="minMax"/>
        </c:scaling>
        <c:delete val="0"/>
        <c:axPos val="b"/>
        <c:title>
          <c:tx>
            <c:rich>
              <a:bodyPr/>
              <a:lstStyle/>
              <a:p>
                <a:pPr>
                  <a:defRPr sz="1400"/>
                </a:pPr>
                <a:r>
                  <a:rPr lang="en-US" sz="1400"/>
                  <a:t>Time (h)</a:t>
                </a:r>
              </a:p>
            </c:rich>
          </c:tx>
          <c:overlay val="0"/>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7214831"/>
        <c:crosses val="autoZero"/>
        <c:crossBetween val="midCat"/>
      </c:valAx>
      <c:valAx>
        <c:axId val="30721483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en-US" sz="1400" b="1" i="0" baseline="0">
                    <a:effectLst/>
                  </a:rPr>
                  <a:t>ng eq mass per L</a:t>
                </a:r>
                <a:endParaRPr lang="en-US" sz="1400">
                  <a:effectLst/>
                </a:endParaRP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0230351"/>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Glycols</c:v>
          </c:tx>
          <c:trendline>
            <c:trendlineType val="power"/>
            <c:dispRSqr val="1"/>
            <c:dispEq val="1"/>
            <c:trendlineLbl>
              <c:layout>
                <c:manualLayout>
                  <c:x val="0.12980142706590264"/>
                  <c:y val="-0.42286651563094074"/>
                </c:manualLayout>
              </c:layout>
              <c:numFmt formatCode="General" sourceLinked="0"/>
              <c:spPr>
                <a:solidFill>
                  <a:schemeClr val="lt1"/>
                </a:solidFill>
              </c:spPr>
            </c:trendlineLbl>
          </c:trendline>
          <c:xVal>
            <c:numRef>
              <c:f>'SVOC Data Preparation'!$BD$144:$BL$144</c:f>
              <c:numCache>
                <c:formatCode>0.00</c:formatCode>
                <c:ptCount val="9"/>
                <c:pt idx="0">
                  <c:v>168.29166666666666</c:v>
                </c:pt>
                <c:pt idx="1">
                  <c:v>96.963055555555556</c:v>
                </c:pt>
                <c:pt idx="2">
                  <c:v>72.958888888888893</c:v>
                </c:pt>
                <c:pt idx="3">
                  <c:v>48.914722222222224</c:v>
                </c:pt>
                <c:pt idx="4">
                  <c:v>24.97388888888889</c:v>
                </c:pt>
                <c:pt idx="5">
                  <c:v>6.052777777777778</c:v>
                </c:pt>
                <c:pt idx="6">
                  <c:v>4.9749999999999996</c:v>
                </c:pt>
                <c:pt idx="7">
                  <c:v>3.8711111111111109</c:v>
                </c:pt>
                <c:pt idx="8">
                  <c:v>2.8580555555555556</c:v>
                </c:pt>
              </c:numCache>
            </c:numRef>
          </c:xVal>
          <c:yVal>
            <c:numRef>
              <c:f>'SVOC Data Preparation'!$BD$146:$BL$146</c:f>
              <c:numCache>
                <c:formatCode>General</c:formatCode>
                <c:ptCount val="9"/>
                <c:pt idx="0">
                  <c:v>1429.4753313554925</c:v>
                </c:pt>
                <c:pt idx="1">
                  <c:v>1823.9817421681701</c:v>
                </c:pt>
                <c:pt idx="2">
                  <c:v>6982.4781903727326</c:v>
                </c:pt>
                <c:pt idx="3">
                  <c:v>2981.7514546822349</c:v>
                </c:pt>
                <c:pt idx="4">
                  <c:v>6049.1959839153324</c:v>
                </c:pt>
                <c:pt idx="5">
                  <c:v>55847.297446481658</c:v>
                </c:pt>
                <c:pt idx="6">
                  <c:v>88200.541267359324</c:v>
                </c:pt>
                <c:pt idx="7">
                  <c:v>107989.22039411459</c:v>
                </c:pt>
                <c:pt idx="8">
                  <c:v>192224.19297161076</c:v>
                </c:pt>
              </c:numCache>
            </c:numRef>
          </c:yVal>
          <c:smooth val="0"/>
          <c:extLst>
            <c:ext xmlns:c16="http://schemas.microsoft.com/office/drawing/2014/chart" uri="{C3380CC4-5D6E-409C-BE32-E72D297353CC}">
              <c16:uniqueId val="{00000001-74D6-46F0-9F7F-4828E69653DF}"/>
            </c:ext>
          </c:extLst>
        </c:ser>
        <c:dLbls>
          <c:showLegendKey val="0"/>
          <c:showVal val="0"/>
          <c:showCatName val="0"/>
          <c:showSerName val="0"/>
          <c:showPercent val="0"/>
          <c:showBubbleSize val="0"/>
        </c:dLbls>
        <c:axId val="1630230351"/>
        <c:axId val="307214831"/>
      </c:scatterChart>
      <c:valAx>
        <c:axId val="1630230351"/>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sz="1400"/>
                </a:pPr>
                <a:r>
                  <a:rPr lang="en-US" sz="1400" b="1" i="0" baseline="0">
                    <a:effectLst/>
                  </a:rPr>
                  <a:t>Time (h)</a:t>
                </a:r>
                <a:endParaRPr lang="en-US" sz="1400">
                  <a:effectLst/>
                </a:endParaRPr>
              </a:p>
            </c:rich>
          </c:tx>
          <c:overlay val="0"/>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7214831"/>
        <c:crosses val="autoZero"/>
        <c:crossBetween val="midCat"/>
      </c:valAx>
      <c:valAx>
        <c:axId val="30721483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en-US" sz="1400"/>
                  <a:t>ng</a:t>
                </a:r>
                <a:r>
                  <a:rPr lang="en-US" sz="1400" baseline="0"/>
                  <a:t> eq mass per L</a:t>
                </a:r>
                <a:endParaRPr lang="en-US" sz="1400"/>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0230351"/>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PAHs</c:v>
          </c:tx>
          <c:trendline>
            <c:trendlineType val="power"/>
            <c:dispRSqr val="1"/>
            <c:dispEq val="1"/>
            <c:trendlineLbl>
              <c:layout>
                <c:manualLayout>
                  <c:x val="0.11812105507688704"/>
                  <c:y val="-0.3779721411356588"/>
                </c:manualLayout>
              </c:layout>
              <c:numFmt formatCode="General" sourceLinked="0"/>
              <c:spPr>
                <a:solidFill>
                  <a:schemeClr val="lt1"/>
                </a:solidFill>
              </c:spPr>
            </c:trendlineLbl>
          </c:trendline>
          <c:xVal>
            <c:numRef>
              <c:f>'SVOC Data Preparation'!$BD$144:$BL$144</c:f>
              <c:numCache>
                <c:formatCode>0.00</c:formatCode>
                <c:ptCount val="9"/>
                <c:pt idx="0">
                  <c:v>168.29166666666666</c:v>
                </c:pt>
                <c:pt idx="1">
                  <c:v>96.963055555555556</c:v>
                </c:pt>
                <c:pt idx="2">
                  <c:v>72.958888888888893</c:v>
                </c:pt>
                <c:pt idx="3">
                  <c:v>48.914722222222224</c:v>
                </c:pt>
                <c:pt idx="4">
                  <c:v>24.97388888888889</c:v>
                </c:pt>
                <c:pt idx="5">
                  <c:v>6.052777777777778</c:v>
                </c:pt>
                <c:pt idx="6">
                  <c:v>4.9749999999999996</c:v>
                </c:pt>
                <c:pt idx="7">
                  <c:v>3.8711111111111109</c:v>
                </c:pt>
                <c:pt idx="8">
                  <c:v>2.8580555555555556</c:v>
                </c:pt>
              </c:numCache>
            </c:numRef>
          </c:xVal>
          <c:yVal>
            <c:numRef>
              <c:f>'SVOC Data Preparation'!$BD$147:$BL$147</c:f>
              <c:numCache>
                <c:formatCode>General</c:formatCode>
                <c:ptCount val="9"/>
                <c:pt idx="0">
                  <c:v>242.37978146333054</c:v>
                </c:pt>
                <c:pt idx="1">
                  <c:v>334.78863217196647</c:v>
                </c:pt>
                <c:pt idx="2">
                  <c:v>416.08170043326766</c:v>
                </c:pt>
                <c:pt idx="3">
                  <c:v>463.76182694506622</c:v>
                </c:pt>
                <c:pt idx="4">
                  <c:v>708.77332428915417</c:v>
                </c:pt>
                <c:pt idx="5">
                  <c:v>1996.7813998647482</c:v>
                </c:pt>
                <c:pt idx="6">
                  <c:v>1960.4627634187141</c:v>
                </c:pt>
                <c:pt idx="7">
                  <c:v>2157.8806906956252</c:v>
                </c:pt>
                <c:pt idx="8">
                  <c:v>3488.7609564951417</c:v>
                </c:pt>
              </c:numCache>
            </c:numRef>
          </c:yVal>
          <c:smooth val="0"/>
          <c:extLst>
            <c:ext xmlns:c16="http://schemas.microsoft.com/office/drawing/2014/chart" uri="{C3380CC4-5D6E-409C-BE32-E72D297353CC}">
              <c16:uniqueId val="{00000001-306A-471D-B7A2-4C1A563D4488}"/>
            </c:ext>
          </c:extLst>
        </c:ser>
        <c:dLbls>
          <c:showLegendKey val="0"/>
          <c:showVal val="0"/>
          <c:showCatName val="0"/>
          <c:showSerName val="0"/>
          <c:showPercent val="0"/>
          <c:showBubbleSize val="0"/>
        </c:dLbls>
        <c:axId val="1630230351"/>
        <c:axId val="307214831"/>
      </c:scatterChart>
      <c:valAx>
        <c:axId val="1630230351"/>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a:defRPr sz="1400"/>
                </a:pPr>
                <a:r>
                  <a:rPr lang="en-US" sz="1400" b="1" i="0" baseline="0">
                    <a:effectLst/>
                  </a:rPr>
                  <a:t>Time (h)</a:t>
                </a:r>
                <a:endParaRPr lang="en-US" sz="1400">
                  <a:effectLst/>
                </a:endParaRPr>
              </a:p>
            </c:rich>
          </c:tx>
          <c:overlay val="0"/>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7214831"/>
        <c:crosses val="autoZero"/>
        <c:crossBetween val="midCat"/>
      </c:valAx>
      <c:valAx>
        <c:axId val="30721483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en-US" sz="1400" b="1" i="0" baseline="0">
                    <a:effectLst/>
                  </a:rPr>
                  <a:t>ng eq mass per L</a:t>
                </a:r>
                <a:endParaRPr lang="en-US" sz="1400">
                  <a:effectLst/>
                </a:endParaRP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0230351"/>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Substituted Benzenes</c:v>
          </c:tx>
          <c:trendline>
            <c:trendlineType val="power"/>
            <c:dispRSqr val="1"/>
            <c:dispEq val="1"/>
            <c:trendlineLbl>
              <c:layout>
                <c:manualLayout>
                  <c:x val="0.12590301202316243"/>
                  <c:y val="-0.42785477946374983"/>
                </c:manualLayout>
              </c:layout>
              <c:numFmt formatCode="General" sourceLinked="0"/>
              <c:spPr>
                <a:solidFill>
                  <a:schemeClr val="lt1"/>
                </a:solidFill>
              </c:spPr>
            </c:trendlineLbl>
          </c:trendline>
          <c:xVal>
            <c:numRef>
              <c:f>'SVOC Data Preparation'!$BD$144:$BL$144</c:f>
              <c:numCache>
                <c:formatCode>0.00</c:formatCode>
                <c:ptCount val="9"/>
                <c:pt idx="0">
                  <c:v>168.29166666666666</c:v>
                </c:pt>
                <c:pt idx="1">
                  <c:v>96.963055555555556</c:v>
                </c:pt>
                <c:pt idx="2">
                  <c:v>72.958888888888893</c:v>
                </c:pt>
                <c:pt idx="3">
                  <c:v>48.914722222222224</c:v>
                </c:pt>
                <c:pt idx="4">
                  <c:v>24.97388888888889</c:v>
                </c:pt>
                <c:pt idx="5">
                  <c:v>6.052777777777778</c:v>
                </c:pt>
                <c:pt idx="6">
                  <c:v>4.9749999999999996</c:v>
                </c:pt>
                <c:pt idx="7">
                  <c:v>3.8711111111111109</c:v>
                </c:pt>
                <c:pt idx="8">
                  <c:v>2.8580555555555556</c:v>
                </c:pt>
              </c:numCache>
            </c:numRef>
          </c:xVal>
          <c:yVal>
            <c:numRef>
              <c:f>'SVOC Data Preparation'!$BD$148:$BL$148</c:f>
              <c:numCache>
                <c:formatCode>General</c:formatCode>
                <c:ptCount val="9"/>
                <c:pt idx="0">
                  <c:v>839.45965592881748</c:v>
                </c:pt>
                <c:pt idx="1">
                  <c:v>1169.014150066369</c:v>
                </c:pt>
                <c:pt idx="2">
                  <c:v>1631.4313203921299</c:v>
                </c:pt>
                <c:pt idx="3">
                  <c:v>2100.6865846736487</c:v>
                </c:pt>
                <c:pt idx="4">
                  <c:v>4149.9973134132761</c:v>
                </c:pt>
                <c:pt idx="5">
                  <c:v>19601.449094677584</c:v>
                </c:pt>
                <c:pt idx="6">
                  <c:v>16357.204743060944</c:v>
                </c:pt>
                <c:pt idx="7">
                  <c:v>26546.376849193046</c:v>
                </c:pt>
                <c:pt idx="8">
                  <c:v>46933.656967932126</c:v>
                </c:pt>
              </c:numCache>
            </c:numRef>
          </c:yVal>
          <c:smooth val="0"/>
          <c:extLst>
            <c:ext xmlns:c16="http://schemas.microsoft.com/office/drawing/2014/chart" uri="{C3380CC4-5D6E-409C-BE32-E72D297353CC}">
              <c16:uniqueId val="{00000001-3DCC-4B11-99F6-72E53325C443}"/>
            </c:ext>
          </c:extLst>
        </c:ser>
        <c:dLbls>
          <c:showLegendKey val="0"/>
          <c:showVal val="0"/>
          <c:showCatName val="0"/>
          <c:showSerName val="0"/>
          <c:showPercent val="0"/>
          <c:showBubbleSize val="0"/>
        </c:dLbls>
        <c:axId val="1630230351"/>
        <c:axId val="307214831"/>
      </c:scatterChart>
      <c:valAx>
        <c:axId val="1630230351"/>
        <c:scaling>
          <c:orientation val="minMax"/>
        </c:scaling>
        <c:delete val="0"/>
        <c:axPos val="b"/>
        <c:majorGridlines>
          <c:spPr>
            <a:ln w="9525" cap="flat" cmpd="sng" algn="ctr">
              <a:solidFill>
                <a:schemeClr val="tx1">
                  <a:lumMod val="15000"/>
                  <a:lumOff val="85000"/>
                </a:schemeClr>
              </a:solidFill>
              <a:round/>
            </a:ln>
            <a:effectLst/>
          </c:spPr>
        </c:majorGridlines>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b="1" i="0" baseline="0">
                    <a:effectLst/>
                  </a:rPr>
                  <a:t>Time (h)</a:t>
                </a:r>
                <a:endParaRPr lang="en-US" sz="1400">
                  <a:effectLst/>
                </a:endParaRPr>
              </a:p>
            </c:rich>
          </c:tx>
          <c:overlay val="0"/>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7214831"/>
        <c:crosses val="autoZero"/>
        <c:crossBetween val="midCat"/>
      </c:valAx>
      <c:valAx>
        <c:axId val="30721483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en-US" sz="1400" b="1" i="0" baseline="0">
                    <a:effectLst/>
                  </a:rPr>
                  <a:t>ng eq mass per L</a:t>
                </a:r>
                <a:endParaRPr lang="en-US" sz="1400">
                  <a:effectLst/>
                </a:endParaRPr>
              </a:p>
            </c:rich>
          </c:tx>
          <c:overlay val="0"/>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0230351"/>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Mid Extrapolation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Curve for All points</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4.854158981338964E-3"/>
                  <c:y val="-0.55447725284339455"/>
                </c:manualLayout>
              </c:layout>
              <c:numFmt formatCode="General"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'SVOC Data Preparation'!$V$205:$AC$205</c:f>
              <c:numCache>
                <c:formatCode>General</c:formatCode>
                <c:ptCount val="8"/>
                <c:pt idx="0">
                  <c:v>0.99722222222222223</c:v>
                </c:pt>
                <c:pt idx="1">
                  <c:v>2.1288888888888891</c:v>
                </c:pt>
                <c:pt idx="2">
                  <c:v>3.339722222222222</c:v>
                </c:pt>
                <c:pt idx="3">
                  <c:v>24.33111111111111</c:v>
                </c:pt>
                <c:pt idx="4">
                  <c:v>48.563055555555557</c:v>
                </c:pt>
                <c:pt idx="5">
                  <c:v>72.413888888888891</c:v>
                </c:pt>
                <c:pt idx="6">
                  <c:v>96.575555555555553</c:v>
                </c:pt>
                <c:pt idx="7">
                  <c:v>168.52055555555555</c:v>
                </c:pt>
              </c:numCache>
            </c:numRef>
          </c:xVal>
          <c:yVal>
            <c:numRef>
              <c:f>'SVOC Data Preparation'!$V$206:$AC$206</c:f>
              <c:numCache>
                <c:formatCode>General</c:formatCode>
                <c:ptCount val="8"/>
                <c:pt idx="0">
                  <c:v>144415.715232866</c:v>
                </c:pt>
                <c:pt idx="1">
                  <c:v>195956.59641114032</c:v>
                </c:pt>
                <c:pt idx="2">
                  <c:v>288551.0937378268</c:v>
                </c:pt>
                <c:pt idx="3">
                  <c:v>10813.474172701268</c:v>
                </c:pt>
                <c:pt idx="4">
                  <c:v>8926.271590860315</c:v>
                </c:pt>
                <c:pt idx="5">
                  <c:v>9144.1000120403696</c:v>
                </c:pt>
                <c:pt idx="6">
                  <c:v>10266.558984085741</c:v>
                </c:pt>
                <c:pt idx="7">
                  <c:v>7931.7868647734513</c:v>
                </c:pt>
              </c:numCache>
            </c:numRef>
          </c:yVal>
          <c:smooth val="0"/>
          <c:extLst>
            <c:ext xmlns:c16="http://schemas.microsoft.com/office/drawing/2014/chart" uri="{C3380CC4-5D6E-409C-BE32-E72D297353CC}">
              <c16:uniqueId val="{00000001-9977-46BB-B329-722287A065BC}"/>
            </c:ext>
          </c:extLst>
        </c:ser>
        <c:ser>
          <c:idx val="2"/>
          <c:order val="1"/>
          <c:tx>
            <c:v>Extrapolated Results from Full Curve</c:v>
          </c:tx>
          <c:spPr>
            <a:ln w="25400" cap="rnd">
              <a:noFill/>
              <a:round/>
            </a:ln>
            <a:effectLst/>
          </c:spPr>
          <c:marker>
            <c:symbol val="circle"/>
            <c:size val="5"/>
            <c:spPr>
              <a:solidFill>
                <a:schemeClr val="accent3"/>
              </a:solidFill>
              <a:ln w="9525">
                <a:solidFill>
                  <a:schemeClr val="accent3"/>
                </a:solidFill>
              </a:ln>
              <a:effectLst/>
            </c:spPr>
          </c:marker>
          <c:xVal>
            <c:numRef>
              <c:f>'SVOC Data Preparation'!$X$202:$Z$202</c:f>
              <c:numCache>
                <c:formatCode>General</c:formatCode>
                <c:ptCount val="3"/>
                <c:pt idx="0">
                  <c:v>4.3736111111111109</c:v>
                </c:pt>
                <c:pt idx="1">
                  <c:v>5.4625000000000004</c:v>
                </c:pt>
                <c:pt idx="2">
                  <c:v>6.6330555555555559</c:v>
                </c:pt>
              </c:numCache>
            </c:numRef>
          </c:xVal>
          <c:yVal>
            <c:numRef>
              <c:f>'SVOC Data Preparation'!$X$203:$Z$203</c:f>
              <c:numCache>
                <c:formatCode>General</c:formatCode>
                <c:ptCount val="3"/>
                <c:pt idx="0">
                  <c:v>86272.670378814379</c:v>
                </c:pt>
                <c:pt idx="1">
                  <c:v>72812.276532965174</c:v>
                </c:pt>
                <c:pt idx="2">
                  <c:v>62786.573529679641</c:v>
                </c:pt>
              </c:numCache>
            </c:numRef>
          </c:yVal>
          <c:smooth val="0"/>
          <c:extLst>
            <c:ext xmlns:c16="http://schemas.microsoft.com/office/drawing/2014/chart" uri="{C3380CC4-5D6E-409C-BE32-E72D297353CC}">
              <c16:uniqueId val="{00000004-9977-46BB-B329-722287A065BC}"/>
            </c:ext>
          </c:extLst>
        </c:ser>
        <c:dLbls>
          <c:showLegendKey val="0"/>
          <c:showVal val="0"/>
          <c:showCatName val="0"/>
          <c:showSerName val="0"/>
          <c:showPercent val="0"/>
          <c:showBubbleSize val="0"/>
        </c:dLbls>
        <c:axId val="839783135"/>
        <c:axId val="715574655"/>
      </c:scatterChart>
      <c:valAx>
        <c:axId val="8397831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5574655"/>
        <c:crosses val="autoZero"/>
        <c:crossBetween val="midCat"/>
      </c:valAx>
      <c:valAx>
        <c:axId val="7155746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97831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Unkown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526254328641292"/>
          <c:y val="0.2323545492979924"/>
          <c:w val="0.72050760806785596"/>
          <c:h val="0.49945261877180797"/>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'!$Y$66:$Y$77</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'!$Z$66:$Z$77</c:f>
              <c:numCache>
                <c:formatCode>0.00</c:formatCode>
                <c:ptCount val="12"/>
                <c:pt idx="0">
                  <c:v>388.54879797478026</c:v>
                </c:pt>
                <c:pt idx="1">
                  <c:v>188.8035487655427</c:v>
                </c:pt>
                <c:pt idx="2">
                  <c:v>83.366406101217734</c:v>
                </c:pt>
                <c:pt idx="3">
                  <c:v>1176.1047537022403</c:v>
                </c:pt>
                <c:pt idx="4">
                  <c:v>2892.3099185985002</c:v>
                </c:pt>
                <c:pt idx="5">
                  <c:v>927.31024386866807</c:v>
                </c:pt>
                <c:pt idx="6">
                  <c:v>3854.9832648018255</c:v>
                </c:pt>
                <c:pt idx="7">
                  <c:v>237.05306328522877</c:v>
                </c:pt>
                <c:pt idx="8">
                  <c:v>1130.8957946899313</c:v>
                </c:pt>
                <c:pt idx="9">
                  <c:v>665.07196771898225</c:v>
                </c:pt>
                <c:pt idx="10">
                  <c:v>802.46776049906362</c:v>
                </c:pt>
                <c:pt idx="11">
                  <c:v>526.34753419583535</c:v>
                </c:pt>
              </c:numCache>
            </c:numRef>
          </c:yVal>
          <c:smooth val="0"/>
          <c:extLst>
            <c:ext xmlns:c16="http://schemas.microsoft.com/office/drawing/2014/chart" uri="{C3380CC4-5D6E-409C-BE32-E72D297353CC}">
              <c16:uniqueId val="{00000000-FEF8-4655-B45B-707C7189078F}"/>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7938797488946678E-2"/>
              <c:y val="0.1956145031022402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Acetaldehyde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5119995475425907"/>
          <c:y val="0.20086295095466009"/>
          <c:w val="0.7845701968818144"/>
          <c:h val="0.53094416139159073"/>
        </c:manualLayout>
      </c:layout>
      <c:scatterChart>
        <c:scatterStyle val="lineMarker"/>
        <c:varyColors val="0"/>
        <c:ser>
          <c:idx val="0"/>
          <c:order val="0"/>
          <c:tx>
            <c:v>Experimental</c:v>
          </c:tx>
          <c:spPr>
            <a:ln w="25400" cap="rnd">
              <a:noFill/>
              <a:round/>
            </a:ln>
            <a:effectLst/>
          </c:spPr>
          <c:marker>
            <c:symbol val="circle"/>
            <c:size val="5"/>
            <c:spPr>
              <a:solidFill>
                <a:schemeClr val="accent1"/>
              </a:solidFill>
              <a:ln w="25400">
                <a:solidFill>
                  <a:srgbClr val="3333FF"/>
                </a:solidFill>
              </a:ln>
              <a:effectLst/>
            </c:spPr>
          </c:marker>
          <c:xVal>
            <c:numRef>
              <c:f>'Time-Int. Data by Analyte '!$Y$48:$Y$59</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'!$Z$48:$Z$59</c:f>
              <c:numCache>
                <c:formatCode>0.000</c:formatCode>
                <c:ptCount val="12"/>
                <c:pt idx="0">
                  <c:v>507.42505851688969</c:v>
                </c:pt>
                <c:pt idx="1">
                  <c:v>412.42394758894255</c:v>
                </c:pt>
                <c:pt idx="2">
                  <c:v>605.78015243444702</c:v>
                </c:pt>
                <c:pt idx="3">
                  <c:v>612.80249373518393</c:v>
                </c:pt>
                <c:pt idx="4">
                  <c:v>575.0501727460645</c:v>
                </c:pt>
                <c:pt idx="5">
                  <c:v>465.34914498331972</c:v>
                </c:pt>
                <c:pt idx="6">
                  <c:v>500.77352493794029</c:v>
                </c:pt>
                <c:pt idx="7">
                  <c:v>15.700098064408868</c:v>
                </c:pt>
                <c:pt idx="8">
                  <c:v>22.397239440879666</c:v>
                </c:pt>
                <c:pt idx="9">
                  <c:v>15.413816939259922</c:v>
                </c:pt>
                <c:pt idx="10">
                  <c:v>6.608245262942356</c:v>
                </c:pt>
                <c:pt idx="11">
                  <c:v>5.2661356432601227</c:v>
                </c:pt>
              </c:numCache>
            </c:numRef>
          </c:yVal>
          <c:smooth val="0"/>
          <c:extLst>
            <c:ext xmlns:c16="http://schemas.microsoft.com/office/drawing/2014/chart" uri="{C3380CC4-5D6E-409C-BE32-E72D297353CC}">
              <c16:uniqueId val="{00000000-01D5-40E1-B220-DDCBF98ED282}"/>
            </c:ext>
          </c:extLst>
        </c:ser>
        <c:ser>
          <c:idx val="1"/>
          <c:order val="1"/>
          <c:tx>
            <c:v>1st order</c:v>
          </c:tx>
          <c:spPr>
            <a:ln w="12700" cap="rnd">
              <a:solidFill>
                <a:srgbClr val="FFC000"/>
              </a:solidFill>
              <a:round/>
            </a:ln>
            <a:effectLst/>
          </c:spPr>
          <c:marker>
            <c:symbol val="none"/>
          </c:marker>
          <c:xVal>
            <c:numRef>
              <c:f>'Time-Int. Data by Analyte '!$Y$48:$Y$59</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'!$AB$48:$AB$59</c:f>
              <c:numCache>
                <c:formatCode>General</c:formatCode>
                <c:ptCount val="12"/>
                <c:pt idx="0">
                  <c:v>604.51200000000006</c:v>
                </c:pt>
                <c:pt idx="1">
                  <c:v>572.83799999999997</c:v>
                </c:pt>
                <c:pt idx="2">
                  <c:v>537.12599999999998</c:v>
                </c:pt>
                <c:pt idx="3">
                  <c:v>505.50399999999996</c:v>
                </c:pt>
                <c:pt idx="4">
                  <c:v>479.77699999999999</c:v>
                </c:pt>
                <c:pt idx="5">
                  <c:v>451.76899999999995</c:v>
                </c:pt>
                <c:pt idx="6">
                  <c:v>426.07099999999997</c:v>
                </c:pt>
                <c:pt idx="7">
                  <c:v>159.85599999999999</c:v>
                </c:pt>
                <c:pt idx="8">
                  <c:v>42.811</c:v>
                </c:pt>
                <c:pt idx="9">
                  <c:v>12.194999999999999</c:v>
                </c:pt>
                <c:pt idx="10">
                  <c:v>3.3939999999999997</c:v>
                </c:pt>
                <c:pt idx="11">
                  <c:v>7.3300000000000004E-2</c:v>
                </c:pt>
              </c:numCache>
            </c:numRef>
          </c:yVal>
          <c:smooth val="0"/>
          <c:extLst>
            <c:ext xmlns:c16="http://schemas.microsoft.com/office/drawing/2014/chart" uri="{C3380CC4-5D6E-409C-BE32-E72D297353CC}">
              <c16:uniqueId val="{00000001-01D5-40E1-B220-DDCBF98ED282}"/>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Hexaldehyde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526254328641292"/>
          <c:y val="0.2323545492979924"/>
          <c:w val="0.72050760806785596"/>
          <c:h val="0.49945261877180797"/>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'!$Y$84:$Y$95</c:f>
              <c:numCache>
                <c:formatCode>0.00</c:formatCode>
                <c:ptCount val="12"/>
                <c:pt idx="0">
                  <c:v>0.81000000005587935</c:v>
                </c:pt>
                <c:pt idx="1">
                  <c:v>1.8263888888759539</c:v>
                </c:pt>
                <c:pt idx="2">
                  <c:v>3.0533333334024064</c:v>
                </c:pt>
                <c:pt idx="3">
                  <c:v>4.2001388889038935</c:v>
                </c:pt>
                <c:pt idx="4">
                  <c:v>5.1927777778473683</c:v>
                </c:pt>
                <c:pt idx="5">
                  <c:v>6.3311111111543141</c:v>
                </c:pt>
                <c:pt idx="6">
                  <c:v>7.4402777777868323</c:v>
                </c:pt>
                <c:pt idx="7">
                  <c:v>26.019166666665114</c:v>
                </c:pt>
                <c:pt idx="8">
                  <c:v>50.994166666700039</c:v>
                </c:pt>
                <c:pt idx="9">
                  <c:v>74.79222222219687</c:v>
                </c:pt>
                <c:pt idx="10">
                  <c:v>99.034027777786832</c:v>
                </c:pt>
                <c:pt idx="11">
                  <c:v>171.73388888878981</c:v>
                </c:pt>
              </c:numCache>
            </c:numRef>
          </c:xVal>
          <c:yVal>
            <c:numRef>
              <c:f>'Time-Int. Data by Analyte '!$Z$84:$Z$95</c:f>
              <c:numCache>
                <c:formatCode>General</c:formatCode>
                <c:ptCount val="12"/>
                <c:pt idx="0">
                  <c:v>0</c:v>
                </c:pt>
                <c:pt idx="1">
                  <c:v>0</c:v>
                </c:pt>
                <c:pt idx="2">
                  <c:v>0</c:v>
                </c:pt>
                <c:pt idx="3" formatCode="0.000">
                  <c:v>70.417141070723375</c:v>
                </c:pt>
                <c:pt idx="4" formatCode="0.000">
                  <c:v>89.104490289570393</c:v>
                </c:pt>
                <c:pt idx="5" formatCode="0.000">
                  <c:v>66.913094752047257</c:v>
                </c:pt>
                <c:pt idx="6" formatCode="0.000">
                  <c:v>111.65393959680873</c:v>
                </c:pt>
                <c:pt idx="7" formatCode="0.000">
                  <c:v>14.915734638870434</c:v>
                </c:pt>
                <c:pt idx="8" formatCode="0.000">
                  <c:v>24.997148821999637</c:v>
                </c:pt>
                <c:pt idx="9" formatCode="0.000">
                  <c:v>11.812761819481576</c:v>
                </c:pt>
                <c:pt idx="10" formatCode="0.000">
                  <c:v>0</c:v>
                </c:pt>
                <c:pt idx="11" formatCode="0.000">
                  <c:v>0</c:v>
                </c:pt>
              </c:numCache>
            </c:numRef>
          </c:yVal>
          <c:smooth val="0"/>
          <c:extLst>
            <c:ext xmlns:c16="http://schemas.microsoft.com/office/drawing/2014/chart" uri="{C3380CC4-5D6E-409C-BE32-E72D297353CC}">
              <c16:uniqueId val="{00000000-F08E-4931-BD64-A2F1A4B4BEFB}"/>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1.7938797488946678E-2"/>
              <c:y val="0.1956145031022402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34359741345181016"/>
          <c:y val="0.25816931707066026"/>
          <c:w val="0.53993552481917417"/>
          <c:h val="9.45511811023622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Acetaldehyde (VOC)</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7337917865129043"/>
          <c:y val="0.20086295095466009"/>
          <c:w val="0.76239097204498407"/>
          <c:h val="0.53094416139159073"/>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'!$Y$104:$Y$106</c:f>
              <c:numCache>
                <c:formatCode>0.00</c:formatCode>
                <c:ptCount val="3"/>
                <c:pt idx="0">
                  <c:v>0.31402777775656432</c:v>
                </c:pt>
                <c:pt idx="1">
                  <c:v>1.3222222222248092</c:v>
                </c:pt>
                <c:pt idx="2">
                  <c:v>2.4509722223156132</c:v>
                </c:pt>
              </c:numCache>
            </c:numRef>
          </c:xVal>
          <c:yVal>
            <c:numRef>
              <c:f>'Time-Int. Data by Analyte '!$Z$104:$Z$106</c:f>
              <c:numCache>
                <c:formatCode>0.00</c:formatCode>
                <c:ptCount val="3"/>
                <c:pt idx="0">
                  <c:v>1922.3439906323993</c:v>
                </c:pt>
                <c:pt idx="1">
                  <c:v>1395.5834024695855</c:v>
                </c:pt>
                <c:pt idx="2">
                  <c:v>1300.9228664413374</c:v>
                </c:pt>
              </c:numCache>
            </c:numRef>
          </c:yVal>
          <c:smooth val="0"/>
          <c:extLst>
            <c:ext xmlns:c16="http://schemas.microsoft.com/office/drawing/2014/chart" uri="{C3380CC4-5D6E-409C-BE32-E72D297353CC}">
              <c16:uniqueId val="{00000000-F276-4D0F-A581-0401C0243AB4}"/>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rgbClr val="3333FF"/>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8123161141452617"/>
          <c:y val="0.15319772715907692"/>
          <c:w val="0.35299672351675709"/>
          <c:h val="0.21001999005663094"/>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T2- Methanol</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1456916467494627"/>
          <c:y val="0.20086308113020485"/>
          <c:w val="0.72120096999695626"/>
          <c:h val="0.53094408693959549"/>
        </c:manualLayout>
      </c:layout>
      <c:scatterChart>
        <c:scatterStyle val="lineMarker"/>
        <c:varyColors val="0"/>
        <c:ser>
          <c:idx val="0"/>
          <c:order val="0"/>
          <c:tx>
            <c:v>Experimental</c:v>
          </c:tx>
          <c:spPr>
            <a:ln w="19050" cap="rnd">
              <a:solidFill>
                <a:schemeClr val="accent1"/>
              </a:solidFill>
              <a:round/>
            </a:ln>
            <a:effectLst/>
          </c:spPr>
          <c:marker>
            <c:symbol val="circle"/>
            <c:size val="5"/>
            <c:spPr>
              <a:solidFill>
                <a:schemeClr val="accent1"/>
              </a:solidFill>
              <a:ln w="25400">
                <a:solidFill>
                  <a:srgbClr val="3333FF"/>
                </a:solidFill>
              </a:ln>
              <a:effectLst/>
            </c:spPr>
          </c:marker>
          <c:xVal>
            <c:numRef>
              <c:f>'Time-Int. Data by Analyte '!$Y$121:$Y$125</c:f>
              <c:numCache>
                <c:formatCode>0.00</c:formatCode>
                <c:ptCount val="5"/>
                <c:pt idx="0">
                  <c:v>0.31402777775656432</c:v>
                </c:pt>
                <c:pt idx="1">
                  <c:v>1.3222222222248092</c:v>
                </c:pt>
                <c:pt idx="2">
                  <c:v>2.4509722223156132</c:v>
                </c:pt>
                <c:pt idx="3">
                  <c:v>3.6791666665230878</c:v>
                </c:pt>
                <c:pt idx="4">
                  <c:v>4.7030555555247702</c:v>
                </c:pt>
              </c:numCache>
            </c:numRef>
          </c:xVal>
          <c:yVal>
            <c:numRef>
              <c:f>'Time-Int. Data by Analyte '!$Z$121:$Z$125</c:f>
              <c:numCache>
                <c:formatCode>0.00</c:formatCode>
                <c:ptCount val="5"/>
                <c:pt idx="0">
                  <c:v>6334440.1928865463</c:v>
                </c:pt>
                <c:pt idx="1">
                  <c:v>1120801.8941554781</c:v>
                </c:pt>
                <c:pt idx="2">
                  <c:v>391667.00025664247</c:v>
                </c:pt>
                <c:pt idx="3">
                  <c:v>0</c:v>
                </c:pt>
                <c:pt idx="4">
                  <c:v>96380.620270765517</c:v>
                </c:pt>
              </c:numCache>
            </c:numRef>
          </c:yVal>
          <c:smooth val="0"/>
          <c:extLst>
            <c:ext xmlns:c16="http://schemas.microsoft.com/office/drawing/2014/chart" uri="{C3380CC4-5D6E-409C-BE32-E72D297353CC}">
              <c16:uniqueId val="{00000000-104B-4109-AED2-998BA25AED7A}"/>
            </c:ext>
          </c:extLst>
        </c:ser>
        <c:dLbls>
          <c:showLegendKey val="0"/>
          <c:showVal val="0"/>
          <c:showCatName val="0"/>
          <c:showSerName val="0"/>
          <c:showPercent val="0"/>
          <c:showBubbleSize val="0"/>
        </c:dLbls>
        <c:axId val="1805094592"/>
        <c:axId val="1805096256"/>
      </c:scatterChart>
      <c:valAx>
        <c:axId val="18050945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Elapsed time (hrs)</a:t>
                </a:r>
              </a:p>
            </c:rich>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6256"/>
        <c:crosses val="autoZero"/>
        <c:crossBetween val="midCat"/>
      </c:valAx>
      <c:valAx>
        <c:axId val="180509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sz="1200" b="1">
                    <a:solidFill>
                      <a:sysClr val="windowText" lastClr="000000"/>
                    </a:solidFill>
                  </a:rPr>
                  <a:t>Concentration (µg/m3)</a:t>
                </a:r>
              </a:p>
            </c:rich>
          </c:tx>
          <c:layout>
            <c:manualLayout>
              <c:xMode val="edge"/>
              <c:yMode val="edge"/>
              <c:x val="0"/>
              <c:y val="0.1693716129624173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1805094592"/>
        <c:crosses val="autoZero"/>
        <c:crossBetween val="midCat"/>
      </c:valAx>
      <c:spPr>
        <a:noFill/>
        <a:ln>
          <a:noFill/>
        </a:ln>
        <a:effectLst/>
      </c:spPr>
    </c:plotArea>
    <c:legend>
      <c:legendPos val="b"/>
      <c:layout>
        <c:manualLayout>
          <c:xMode val="edge"/>
          <c:yMode val="edge"/>
          <c:x val="0.54954704795920228"/>
          <c:y val="0.24767223401889985"/>
          <c:w val="0.36250209255335419"/>
          <c:h val="0.19952291645830769"/>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3" Type="http://schemas.openxmlformats.org/officeDocument/2006/relationships/chart" Target="../charts/chart16.xml"/><Relationship Id="rId18" Type="http://schemas.openxmlformats.org/officeDocument/2006/relationships/chart" Target="../charts/chart21.xml"/><Relationship Id="rId26" Type="http://schemas.openxmlformats.org/officeDocument/2006/relationships/chart" Target="../charts/chart29.xml"/><Relationship Id="rId21" Type="http://schemas.openxmlformats.org/officeDocument/2006/relationships/chart" Target="../charts/chart24.xml"/><Relationship Id="rId34" Type="http://schemas.openxmlformats.org/officeDocument/2006/relationships/chart" Target="../charts/chart37.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20.xml"/><Relationship Id="rId25" Type="http://schemas.openxmlformats.org/officeDocument/2006/relationships/chart" Target="../charts/chart28.xml"/><Relationship Id="rId33" Type="http://schemas.openxmlformats.org/officeDocument/2006/relationships/chart" Target="../charts/chart36.xml"/><Relationship Id="rId2" Type="http://schemas.openxmlformats.org/officeDocument/2006/relationships/chart" Target="../charts/chart5.xml"/><Relationship Id="rId16" Type="http://schemas.openxmlformats.org/officeDocument/2006/relationships/chart" Target="../charts/chart19.xml"/><Relationship Id="rId20" Type="http://schemas.openxmlformats.org/officeDocument/2006/relationships/chart" Target="../charts/chart23.xml"/><Relationship Id="rId29" Type="http://schemas.openxmlformats.org/officeDocument/2006/relationships/chart" Target="../charts/chart32.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24" Type="http://schemas.openxmlformats.org/officeDocument/2006/relationships/chart" Target="../charts/chart27.xml"/><Relationship Id="rId32" Type="http://schemas.openxmlformats.org/officeDocument/2006/relationships/chart" Target="../charts/chart35.xml"/><Relationship Id="rId37" Type="http://schemas.openxmlformats.org/officeDocument/2006/relationships/chart" Target="../charts/chart40.xml"/><Relationship Id="rId5" Type="http://schemas.openxmlformats.org/officeDocument/2006/relationships/chart" Target="../charts/chart8.xml"/><Relationship Id="rId15" Type="http://schemas.openxmlformats.org/officeDocument/2006/relationships/chart" Target="../charts/chart18.xml"/><Relationship Id="rId23" Type="http://schemas.openxmlformats.org/officeDocument/2006/relationships/chart" Target="../charts/chart26.xml"/><Relationship Id="rId28" Type="http://schemas.openxmlformats.org/officeDocument/2006/relationships/chart" Target="../charts/chart31.xml"/><Relationship Id="rId36" Type="http://schemas.openxmlformats.org/officeDocument/2006/relationships/chart" Target="../charts/chart39.xml"/><Relationship Id="rId10" Type="http://schemas.openxmlformats.org/officeDocument/2006/relationships/chart" Target="../charts/chart13.xml"/><Relationship Id="rId19" Type="http://schemas.openxmlformats.org/officeDocument/2006/relationships/chart" Target="../charts/chart22.xml"/><Relationship Id="rId31" Type="http://schemas.openxmlformats.org/officeDocument/2006/relationships/chart" Target="../charts/chart34.xml"/><Relationship Id="rId4" Type="http://schemas.openxmlformats.org/officeDocument/2006/relationships/chart" Target="../charts/chart7.xml"/><Relationship Id="rId9" Type="http://schemas.openxmlformats.org/officeDocument/2006/relationships/chart" Target="../charts/chart12.xml"/><Relationship Id="rId14" Type="http://schemas.openxmlformats.org/officeDocument/2006/relationships/chart" Target="../charts/chart17.xml"/><Relationship Id="rId22" Type="http://schemas.openxmlformats.org/officeDocument/2006/relationships/chart" Target="../charts/chart25.xml"/><Relationship Id="rId27" Type="http://schemas.openxmlformats.org/officeDocument/2006/relationships/chart" Target="../charts/chart30.xml"/><Relationship Id="rId30" Type="http://schemas.openxmlformats.org/officeDocument/2006/relationships/chart" Target="../charts/chart33.xml"/><Relationship Id="rId35" Type="http://schemas.openxmlformats.org/officeDocument/2006/relationships/chart" Target="../charts/chart38.xml"/><Relationship Id="rId8" Type="http://schemas.openxmlformats.org/officeDocument/2006/relationships/chart" Target="../charts/chart11.xml"/><Relationship Id="rId3" Type="http://schemas.openxmlformats.org/officeDocument/2006/relationships/chart" Target="../charts/chart6.xml"/></Relationships>
</file>

<file path=xl/drawings/_rels/drawing9.xml.rels><?xml version="1.0" encoding="UTF-8" standalone="yes"?>
<Relationships xmlns="http://schemas.openxmlformats.org/package/2006/relationships"><Relationship Id="rId8" Type="http://schemas.openxmlformats.org/officeDocument/2006/relationships/chart" Target="../charts/chart48.xml"/><Relationship Id="rId3" Type="http://schemas.openxmlformats.org/officeDocument/2006/relationships/chart" Target="../charts/chart43.xml"/><Relationship Id="rId7" Type="http://schemas.openxmlformats.org/officeDocument/2006/relationships/chart" Target="../charts/chart47.xml"/><Relationship Id="rId2" Type="http://schemas.openxmlformats.org/officeDocument/2006/relationships/chart" Target="../charts/chart42.xml"/><Relationship Id="rId1" Type="http://schemas.openxmlformats.org/officeDocument/2006/relationships/chart" Target="../charts/chart41.xml"/><Relationship Id="rId6" Type="http://schemas.openxmlformats.org/officeDocument/2006/relationships/chart" Target="../charts/chart46.xml"/><Relationship Id="rId5" Type="http://schemas.openxmlformats.org/officeDocument/2006/relationships/chart" Target="../charts/chart45.xml"/><Relationship Id="rId4" Type="http://schemas.openxmlformats.org/officeDocument/2006/relationships/chart" Target="../charts/chart44.xml"/><Relationship Id="rId9"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xdr:from>
      <xdr:col>12</xdr:col>
      <xdr:colOff>205740</xdr:colOff>
      <xdr:row>35</xdr:row>
      <xdr:rowOff>182880</xdr:rowOff>
    </xdr:from>
    <xdr:to>
      <xdr:col>15</xdr:col>
      <xdr:colOff>1630680</xdr:colOff>
      <xdr:row>50</xdr:row>
      <xdr:rowOff>160020</xdr:rowOff>
    </xdr:to>
    <xdr:sp macro="" textlink="">
      <xdr:nvSpPr>
        <xdr:cNvPr id="5" name="TextBox 4">
          <a:extLst>
            <a:ext uri="{FF2B5EF4-FFF2-40B4-BE49-F238E27FC236}">
              <a16:creationId xmlns:a16="http://schemas.microsoft.com/office/drawing/2014/main" id="{6C0BD04D-9026-4107-80C3-BEE25291FC8E}"/>
            </a:ext>
          </a:extLst>
        </xdr:cNvPr>
        <xdr:cNvSpPr txBox="1"/>
      </xdr:nvSpPr>
      <xdr:spPr>
        <a:xfrm>
          <a:off x="7520940" y="6606540"/>
          <a:ext cx="3253740" cy="2727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Sample times varied</a:t>
          </a:r>
          <a:r>
            <a:rPr lang="en-US" sz="1100" baseline="0"/>
            <a:t> slightly by ink experiment, but were largely maintained the same. Canister and Tube (i.e. SVOC) were sampled at approximately the same time, seperated only by the necessity of the researcher's operation and verification of sampling equipment. Due to limited sampling ports on the microchambers, DNPH cartridges (used in HPLC analysis) were collected at a time as near to the other samples as possible. These samples were collected as soon as possible after the canister and tube samples were finished. </a:t>
          </a:r>
        </a:p>
        <a:p>
          <a:endParaRPr lang="en-US" sz="1100"/>
        </a:p>
      </xdr:txBody>
    </xdr:sp>
    <xdr:clientData/>
  </xdr:twoCellAnchor>
  <xdr:twoCellAnchor>
    <xdr:from>
      <xdr:col>2</xdr:col>
      <xdr:colOff>0</xdr:colOff>
      <xdr:row>18</xdr:row>
      <xdr:rowOff>0</xdr:rowOff>
    </xdr:from>
    <xdr:to>
      <xdr:col>9</xdr:col>
      <xdr:colOff>15240</xdr:colOff>
      <xdr:row>32</xdr:row>
      <xdr:rowOff>160020</xdr:rowOff>
    </xdr:to>
    <xdr:sp macro="" textlink="">
      <xdr:nvSpPr>
        <xdr:cNvPr id="6" name="TextBox 5">
          <a:extLst>
            <a:ext uri="{FF2B5EF4-FFF2-40B4-BE49-F238E27FC236}">
              <a16:creationId xmlns:a16="http://schemas.microsoft.com/office/drawing/2014/main" id="{B4AE30BF-3B9C-446E-89BB-408AC0485BE4}"/>
            </a:ext>
          </a:extLst>
        </xdr:cNvPr>
        <xdr:cNvSpPr txBox="1"/>
      </xdr:nvSpPr>
      <xdr:spPr>
        <a:xfrm>
          <a:off x="5486400" y="5875020"/>
          <a:ext cx="4282440" cy="27203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SDS contents are found in Table 2 in the paper, but are reproduced here alongside some prediction</a:t>
          </a:r>
          <a:r>
            <a:rPr lang="en-US" sz="1100" baseline="0"/>
            <a:t>s of emissive mass. This informed experimental and analytical design, though much was proven wrong (as discussed in the published paper).</a:t>
          </a:r>
        </a:p>
        <a:p>
          <a:endParaRPr lang="en-US" sz="1100"/>
        </a:p>
      </xdr:txBody>
    </xdr:sp>
    <xdr:clientData/>
  </xdr:twoCellAnchor>
  <xdr:twoCellAnchor>
    <xdr:from>
      <xdr:col>14</xdr:col>
      <xdr:colOff>581024</xdr:colOff>
      <xdr:row>11</xdr:row>
      <xdr:rowOff>34608</xdr:rowOff>
    </xdr:from>
    <xdr:to>
      <xdr:col>17</xdr:col>
      <xdr:colOff>198120</xdr:colOff>
      <xdr:row>31</xdr:row>
      <xdr:rowOff>175260</xdr:rowOff>
    </xdr:to>
    <xdr:graphicFrame macro="">
      <xdr:nvGraphicFramePr>
        <xdr:cNvPr id="7" name="Chart 6">
          <a:extLst>
            <a:ext uri="{FF2B5EF4-FFF2-40B4-BE49-F238E27FC236}">
              <a16:creationId xmlns:a16="http://schemas.microsoft.com/office/drawing/2014/main" id="{B22BB56C-D96B-4FE9-ADF7-59ED39B7AD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519905</xdr:colOff>
      <xdr:row>11</xdr:row>
      <xdr:rowOff>33178</xdr:rowOff>
    </xdr:from>
    <xdr:to>
      <xdr:col>14</xdr:col>
      <xdr:colOff>487680</xdr:colOff>
      <xdr:row>31</xdr:row>
      <xdr:rowOff>175260</xdr:rowOff>
    </xdr:to>
    <xdr:graphicFrame macro="">
      <xdr:nvGraphicFramePr>
        <xdr:cNvPr id="8" name="Chart 7">
          <a:extLst>
            <a:ext uri="{FF2B5EF4-FFF2-40B4-BE49-F238E27FC236}">
              <a16:creationId xmlns:a16="http://schemas.microsoft.com/office/drawing/2014/main" id="{5F6C9236-B3B2-4FAA-916A-4C0EBA19F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388620</xdr:colOff>
      <xdr:row>11</xdr:row>
      <xdr:rowOff>35242</xdr:rowOff>
    </xdr:from>
    <xdr:to>
      <xdr:col>22</xdr:col>
      <xdr:colOff>60960</xdr:colOff>
      <xdr:row>32</xdr:row>
      <xdr:rowOff>0</xdr:rowOff>
    </xdr:to>
    <xdr:graphicFrame macro="">
      <xdr:nvGraphicFramePr>
        <xdr:cNvPr id="9" name="Chart 8">
          <a:extLst>
            <a:ext uri="{FF2B5EF4-FFF2-40B4-BE49-F238E27FC236}">
              <a16:creationId xmlns:a16="http://schemas.microsoft.com/office/drawing/2014/main" id="{0349E830-3ABB-4CF5-89E2-3D0771697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29</xdr:col>
      <xdr:colOff>519996</xdr:colOff>
      <xdr:row>26</xdr:row>
      <xdr:rowOff>55739</xdr:rowOff>
    </xdr:from>
    <xdr:to>
      <xdr:col>34</xdr:col>
      <xdr:colOff>543279</xdr:colOff>
      <xdr:row>39</xdr:row>
      <xdr:rowOff>90664</xdr:rowOff>
    </xdr:to>
    <xdr:graphicFrame macro="">
      <xdr:nvGraphicFramePr>
        <xdr:cNvPr id="2" name="Chart 1">
          <a:extLst>
            <a:ext uri="{FF2B5EF4-FFF2-40B4-BE49-F238E27FC236}">
              <a16:creationId xmlns:a16="http://schemas.microsoft.com/office/drawing/2014/main" id="{74C06895-7AAF-429A-AE61-37FD0951B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539044</xdr:colOff>
      <xdr:row>62</xdr:row>
      <xdr:rowOff>41628</xdr:rowOff>
    </xdr:from>
    <xdr:to>
      <xdr:col>34</xdr:col>
      <xdr:colOff>571501</xdr:colOff>
      <xdr:row>75</xdr:row>
      <xdr:rowOff>76553</xdr:rowOff>
    </xdr:to>
    <xdr:graphicFrame macro="">
      <xdr:nvGraphicFramePr>
        <xdr:cNvPr id="4" name="Chart 3">
          <a:extLst>
            <a:ext uri="{FF2B5EF4-FFF2-40B4-BE49-F238E27FC236}">
              <a16:creationId xmlns:a16="http://schemas.microsoft.com/office/drawing/2014/main" id="{E8EB2090-C06F-4C2E-9142-B0953E022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514351</xdr:colOff>
      <xdr:row>43</xdr:row>
      <xdr:rowOff>165804</xdr:rowOff>
    </xdr:from>
    <xdr:to>
      <xdr:col>34</xdr:col>
      <xdr:colOff>543279</xdr:colOff>
      <xdr:row>57</xdr:row>
      <xdr:rowOff>17285</xdr:rowOff>
    </xdr:to>
    <xdr:graphicFrame macro="">
      <xdr:nvGraphicFramePr>
        <xdr:cNvPr id="5" name="Chart 4">
          <a:extLst>
            <a:ext uri="{FF2B5EF4-FFF2-40B4-BE49-F238E27FC236}">
              <a16:creationId xmlns:a16="http://schemas.microsoft.com/office/drawing/2014/main" id="{CFA53351-5C6E-46BD-9771-83ED17FC0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29</xdr:col>
      <xdr:colOff>451555</xdr:colOff>
      <xdr:row>79</xdr:row>
      <xdr:rowOff>105833</xdr:rowOff>
    </xdr:from>
    <xdr:to>
      <xdr:col>34</xdr:col>
      <xdr:colOff>484012</xdr:colOff>
      <xdr:row>92</xdr:row>
      <xdr:rowOff>140759</xdr:rowOff>
    </xdr:to>
    <xdr:graphicFrame macro="">
      <xdr:nvGraphicFramePr>
        <xdr:cNvPr id="6" name="Chart 5">
          <a:extLst>
            <a:ext uri="{FF2B5EF4-FFF2-40B4-BE49-F238E27FC236}">
              <a16:creationId xmlns:a16="http://schemas.microsoft.com/office/drawing/2014/main" id="{5E1581E8-D884-4A86-9C84-E7BB80D863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29</xdr:col>
      <xdr:colOff>585611</xdr:colOff>
      <xdr:row>100</xdr:row>
      <xdr:rowOff>119945</xdr:rowOff>
    </xdr:from>
    <xdr:to>
      <xdr:col>35</xdr:col>
      <xdr:colOff>7761</xdr:colOff>
      <xdr:row>113</xdr:row>
      <xdr:rowOff>154870</xdr:rowOff>
    </xdr:to>
    <xdr:graphicFrame macro="">
      <xdr:nvGraphicFramePr>
        <xdr:cNvPr id="7" name="Chart 6">
          <a:extLst>
            <a:ext uri="{FF2B5EF4-FFF2-40B4-BE49-F238E27FC236}">
              <a16:creationId xmlns:a16="http://schemas.microsoft.com/office/drawing/2014/main" id="{7DE19040-22B1-4F02-B1D0-C5DE3FEBB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29</xdr:col>
      <xdr:colOff>557389</xdr:colOff>
      <xdr:row>117</xdr:row>
      <xdr:rowOff>169334</xdr:rowOff>
    </xdr:from>
    <xdr:to>
      <xdr:col>34</xdr:col>
      <xdr:colOff>586317</xdr:colOff>
      <xdr:row>131</xdr:row>
      <xdr:rowOff>20814</xdr:rowOff>
    </xdr:to>
    <xdr:graphicFrame macro="">
      <xdr:nvGraphicFramePr>
        <xdr:cNvPr id="8" name="Chart 7">
          <a:extLst>
            <a:ext uri="{FF2B5EF4-FFF2-40B4-BE49-F238E27FC236}">
              <a16:creationId xmlns:a16="http://schemas.microsoft.com/office/drawing/2014/main" id="{1FF354DB-04F8-469A-BEFB-955D7C960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29</xdr:col>
      <xdr:colOff>620888</xdr:colOff>
      <xdr:row>134</xdr:row>
      <xdr:rowOff>190499</xdr:rowOff>
    </xdr:from>
    <xdr:to>
      <xdr:col>35</xdr:col>
      <xdr:colOff>43038</xdr:colOff>
      <xdr:row>148</xdr:row>
      <xdr:rowOff>27869</xdr:rowOff>
    </xdr:to>
    <xdr:graphicFrame macro="">
      <xdr:nvGraphicFramePr>
        <xdr:cNvPr id="9" name="Chart 8">
          <a:extLst>
            <a:ext uri="{FF2B5EF4-FFF2-40B4-BE49-F238E27FC236}">
              <a16:creationId xmlns:a16="http://schemas.microsoft.com/office/drawing/2014/main" id="{D6DC36FE-D437-4B6C-B90F-D9718809C5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29</xdr:col>
      <xdr:colOff>650766</xdr:colOff>
      <xdr:row>153</xdr:row>
      <xdr:rowOff>98778</xdr:rowOff>
    </xdr:from>
    <xdr:to>
      <xdr:col>35</xdr:col>
      <xdr:colOff>72916</xdr:colOff>
      <xdr:row>166</xdr:row>
      <xdr:rowOff>133703</xdr:rowOff>
    </xdr:to>
    <xdr:graphicFrame macro="">
      <xdr:nvGraphicFramePr>
        <xdr:cNvPr id="10" name="Chart 9">
          <a:extLst>
            <a:ext uri="{FF2B5EF4-FFF2-40B4-BE49-F238E27FC236}">
              <a16:creationId xmlns:a16="http://schemas.microsoft.com/office/drawing/2014/main" id="{7D1B8F6A-F23E-4799-B458-6B8AB2496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29</xdr:col>
      <xdr:colOff>642055</xdr:colOff>
      <xdr:row>169</xdr:row>
      <xdr:rowOff>190500</xdr:rowOff>
    </xdr:from>
    <xdr:to>
      <xdr:col>35</xdr:col>
      <xdr:colOff>64205</xdr:colOff>
      <xdr:row>183</xdr:row>
      <xdr:rowOff>27871</xdr:rowOff>
    </xdr:to>
    <xdr:graphicFrame macro="">
      <xdr:nvGraphicFramePr>
        <xdr:cNvPr id="11" name="Chart 10">
          <a:extLst>
            <a:ext uri="{FF2B5EF4-FFF2-40B4-BE49-F238E27FC236}">
              <a16:creationId xmlns:a16="http://schemas.microsoft.com/office/drawing/2014/main" id="{E092DEE3-7FFC-4229-8E31-64E04BFBE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30</xdr:col>
      <xdr:colOff>0</xdr:colOff>
      <xdr:row>188</xdr:row>
      <xdr:rowOff>0</xdr:rowOff>
    </xdr:from>
    <xdr:to>
      <xdr:col>36</xdr:col>
      <xdr:colOff>185560</xdr:colOff>
      <xdr:row>201</xdr:row>
      <xdr:rowOff>34925</xdr:rowOff>
    </xdr:to>
    <xdr:graphicFrame macro="">
      <xdr:nvGraphicFramePr>
        <xdr:cNvPr id="12" name="Chart 11">
          <a:extLst>
            <a:ext uri="{FF2B5EF4-FFF2-40B4-BE49-F238E27FC236}">
              <a16:creationId xmlns:a16="http://schemas.microsoft.com/office/drawing/2014/main" id="{DC488C25-846C-4C92-AFF9-94739D5072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177446</xdr:colOff>
      <xdr:row>31</xdr:row>
      <xdr:rowOff>126647</xdr:rowOff>
    </xdr:from>
    <xdr:to>
      <xdr:col>20</xdr:col>
      <xdr:colOff>394918</xdr:colOff>
      <xdr:row>44</xdr:row>
      <xdr:rowOff>161571</xdr:rowOff>
    </xdr:to>
    <xdr:graphicFrame macro="">
      <xdr:nvGraphicFramePr>
        <xdr:cNvPr id="13" name="Chart 12">
          <a:extLst>
            <a:ext uri="{FF2B5EF4-FFF2-40B4-BE49-F238E27FC236}">
              <a16:creationId xmlns:a16="http://schemas.microsoft.com/office/drawing/2014/main" id="{9A81FFF9-142F-4E8A-A38D-DBC7EAA2C1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234244</xdr:colOff>
      <xdr:row>88</xdr:row>
      <xdr:rowOff>48683</xdr:rowOff>
    </xdr:from>
    <xdr:to>
      <xdr:col>20</xdr:col>
      <xdr:colOff>447675</xdr:colOff>
      <xdr:row>101</xdr:row>
      <xdr:rowOff>83609</xdr:rowOff>
    </xdr:to>
    <xdr:graphicFrame macro="">
      <xdr:nvGraphicFramePr>
        <xdr:cNvPr id="14" name="Chart 13">
          <a:extLst>
            <a:ext uri="{FF2B5EF4-FFF2-40B4-BE49-F238E27FC236}">
              <a16:creationId xmlns:a16="http://schemas.microsoft.com/office/drawing/2014/main" id="{9F7EAC2A-0B6A-419D-BFDF-762EC76BA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311856</xdr:colOff>
      <xdr:row>107</xdr:row>
      <xdr:rowOff>177093</xdr:rowOff>
    </xdr:from>
    <xdr:to>
      <xdr:col>20</xdr:col>
      <xdr:colOff>513293</xdr:colOff>
      <xdr:row>121</xdr:row>
      <xdr:rowOff>28574</xdr:rowOff>
    </xdr:to>
    <xdr:graphicFrame macro="">
      <xdr:nvGraphicFramePr>
        <xdr:cNvPr id="15" name="Chart 14">
          <a:extLst>
            <a:ext uri="{FF2B5EF4-FFF2-40B4-BE49-F238E27FC236}">
              <a16:creationId xmlns:a16="http://schemas.microsoft.com/office/drawing/2014/main" id="{D22154EC-E740-4DAB-AA1D-4FC68EC692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17</xdr:col>
      <xdr:colOff>11288</xdr:colOff>
      <xdr:row>145</xdr:row>
      <xdr:rowOff>107949</xdr:rowOff>
    </xdr:from>
    <xdr:to>
      <xdr:col>20</xdr:col>
      <xdr:colOff>212724</xdr:colOff>
      <xdr:row>158</xdr:row>
      <xdr:rowOff>142874</xdr:rowOff>
    </xdr:to>
    <xdr:graphicFrame macro="">
      <xdr:nvGraphicFramePr>
        <xdr:cNvPr id="16" name="Chart 15">
          <a:extLst>
            <a:ext uri="{FF2B5EF4-FFF2-40B4-BE49-F238E27FC236}">
              <a16:creationId xmlns:a16="http://schemas.microsoft.com/office/drawing/2014/main" id="{7E3AFF9E-C74A-4063-8798-5E9C9E02D0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17</xdr:col>
      <xdr:colOff>381001</xdr:colOff>
      <xdr:row>162</xdr:row>
      <xdr:rowOff>49388</xdr:rowOff>
    </xdr:from>
    <xdr:to>
      <xdr:col>20</xdr:col>
      <xdr:colOff>582438</xdr:colOff>
      <xdr:row>175</xdr:row>
      <xdr:rowOff>84315</xdr:rowOff>
    </xdr:to>
    <xdr:graphicFrame macro="">
      <xdr:nvGraphicFramePr>
        <xdr:cNvPr id="17" name="Chart 16">
          <a:extLst>
            <a:ext uri="{FF2B5EF4-FFF2-40B4-BE49-F238E27FC236}">
              <a16:creationId xmlns:a16="http://schemas.microsoft.com/office/drawing/2014/main" id="{E942FA50-4E66-4A7E-A79D-FB824E0A3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366889</xdr:colOff>
      <xdr:row>180</xdr:row>
      <xdr:rowOff>98778</xdr:rowOff>
    </xdr:from>
    <xdr:to>
      <xdr:col>20</xdr:col>
      <xdr:colOff>568326</xdr:colOff>
      <xdr:row>193</xdr:row>
      <xdr:rowOff>133703</xdr:rowOff>
    </xdr:to>
    <xdr:graphicFrame macro="">
      <xdr:nvGraphicFramePr>
        <xdr:cNvPr id="18" name="Chart 17">
          <a:extLst>
            <a:ext uri="{FF2B5EF4-FFF2-40B4-BE49-F238E27FC236}">
              <a16:creationId xmlns:a16="http://schemas.microsoft.com/office/drawing/2014/main" id="{3E519A3C-598F-4FA2-8DFB-8E572071BD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17</xdr:col>
      <xdr:colOff>486833</xdr:colOff>
      <xdr:row>198</xdr:row>
      <xdr:rowOff>63500</xdr:rowOff>
    </xdr:from>
    <xdr:to>
      <xdr:col>21</xdr:col>
      <xdr:colOff>81492</xdr:colOff>
      <xdr:row>211</xdr:row>
      <xdr:rowOff>98426</xdr:rowOff>
    </xdr:to>
    <xdr:graphicFrame macro="">
      <xdr:nvGraphicFramePr>
        <xdr:cNvPr id="19" name="Chart 18">
          <a:extLst>
            <a:ext uri="{FF2B5EF4-FFF2-40B4-BE49-F238E27FC236}">
              <a16:creationId xmlns:a16="http://schemas.microsoft.com/office/drawing/2014/main" id="{7CE6150A-EAD4-4B30-BF4C-79765905C9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515055</xdr:colOff>
      <xdr:row>215</xdr:row>
      <xdr:rowOff>169333</xdr:rowOff>
    </xdr:from>
    <xdr:to>
      <xdr:col>21</xdr:col>
      <xdr:colOff>109714</xdr:colOff>
      <xdr:row>229</xdr:row>
      <xdr:rowOff>20814</xdr:rowOff>
    </xdr:to>
    <xdr:graphicFrame macro="">
      <xdr:nvGraphicFramePr>
        <xdr:cNvPr id="20" name="Chart 19">
          <a:extLst>
            <a:ext uri="{FF2B5EF4-FFF2-40B4-BE49-F238E27FC236}">
              <a16:creationId xmlns:a16="http://schemas.microsoft.com/office/drawing/2014/main" id="{592177DC-3ECA-4BE3-AFBE-4C86446BF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493284</xdr:colOff>
      <xdr:row>234</xdr:row>
      <xdr:rowOff>52695</xdr:rowOff>
    </xdr:from>
    <xdr:to>
      <xdr:col>21</xdr:col>
      <xdr:colOff>87943</xdr:colOff>
      <xdr:row>247</xdr:row>
      <xdr:rowOff>87622</xdr:rowOff>
    </xdr:to>
    <xdr:graphicFrame macro="">
      <xdr:nvGraphicFramePr>
        <xdr:cNvPr id="21" name="Chart 20">
          <a:extLst>
            <a:ext uri="{FF2B5EF4-FFF2-40B4-BE49-F238E27FC236}">
              <a16:creationId xmlns:a16="http://schemas.microsoft.com/office/drawing/2014/main" id="{8B1C084E-E9B6-4340-8B81-E9359A6581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17</xdr:col>
      <xdr:colOff>515055</xdr:colOff>
      <xdr:row>252</xdr:row>
      <xdr:rowOff>14111</xdr:rowOff>
    </xdr:from>
    <xdr:to>
      <xdr:col>21</xdr:col>
      <xdr:colOff>109714</xdr:colOff>
      <xdr:row>265</xdr:row>
      <xdr:rowOff>49036</xdr:rowOff>
    </xdr:to>
    <xdr:graphicFrame macro="">
      <xdr:nvGraphicFramePr>
        <xdr:cNvPr id="22" name="Chart 21">
          <a:extLst>
            <a:ext uri="{FF2B5EF4-FFF2-40B4-BE49-F238E27FC236}">
              <a16:creationId xmlns:a16="http://schemas.microsoft.com/office/drawing/2014/main" id="{AA6163CB-EEF0-4830-BE55-9D2889D0B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515055</xdr:colOff>
      <xdr:row>271</xdr:row>
      <xdr:rowOff>0</xdr:rowOff>
    </xdr:from>
    <xdr:to>
      <xdr:col>21</xdr:col>
      <xdr:colOff>109714</xdr:colOff>
      <xdr:row>284</xdr:row>
      <xdr:rowOff>34925</xdr:rowOff>
    </xdr:to>
    <xdr:graphicFrame macro="">
      <xdr:nvGraphicFramePr>
        <xdr:cNvPr id="23" name="Chart 22">
          <a:extLst>
            <a:ext uri="{FF2B5EF4-FFF2-40B4-BE49-F238E27FC236}">
              <a16:creationId xmlns:a16="http://schemas.microsoft.com/office/drawing/2014/main" id="{E00C8551-6C1B-4D36-BE53-B1E9C3630B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17</xdr:col>
      <xdr:colOff>656167</xdr:colOff>
      <xdr:row>345</xdr:row>
      <xdr:rowOff>141111</xdr:rowOff>
    </xdr:from>
    <xdr:to>
      <xdr:col>21</xdr:col>
      <xdr:colOff>250826</xdr:colOff>
      <xdr:row>358</xdr:row>
      <xdr:rowOff>176036</xdr:rowOff>
    </xdr:to>
    <xdr:graphicFrame macro="">
      <xdr:nvGraphicFramePr>
        <xdr:cNvPr id="24" name="Chart 23">
          <a:extLst>
            <a:ext uri="{FF2B5EF4-FFF2-40B4-BE49-F238E27FC236}">
              <a16:creationId xmlns:a16="http://schemas.microsoft.com/office/drawing/2014/main" id="{E87B77CE-ADDD-41DE-88C8-82230E7134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17</xdr:col>
      <xdr:colOff>945444</xdr:colOff>
      <xdr:row>365</xdr:row>
      <xdr:rowOff>119944</xdr:rowOff>
    </xdr:from>
    <xdr:to>
      <xdr:col>21</xdr:col>
      <xdr:colOff>540103</xdr:colOff>
      <xdr:row>378</xdr:row>
      <xdr:rowOff>154869</xdr:rowOff>
    </xdr:to>
    <xdr:graphicFrame macro="">
      <xdr:nvGraphicFramePr>
        <xdr:cNvPr id="25" name="Chart 24">
          <a:extLst>
            <a:ext uri="{FF2B5EF4-FFF2-40B4-BE49-F238E27FC236}">
              <a16:creationId xmlns:a16="http://schemas.microsoft.com/office/drawing/2014/main" id="{849BF13C-1290-443B-A929-499BAF7843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17</xdr:col>
      <xdr:colOff>0</xdr:colOff>
      <xdr:row>309</xdr:row>
      <xdr:rowOff>0</xdr:rowOff>
    </xdr:from>
    <xdr:to>
      <xdr:col>20</xdr:col>
      <xdr:colOff>201437</xdr:colOff>
      <xdr:row>322</xdr:row>
      <xdr:rowOff>34925</xdr:rowOff>
    </xdr:to>
    <xdr:graphicFrame macro="">
      <xdr:nvGraphicFramePr>
        <xdr:cNvPr id="26" name="Chart 25">
          <a:extLst>
            <a:ext uri="{FF2B5EF4-FFF2-40B4-BE49-F238E27FC236}">
              <a16:creationId xmlns:a16="http://schemas.microsoft.com/office/drawing/2014/main" id="{2A0A480A-98BF-49A1-910C-C64A288D0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17</xdr:col>
      <xdr:colOff>134056</xdr:colOff>
      <xdr:row>327</xdr:row>
      <xdr:rowOff>91722</xdr:rowOff>
    </xdr:from>
    <xdr:to>
      <xdr:col>20</xdr:col>
      <xdr:colOff>335493</xdr:colOff>
      <xdr:row>340</xdr:row>
      <xdr:rowOff>126647</xdr:rowOff>
    </xdr:to>
    <xdr:graphicFrame macro="">
      <xdr:nvGraphicFramePr>
        <xdr:cNvPr id="27" name="Chart 26">
          <a:extLst>
            <a:ext uri="{FF2B5EF4-FFF2-40B4-BE49-F238E27FC236}">
              <a16:creationId xmlns:a16="http://schemas.microsoft.com/office/drawing/2014/main" id="{13E9DA5D-6B38-4799-AF74-B0A38EDC4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17</xdr:col>
      <xdr:colOff>762000</xdr:colOff>
      <xdr:row>48</xdr:row>
      <xdr:rowOff>155221</xdr:rowOff>
    </xdr:from>
    <xdr:to>
      <xdr:col>21</xdr:col>
      <xdr:colOff>372694</xdr:colOff>
      <xdr:row>61</xdr:row>
      <xdr:rowOff>176034</xdr:rowOff>
    </xdr:to>
    <xdr:graphicFrame macro="">
      <xdr:nvGraphicFramePr>
        <xdr:cNvPr id="28" name="Chart 27">
          <a:extLst>
            <a:ext uri="{FF2B5EF4-FFF2-40B4-BE49-F238E27FC236}">
              <a16:creationId xmlns:a16="http://schemas.microsoft.com/office/drawing/2014/main" id="{1FDD9043-34B2-45A1-84BA-03AE66A11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17</xdr:col>
      <xdr:colOff>832556</xdr:colOff>
      <xdr:row>66</xdr:row>
      <xdr:rowOff>7055</xdr:rowOff>
    </xdr:from>
    <xdr:to>
      <xdr:col>21</xdr:col>
      <xdr:colOff>443250</xdr:colOff>
      <xdr:row>79</xdr:row>
      <xdr:rowOff>27868</xdr:rowOff>
    </xdr:to>
    <xdr:graphicFrame macro="">
      <xdr:nvGraphicFramePr>
        <xdr:cNvPr id="29" name="Chart 28">
          <a:extLst>
            <a:ext uri="{FF2B5EF4-FFF2-40B4-BE49-F238E27FC236}">
              <a16:creationId xmlns:a16="http://schemas.microsoft.com/office/drawing/2014/main" id="{08A53454-F2AF-4103-9B0A-6C74EE4E4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17</xdr:col>
      <xdr:colOff>443452</xdr:colOff>
      <xdr:row>124</xdr:row>
      <xdr:rowOff>4354</xdr:rowOff>
    </xdr:from>
    <xdr:to>
      <xdr:col>21</xdr:col>
      <xdr:colOff>38111</xdr:colOff>
      <xdr:row>137</xdr:row>
      <xdr:rowOff>39280</xdr:rowOff>
    </xdr:to>
    <xdr:graphicFrame macro="">
      <xdr:nvGraphicFramePr>
        <xdr:cNvPr id="30" name="Chart 29">
          <a:extLst>
            <a:ext uri="{FF2B5EF4-FFF2-40B4-BE49-F238E27FC236}">
              <a16:creationId xmlns:a16="http://schemas.microsoft.com/office/drawing/2014/main" id="{DE443049-1FE8-4DAD-86E5-0A92C03A92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42</xdr:col>
      <xdr:colOff>220703</xdr:colOff>
      <xdr:row>24</xdr:row>
      <xdr:rowOff>81667</xdr:rowOff>
    </xdr:from>
    <xdr:to>
      <xdr:col>47</xdr:col>
      <xdr:colOff>243591</xdr:colOff>
      <xdr:row>37</xdr:row>
      <xdr:rowOff>116592</xdr:rowOff>
    </xdr:to>
    <xdr:graphicFrame macro="">
      <xdr:nvGraphicFramePr>
        <xdr:cNvPr id="31" name="Chart 30">
          <a:extLst>
            <a:ext uri="{FF2B5EF4-FFF2-40B4-BE49-F238E27FC236}">
              <a16:creationId xmlns:a16="http://schemas.microsoft.com/office/drawing/2014/main" id="{947E3965-266E-4F08-AB7E-8B265CEFB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42</xdr:col>
      <xdr:colOff>254000</xdr:colOff>
      <xdr:row>43</xdr:row>
      <xdr:rowOff>101600</xdr:rowOff>
    </xdr:from>
    <xdr:to>
      <xdr:col>47</xdr:col>
      <xdr:colOff>276225</xdr:colOff>
      <xdr:row>56</xdr:row>
      <xdr:rowOff>136525</xdr:rowOff>
    </xdr:to>
    <xdr:graphicFrame macro="">
      <xdr:nvGraphicFramePr>
        <xdr:cNvPr id="32" name="Chart 31">
          <a:extLst>
            <a:ext uri="{FF2B5EF4-FFF2-40B4-BE49-F238E27FC236}">
              <a16:creationId xmlns:a16="http://schemas.microsoft.com/office/drawing/2014/main" id="{C99FD8DB-42F4-4450-977E-3EB61D2E7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42</xdr:col>
      <xdr:colOff>273050</xdr:colOff>
      <xdr:row>61</xdr:row>
      <xdr:rowOff>165100</xdr:rowOff>
    </xdr:from>
    <xdr:to>
      <xdr:col>47</xdr:col>
      <xdr:colOff>295275</xdr:colOff>
      <xdr:row>75</xdr:row>
      <xdr:rowOff>15875</xdr:rowOff>
    </xdr:to>
    <xdr:graphicFrame macro="">
      <xdr:nvGraphicFramePr>
        <xdr:cNvPr id="33" name="Chart 32">
          <a:extLst>
            <a:ext uri="{FF2B5EF4-FFF2-40B4-BE49-F238E27FC236}">
              <a16:creationId xmlns:a16="http://schemas.microsoft.com/office/drawing/2014/main" id="{A95FA0EA-C1C4-4421-AEFC-55355761E2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42</xdr:col>
      <xdr:colOff>247650</xdr:colOff>
      <xdr:row>97</xdr:row>
      <xdr:rowOff>95250</xdr:rowOff>
    </xdr:from>
    <xdr:to>
      <xdr:col>47</xdr:col>
      <xdr:colOff>269875</xdr:colOff>
      <xdr:row>110</xdr:row>
      <xdr:rowOff>130175</xdr:rowOff>
    </xdr:to>
    <xdr:graphicFrame macro="">
      <xdr:nvGraphicFramePr>
        <xdr:cNvPr id="34" name="Chart 33">
          <a:extLst>
            <a:ext uri="{FF2B5EF4-FFF2-40B4-BE49-F238E27FC236}">
              <a16:creationId xmlns:a16="http://schemas.microsoft.com/office/drawing/2014/main" id="{91C32C2A-B841-49C8-86C5-03CDCCEA6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42</xdr:col>
      <xdr:colOff>298450</xdr:colOff>
      <xdr:row>118</xdr:row>
      <xdr:rowOff>95250</xdr:rowOff>
    </xdr:from>
    <xdr:to>
      <xdr:col>47</xdr:col>
      <xdr:colOff>320675</xdr:colOff>
      <xdr:row>131</xdr:row>
      <xdr:rowOff>130175</xdr:rowOff>
    </xdr:to>
    <xdr:graphicFrame macro="">
      <xdr:nvGraphicFramePr>
        <xdr:cNvPr id="35" name="Chart 34">
          <a:extLst>
            <a:ext uri="{FF2B5EF4-FFF2-40B4-BE49-F238E27FC236}">
              <a16:creationId xmlns:a16="http://schemas.microsoft.com/office/drawing/2014/main" id="{B374C29A-8595-4989-9FE7-0BCFC3BF14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42</xdr:col>
      <xdr:colOff>361950</xdr:colOff>
      <xdr:row>134</xdr:row>
      <xdr:rowOff>44450</xdr:rowOff>
    </xdr:from>
    <xdr:to>
      <xdr:col>47</xdr:col>
      <xdr:colOff>384175</xdr:colOff>
      <xdr:row>147</xdr:row>
      <xdr:rowOff>79375</xdr:rowOff>
    </xdr:to>
    <xdr:graphicFrame macro="">
      <xdr:nvGraphicFramePr>
        <xdr:cNvPr id="36" name="Chart 35">
          <a:extLst>
            <a:ext uri="{FF2B5EF4-FFF2-40B4-BE49-F238E27FC236}">
              <a16:creationId xmlns:a16="http://schemas.microsoft.com/office/drawing/2014/main" id="{93D08384-98CD-429D-99AD-96B0ACE87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42</xdr:col>
      <xdr:colOff>450850</xdr:colOff>
      <xdr:row>151</xdr:row>
      <xdr:rowOff>69850</xdr:rowOff>
    </xdr:from>
    <xdr:to>
      <xdr:col>47</xdr:col>
      <xdr:colOff>473075</xdr:colOff>
      <xdr:row>164</xdr:row>
      <xdr:rowOff>104775</xdr:rowOff>
    </xdr:to>
    <xdr:graphicFrame macro="">
      <xdr:nvGraphicFramePr>
        <xdr:cNvPr id="37" name="Chart 36">
          <a:extLst>
            <a:ext uri="{FF2B5EF4-FFF2-40B4-BE49-F238E27FC236}">
              <a16:creationId xmlns:a16="http://schemas.microsoft.com/office/drawing/2014/main" id="{E28702AD-704E-42A1-8B45-A55156AAC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42</xdr:col>
      <xdr:colOff>546100</xdr:colOff>
      <xdr:row>171</xdr:row>
      <xdr:rowOff>107950</xdr:rowOff>
    </xdr:from>
    <xdr:to>
      <xdr:col>47</xdr:col>
      <xdr:colOff>568325</xdr:colOff>
      <xdr:row>184</xdr:row>
      <xdr:rowOff>142875</xdr:rowOff>
    </xdr:to>
    <xdr:graphicFrame macro="">
      <xdr:nvGraphicFramePr>
        <xdr:cNvPr id="38" name="Chart 37">
          <a:extLst>
            <a:ext uri="{FF2B5EF4-FFF2-40B4-BE49-F238E27FC236}">
              <a16:creationId xmlns:a16="http://schemas.microsoft.com/office/drawing/2014/main" id="{98897F18-0394-4D94-BB45-45C768C3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42</xdr:col>
      <xdr:colOff>374650</xdr:colOff>
      <xdr:row>79</xdr:row>
      <xdr:rowOff>38100</xdr:rowOff>
    </xdr:from>
    <xdr:to>
      <xdr:col>47</xdr:col>
      <xdr:colOff>396875</xdr:colOff>
      <xdr:row>92</xdr:row>
      <xdr:rowOff>73025</xdr:rowOff>
    </xdr:to>
    <xdr:graphicFrame macro="">
      <xdr:nvGraphicFramePr>
        <xdr:cNvPr id="39" name="Chart 38">
          <a:extLst>
            <a:ext uri="{FF2B5EF4-FFF2-40B4-BE49-F238E27FC236}">
              <a16:creationId xmlns:a16="http://schemas.microsoft.com/office/drawing/2014/main" id="{AA5684AC-569B-41BD-BB2A-C2E180BDE2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xdr:col>
      <xdr:colOff>487680</xdr:colOff>
      <xdr:row>37</xdr:row>
      <xdr:rowOff>83820</xdr:rowOff>
    </xdr:from>
    <xdr:to>
      <xdr:col>9</xdr:col>
      <xdr:colOff>228600</xdr:colOff>
      <xdr:row>57</xdr:row>
      <xdr:rowOff>30480</xdr:rowOff>
    </xdr:to>
    <xdr:sp macro="" textlink="">
      <xdr:nvSpPr>
        <xdr:cNvPr id="40" name="TextBox 39">
          <a:extLst>
            <a:ext uri="{FF2B5EF4-FFF2-40B4-BE49-F238E27FC236}">
              <a16:creationId xmlns:a16="http://schemas.microsoft.com/office/drawing/2014/main" id="{D07D3CC3-3E05-87E3-A539-89B2F0B4533E}"/>
            </a:ext>
          </a:extLst>
        </xdr:cNvPr>
        <xdr:cNvSpPr txBox="1"/>
      </xdr:nvSpPr>
      <xdr:spPr>
        <a:xfrm>
          <a:off x="1082040" y="6987540"/>
          <a:ext cx="5166360" cy="3619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is the root data</a:t>
          </a:r>
          <a:r>
            <a:rPr lang="en-US" sz="1100" baseline="0"/>
            <a:t> table for all figures and tables in the main paper body, including table 3 (and from there feeding into the figures via the modeling processes as described by H. Pye. The values in this table are extracted from the time integrated tables and figures to the right on this tab. Only SVOC data is detailed as that was the only significant method development utilized in the study. TO-11a and TO-15a were used for DNPH and canister VOC methods without significant alteration to the sample analysis or quantification processes. These methods are cited as listed in the paper. </a:t>
          </a:r>
          <a:endParaRPr lang="en-US" sz="1100"/>
        </a:p>
      </xdr:txBody>
    </xdr:sp>
    <xdr:clientData/>
  </xdr:twoCellAnchor>
</xdr:wsDr>
</file>

<file path=xl/drawings/drawing3.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3.25E-3 mg/h</a:t>
          </a:r>
        </a:p>
        <a:p xmlns:a="http://schemas.openxmlformats.org/drawingml/2006/main">
          <a:r>
            <a:rPr lang="en-US" sz="1000" b="1"/>
            <a:t>k = 0.497 /h</a:t>
          </a:r>
        </a:p>
        <a:p xmlns:a="http://schemas.openxmlformats.org/drawingml/2006/main">
          <a:r>
            <a:rPr lang="en-US" sz="1000" b="1"/>
            <a:t>R</a:t>
          </a:r>
          <a:r>
            <a:rPr lang="en-US" sz="1000" b="1" baseline="30000"/>
            <a:t>2</a:t>
          </a:r>
          <a:r>
            <a:rPr lang="en-US" sz="1000" b="1"/>
            <a:t>=0.9902</a:t>
          </a:r>
        </a:p>
      </cdr:txBody>
    </cdr:sp>
  </cdr:relSizeAnchor>
</c:userShapes>
</file>

<file path=xl/drawings/drawing4.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3.047E-3 mg/h</a:t>
          </a:r>
        </a:p>
        <a:p xmlns:a="http://schemas.openxmlformats.org/drawingml/2006/main">
          <a:r>
            <a:rPr lang="en-US" sz="1000" b="1"/>
            <a:t>k = 0.0527 /h</a:t>
          </a:r>
        </a:p>
        <a:p xmlns:a="http://schemas.openxmlformats.org/drawingml/2006/main">
          <a:r>
            <a:rPr lang="en-US" sz="1000" b="1"/>
            <a:t>R</a:t>
          </a:r>
          <a:r>
            <a:rPr lang="en-US" sz="1000" b="1" baseline="30000"/>
            <a:t>2</a:t>
          </a:r>
          <a:r>
            <a:rPr lang="en-US" sz="1000" b="1"/>
            <a:t>=0.9554</a:t>
          </a:r>
        </a:p>
      </cdr:txBody>
    </cdr:sp>
  </cdr:relSizeAnchor>
</c:userShapes>
</file>

<file path=xl/drawings/drawing5.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1.003E-2 mg/h</a:t>
          </a:r>
        </a:p>
        <a:p xmlns:a="http://schemas.openxmlformats.org/drawingml/2006/main">
          <a:r>
            <a:rPr lang="en-US" sz="1000" b="1"/>
            <a:t>k = 0.66 /h</a:t>
          </a:r>
        </a:p>
        <a:p xmlns:a="http://schemas.openxmlformats.org/drawingml/2006/main">
          <a:r>
            <a:rPr lang="en-US" sz="1000" b="1"/>
            <a:t>R</a:t>
          </a:r>
          <a:r>
            <a:rPr lang="en-US" sz="1000" b="1" baseline="30000"/>
            <a:t>2</a:t>
          </a:r>
          <a:r>
            <a:rPr lang="en-US" sz="1000" b="1"/>
            <a:t>=0.9616</a:t>
          </a:r>
        </a:p>
      </cdr:txBody>
    </cdr:sp>
  </cdr:relSizeAnchor>
</c:userShapes>
</file>

<file path=xl/drawings/drawing6.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0.377 mg/h</a:t>
          </a:r>
        </a:p>
        <a:p xmlns:a="http://schemas.openxmlformats.org/drawingml/2006/main">
          <a:r>
            <a:rPr lang="en-US" sz="1000" b="1"/>
            <a:t>k = 3.08 /h</a:t>
          </a:r>
        </a:p>
        <a:p xmlns:a="http://schemas.openxmlformats.org/drawingml/2006/main">
          <a:r>
            <a:rPr lang="en-US" sz="1000" b="1"/>
            <a:t>R</a:t>
          </a:r>
          <a:r>
            <a:rPr lang="en-US" sz="1000" b="1" baseline="30000"/>
            <a:t>2</a:t>
          </a:r>
          <a:r>
            <a:rPr lang="en-US" sz="1000" b="1"/>
            <a:t>=0.9913</a:t>
          </a:r>
        </a:p>
      </cdr:txBody>
    </cdr:sp>
  </cdr:relSizeAnchor>
</c:userShapes>
</file>

<file path=xl/drawings/drawing7.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0.5329 mg/h</a:t>
          </a:r>
        </a:p>
        <a:p xmlns:a="http://schemas.openxmlformats.org/drawingml/2006/main">
          <a:r>
            <a:rPr lang="en-US" sz="1000" b="1"/>
            <a:t>k = 0.0333 /h</a:t>
          </a:r>
        </a:p>
        <a:p xmlns:a="http://schemas.openxmlformats.org/drawingml/2006/main">
          <a:r>
            <a:rPr lang="en-US" sz="1000" b="1"/>
            <a:t>R</a:t>
          </a:r>
          <a:r>
            <a:rPr lang="en-US" sz="1000" b="1" baseline="30000"/>
            <a:t>2</a:t>
          </a:r>
          <a:r>
            <a:rPr lang="en-US" sz="1000" b="1"/>
            <a:t>=0.9732</a:t>
          </a:r>
        </a:p>
      </cdr:txBody>
    </cdr:sp>
  </cdr:relSizeAnchor>
</c:userShapes>
</file>

<file path=xl/drawings/drawing8.xml><?xml version="1.0" encoding="utf-8"?>
<c:userShapes xmlns:c="http://schemas.openxmlformats.org/drawingml/2006/chart">
  <cdr:relSizeAnchor xmlns:cdr="http://schemas.openxmlformats.org/drawingml/2006/chartDrawing">
    <cdr:from>
      <cdr:x>0.45571</cdr:x>
      <cdr:y>0.40915</cdr:y>
    </cdr:from>
    <cdr:to>
      <cdr:x>0.79569</cdr:x>
      <cdr:y>0.6549</cdr:y>
    </cdr:to>
    <cdr:sp macro="" textlink="">
      <cdr:nvSpPr>
        <cdr:cNvPr id="2" name="TextBox 1">
          <a:extLst xmlns:a="http://schemas.openxmlformats.org/drawingml/2006/main">
            <a:ext uri="{FF2B5EF4-FFF2-40B4-BE49-F238E27FC236}">
              <a16:creationId xmlns:a16="http://schemas.microsoft.com/office/drawing/2014/main" id="{CD33EBDC-8708-8374-E86B-E8A2B73D3EBE}"/>
            </a:ext>
          </a:extLst>
        </cdr:cNvPr>
        <cdr:cNvSpPr txBox="1"/>
      </cdr:nvSpPr>
      <cdr:spPr>
        <a:xfrm xmlns:a="http://schemas.openxmlformats.org/drawingml/2006/main">
          <a:off x="1812925" y="993775"/>
          <a:ext cx="1352550" cy="596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R</a:t>
          </a:r>
          <a:r>
            <a:rPr lang="en-US" sz="1000" b="1" baseline="-25000"/>
            <a:t>0</a:t>
          </a:r>
          <a:r>
            <a:rPr lang="en-US" sz="1000" b="1"/>
            <a:t> = 3.15E-2 mg/h</a:t>
          </a:r>
        </a:p>
        <a:p xmlns:a="http://schemas.openxmlformats.org/drawingml/2006/main">
          <a:r>
            <a:rPr lang="en-US" sz="1000" b="1"/>
            <a:t>k = 0.42 /h</a:t>
          </a:r>
        </a:p>
        <a:p xmlns:a="http://schemas.openxmlformats.org/drawingml/2006/main">
          <a:r>
            <a:rPr lang="en-US" sz="1000" b="1"/>
            <a:t>R</a:t>
          </a:r>
          <a:r>
            <a:rPr lang="en-US" sz="1000" b="1" baseline="30000"/>
            <a:t>2</a:t>
          </a:r>
          <a:r>
            <a:rPr lang="en-US" sz="1000" b="1"/>
            <a:t>=0.9985</a:t>
          </a:r>
        </a:p>
      </cdr:txBody>
    </cdr:sp>
  </cdr:relSizeAnchor>
</c:userShapes>
</file>

<file path=xl/drawings/drawing9.xml><?xml version="1.0" encoding="utf-8"?>
<xdr:wsDr xmlns:xdr="http://schemas.openxmlformats.org/drawingml/2006/spreadsheetDrawing" xmlns:a="http://schemas.openxmlformats.org/drawingml/2006/main">
  <xdr:twoCellAnchor>
    <xdr:from>
      <xdr:col>24</xdr:col>
      <xdr:colOff>358141</xdr:colOff>
      <xdr:row>3</xdr:row>
      <xdr:rowOff>68580</xdr:rowOff>
    </xdr:from>
    <xdr:to>
      <xdr:col>35</xdr:col>
      <xdr:colOff>236220</xdr:colOff>
      <xdr:row>17</xdr:row>
      <xdr:rowOff>83820</xdr:rowOff>
    </xdr:to>
    <xdr:graphicFrame macro="">
      <xdr:nvGraphicFramePr>
        <xdr:cNvPr id="2" name="Chart 1">
          <a:extLst>
            <a:ext uri="{FF2B5EF4-FFF2-40B4-BE49-F238E27FC236}">
              <a16:creationId xmlns:a16="http://schemas.microsoft.com/office/drawing/2014/main" id="{6C6D0E8D-6627-4AEE-933B-41FEFF37ED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3</xdr:row>
      <xdr:rowOff>76200</xdr:rowOff>
    </xdr:from>
    <xdr:to>
      <xdr:col>13</xdr:col>
      <xdr:colOff>160020</xdr:colOff>
      <xdr:row>33</xdr:row>
      <xdr:rowOff>106680</xdr:rowOff>
    </xdr:to>
    <xdr:sp macro="" textlink="">
      <xdr:nvSpPr>
        <xdr:cNvPr id="3" name="TextBox 2">
          <a:extLst>
            <a:ext uri="{FF2B5EF4-FFF2-40B4-BE49-F238E27FC236}">
              <a16:creationId xmlns:a16="http://schemas.microsoft.com/office/drawing/2014/main" id="{68924FDB-A3A0-7072-8E7A-CEFA1EBBED9E}"/>
            </a:ext>
          </a:extLst>
        </xdr:cNvPr>
        <xdr:cNvSpPr txBox="1"/>
      </xdr:nvSpPr>
      <xdr:spPr>
        <a:xfrm>
          <a:off x="2438400" y="624840"/>
          <a:ext cx="5646420" cy="533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		Table</a:t>
          </a:r>
          <a:r>
            <a:rPr lang="en-US" sz="1100" baseline="0"/>
            <a:t> of Contents for SVOC Data</a:t>
          </a:r>
        </a:p>
        <a:p>
          <a:r>
            <a:rPr lang="en-US" sz="1100" baseline="0"/>
            <a:t>Rows 1-65: Mass Approximation Curves</a:t>
          </a:r>
        </a:p>
        <a:p>
          <a:r>
            <a:rPr lang="en-US" sz="1100" baseline="0"/>
            <a:t>Rows 66-172: Extended Calculations for Ink A</a:t>
          </a:r>
        </a:p>
        <a:p>
          <a:r>
            <a:rPr lang="en-US" sz="1100" baseline="0"/>
            <a:t>	Row 70-84: Selection of internal standard values for PAH/Alkane mass eq</a:t>
          </a:r>
        </a:p>
        <a:p>
          <a:r>
            <a:rPr lang="en-US" sz="1100" baseline="0"/>
            <a:t>	Row 85-111: Initial peak ID and integrations</a:t>
          </a:r>
        </a:p>
        <a:p>
          <a:r>
            <a:rPr lang="en-US" sz="1100" baseline="0"/>
            <a:t>	Row 112-135: Mass approximation by linear fit</a:t>
          </a:r>
        </a:p>
        <a:p>
          <a:r>
            <a:rPr lang="en-US" sz="1100" baseline="0"/>
            <a:t>	Row 137:1163: Calculation of per-volume basis and extrapolation for samples 	where the column was saturated.</a:t>
          </a:r>
        </a:p>
        <a:p>
          <a:r>
            <a:rPr lang="en-US" sz="1100" baseline="0"/>
            <a:t>	Row 165-172:  Final data for export to Time-integrated data </a:t>
          </a:r>
        </a:p>
        <a:p>
          <a:r>
            <a:rPr lang="en-US" sz="1100" baseline="0"/>
            <a:t>Rows 174-212 : Ink B</a:t>
          </a:r>
        </a:p>
        <a:p>
          <a:r>
            <a:rPr lang="en-US" sz="1100" baseline="0"/>
            <a:t>Rows 213-: </a:t>
          </a:r>
          <a:endParaRPr lang="en-US" sz="1100"/>
        </a:p>
      </xdr:txBody>
    </xdr:sp>
    <xdr:clientData/>
  </xdr:twoCellAnchor>
  <xdr:twoCellAnchor>
    <xdr:from>
      <xdr:col>24</xdr:col>
      <xdr:colOff>274320</xdr:colOff>
      <xdr:row>19</xdr:row>
      <xdr:rowOff>83820</xdr:rowOff>
    </xdr:from>
    <xdr:to>
      <xdr:col>35</xdr:col>
      <xdr:colOff>441960</xdr:colOff>
      <xdr:row>32</xdr:row>
      <xdr:rowOff>53340</xdr:rowOff>
    </xdr:to>
    <xdr:graphicFrame macro="">
      <xdr:nvGraphicFramePr>
        <xdr:cNvPr id="4" name="Chart 3">
          <a:extLst>
            <a:ext uri="{FF2B5EF4-FFF2-40B4-BE49-F238E27FC236}">
              <a16:creationId xmlns:a16="http://schemas.microsoft.com/office/drawing/2014/main" id="{DC007EE1-8D3F-4C28-99FC-97A5F6422B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99060</xdr:colOff>
      <xdr:row>35</xdr:row>
      <xdr:rowOff>22860</xdr:rowOff>
    </xdr:from>
    <xdr:to>
      <xdr:col>34</xdr:col>
      <xdr:colOff>601980</xdr:colOff>
      <xdr:row>47</xdr:row>
      <xdr:rowOff>129540</xdr:rowOff>
    </xdr:to>
    <xdr:graphicFrame macro="">
      <xdr:nvGraphicFramePr>
        <xdr:cNvPr id="5" name="Chart 4">
          <a:extLst>
            <a:ext uri="{FF2B5EF4-FFF2-40B4-BE49-F238E27FC236}">
              <a16:creationId xmlns:a16="http://schemas.microsoft.com/office/drawing/2014/main" id="{E14C9FEB-9D72-4E55-B520-6349A340E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411480</xdr:colOff>
      <xdr:row>50</xdr:row>
      <xdr:rowOff>53340</xdr:rowOff>
    </xdr:from>
    <xdr:to>
      <xdr:col>34</xdr:col>
      <xdr:colOff>411480</xdr:colOff>
      <xdr:row>63</xdr:row>
      <xdr:rowOff>106680</xdr:rowOff>
    </xdr:to>
    <xdr:graphicFrame macro="">
      <xdr:nvGraphicFramePr>
        <xdr:cNvPr id="6" name="Chart 5">
          <a:extLst>
            <a:ext uri="{FF2B5EF4-FFF2-40B4-BE49-F238E27FC236}">
              <a16:creationId xmlns:a16="http://schemas.microsoft.com/office/drawing/2014/main" id="{DFEEE716-C2A5-4512-A7A5-DA87BFBE4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0</xdr:colOff>
      <xdr:row>70</xdr:row>
      <xdr:rowOff>0</xdr:rowOff>
    </xdr:from>
    <xdr:to>
      <xdr:col>32</xdr:col>
      <xdr:colOff>179294</xdr:colOff>
      <xdr:row>77</xdr:row>
      <xdr:rowOff>46617</xdr:rowOff>
    </xdr:to>
    <xdr:sp macro="" textlink="">
      <xdr:nvSpPr>
        <xdr:cNvPr id="7" name="TextBox 6">
          <a:extLst>
            <a:ext uri="{FF2B5EF4-FFF2-40B4-BE49-F238E27FC236}">
              <a16:creationId xmlns:a16="http://schemas.microsoft.com/office/drawing/2014/main" id="{E7378C2F-BC68-4128-B551-6349CFF10B75}"/>
            </a:ext>
          </a:extLst>
        </xdr:cNvPr>
        <xdr:cNvSpPr txBox="1"/>
      </xdr:nvSpPr>
      <xdr:spPr>
        <a:xfrm>
          <a:off x="15247620" y="12862560"/>
          <a:ext cx="4446494" cy="13267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Internal Standards</a:t>
          </a:r>
          <a:r>
            <a:rPr lang="en-US" sz="1100" baseline="0"/>
            <a:t> from samples were significantly swamped or retarded beyond locating by interference of excess solvent. Highlighted numbers are where IS were easily locatable, consistent with dail calibration standards, closer in IA to the daily cal/blanks, and closer with historical numbers. These are averaged to supply IS areas for the mass equavalencies for PAH and alkanes, respectively. </a:t>
          </a:r>
          <a:endParaRPr lang="en-US" sz="1100"/>
        </a:p>
      </xdr:txBody>
    </xdr:sp>
    <xdr:clientData/>
  </xdr:twoCellAnchor>
  <xdr:twoCellAnchor>
    <xdr:from>
      <xdr:col>34</xdr:col>
      <xdr:colOff>0</xdr:colOff>
      <xdr:row>84</xdr:row>
      <xdr:rowOff>1</xdr:rowOff>
    </xdr:from>
    <xdr:to>
      <xdr:col>41</xdr:col>
      <xdr:colOff>131781</xdr:colOff>
      <xdr:row>110</xdr:row>
      <xdr:rowOff>15241</xdr:rowOff>
    </xdr:to>
    <xdr:sp macro="" textlink="">
      <xdr:nvSpPr>
        <xdr:cNvPr id="8" name="TextBox 7">
          <a:extLst>
            <a:ext uri="{FF2B5EF4-FFF2-40B4-BE49-F238E27FC236}">
              <a16:creationId xmlns:a16="http://schemas.microsoft.com/office/drawing/2014/main" id="{EADC2100-A2AB-40A0-A8C6-56BF9132967B}"/>
            </a:ext>
          </a:extLst>
        </xdr:cNvPr>
        <xdr:cNvSpPr txBox="1"/>
      </xdr:nvSpPr>
      <xdr:spPr>
        <a:xfrm>
          <a:off x="20734020" y="15438121"/>
          <a:ext cx="4398981" cy="47701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Initial assighments were</a:t>
          </a:r>
          <a:r>
            <a:rPr lang="en-US" sz="1100" baseline="0"/>
            <a:t> made by examining the mass spectra of individual peaks present on samples #73 - where peaks were maximmaly separated. The timing noted for the peaks were identified in sample #73. By Sample #69 there was significant retardation of evolution and signficant loss of chromatographic separation cause by oversaturation of the initial glycol and substituted benzenes. Identification of similar peaks which were displaced were made by searching for corresponding mass spectra.</a:t>
          </a:r>
        </a:p>
        <a:p>
          <a:endParaRPr lang="en-US" sz="1100" baseline="0"/>
        </a:p>
        <a:p>
          <a:r>
            <a:rPr lang="en-US" sz="1100" baseline="0"/>
            <a:t>In some instances, (Coumpounds 9 and 10, compounds 12 and 13, and compounds 17-19) chromatographic separation of similar compounds is lost, and the area is subsumed into a single peak. In another instance (Compound 20) the compound was swamped by the preceeding compounds, and is lost under that greater signal.</a:t>
          </a:r>
        </a:p>
        <a:p>
          <a:endParaRPr lang="en-US" sz="1100" baseline="0"/>
        </a:p>
        <a:p>
          <a:r>
            <a:rPr lang="en-US" sz="1100" baseline="0"/>
            <a:t>Retardation and swamping of other compounds was excessive in samples 62 and 63;  identification and integration of individual compounds was not meaningful. Data are extrapolated in later samples. </a:t>
          </a:r>
        </a:p>
        <a:p>
          <a:endParaRPr lang="en-US" sz="1100" baseline="0"/>
        </a:p>
        <a:p>
          <a:r>
            <a:rPr lang="en-US" sz="1100" baseline="0"/>
            <a:t>The last two compounds, the pthalate and the hexadecanoic acid complex, are considered to be contaminats from the sampling process (pthalate) and the analytical process (hexadecanoic acid) and are not considered further. </a:t>
          </a:r>
        </a:p>
        <a:p>
          <a:endParaRPr lang="en-US" sz="1100" baseline="0"/>
        </a:p>
        <a:p>
          <a:r>
            <a:rPr lang="en-US" sz="1100" baseline="0"/>
            <a:t>Mass Spec Identification was made using the Wiley 275 Library with Agilent Chemstation Data Analysis (MDS Chemstation D.02.00.275, Data Analysis in Environmental Quant)</a:t>
          </a:r>
          <a:endParaRPr lang="en-US" sz="1100"/>
        </a:p>
      </xdr:txBody>
    </xdr:sp>
    <xdr:clientData/>
  </xdr:twoCellAnchor>
  <xdr:twoCellAnchor>
    <xdr:from>
      <xdr:col>49</xdr:col>
      <xdr:colOff>1</xdr:colOff>
      <xdr:row>112</xdr:row>
      <xdr:rowOff>0</xdr:rowOff>
    </xdr:from>
    <xdr:to>
      <xdr:col>54</xdr:col>
      <xdr:colOff>601981</xdr:colOff>
      <xdr:row>135</xdr:row>
      <xdr:rowOff>175260</xdr:rowOff>
    </xdr:to>
    <xdr:sp macro="" textlink="">
      <xdr:nvSpPr>
        <xdr:cNvPr id="9" name="TextBox 8">
          <a:extLst>
            <a:ext uri="{FF2B5EF4-FFF2-40B4-BE49-F238E27FC236}">
              <a16:creationId xmlns:a16="http://schemas.microsoft.com/office/drawing/2014/main" id="{2231B737-3483-4583-B94F-C2E615A03A45}"/>
            </a:ext>
          </a:extLst>
        </xdr:cNvPr>
        <xdr:cNvSpPr txBox="1"/>
      </xdr:nvSpPr>
      <xdr:spPr>
        <a:xfrm>
          <a:off x="30251401" y="20558760"/>
          <a:ext cx="3649980" cy="438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Although</a:t>
          </a:r>
          <a:r>
            <a:rPr lang="en-US" sz="1100" baseline="0"/>
            <a:t> quadratic and sqrt fits were checked, linear fits were chosen for all analyte groups. It is the best fit for glycol and substituted benzenes. Fits for alkanes and PAHS were good as well, but these used existing calirbation curves which were more limited in range. The quadratic fit is a good fit within the concentration range, but at the highest concentrations some samples returned non-real solutions to the curve. Hence we had to choose linear. Almost certainly, the linear estimates for alkanes and PAHs overestimates the math, as the linear fit does not adequately accomodate signal extinguishment at higher concentrations; this is why (along with the use of mass-approximation analogs) the data are labeled as "semi-quantitative".</a:t>
          </a:r>
          <a:endParaRPr lang="en-US" sz="1100"/>
        </a:p>
      </xdr:txBody>
    </xdr:sp>
    <xdr:clientData/>
  </xdr:twoCellAnchor>
  <xdr:twoCellAnchor>
    <xdr:from>
      <xdr:col>52</xdr:col>
      <xdr:colOff>0</xdr:colOff>
      <xdr:row>142</xdr:row>
      <xdr:rowOff>0</xdr:rowOff>
    </xdr:from>
    <xdr:to>
      <xdr:col>54</xdr:col>
      <xdr:colOff>385482</xdr:colOff>
      <xdr:row>161</xdr:row>
      <xdr:rowOff>143435</xdr:rowOff>
    </xdr:to>
    <xdr:sp macro="" textlink="">
      <xdr:nvSpPr>
        <xdr:cNvPr id="10" name="TextBox 9">
          <a:extLst>
            <a:ext uri="{FF2B5EF4-FFF2-40B4-BE49-F238E27FC236}">
              <a16:creationId xmlns:a16="http://schemas.microsoft.com/office/drawing/2014/main" id="{E14E81A9-E79B-4ED1-9BE7-98E0538A22FC}"/>
            </a:ext>
          </a:extLst>
        </xdr:cNvPr>
        <xdr:cNvSpPr txBox="1"/>
      </xdr:nvSpPr>
      <xdr:spPr>
        <a:xfrm>
          <a:off x="26951940" y="2583180"/>
          <a:ext cx="2016162" cy="3618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That</a:t>
          </a:r>
          <a:r>
            <a:rPr lang="en-US" sz="1100" baseline="0"/>
            <a:t> ng mass is lower for 64 in the sub benzenes than it is in 63 leads me to suspect that the solvent crowding in that samples is too great. I have chosen to exclude it along with 63 and 62, and from the rest.</a:t>
          </a:r>
        </a:p>
        <a:p>
          <a:endParaRPr lang="en-US" sz="1100" baseline="0"/>
        </a:p>
        <a:p>
          <a:r>
            <a:rPr lang="en-US" sz="1100" baseline="0"/>
            <a:t>It is also lower in Alkanes and PAHs.</a:t>
          </a:r>
        </a:p>
      </xdr:txBody>
    </xdr:sp>
    <xdr:clientData/>
  </xdr:twoCellAnchor>
  <xdr:twoCellAnchor>
    <xdr:from>
      <xdr:col>54</xdr:col>
      <xdr:colOff>290988</xdr:colOff>
      <xdr:row>134</xdr:row>
      <xdr:rowOff>160468</xdr:rowOff>
    </xdr:from>
    <xdr:to>
      <xdr:col>61</xdr:col>
      <xdr:colOff>89282</xdr:colOff>
      <xdr:row>149</xdr:row>
      <xdr:rowOff>16218</xdr:rowOff>
    </xdr:to>
    <xdr:graphicFrame macro="">
      <xdr:nvGraphicFramePr>
        <xdr:cNvPr id="11" name="Chart 10">
          <a:extLst>
            <a:ext uri="{FF2B5EF4-FFF2-40B4-BE49-F238E27FC236}">
              <a16:creationId xmlns:a16="http://schemas.microsoft.com/office/drawing/2014/main" id="{387967B5-E6E1-43BB-A210-F0CA99B629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54</xdr:col>
      <xdr:colOff>342288</xdr:colOff>
      <xdr:row>149</xdr:row>
      <xdr:rowOff>60961</xdr:rowOff>
    </xdr:from>
    <xdr:to>
      <xdr:col>61</xdr:col>
      <xdr:colOff>108758</xdr:colOff>
      <xdr:row>160</xdr:row>
      <xdr:rowOff>170331</xdr:rowOff>
    </xdr:to>
    <xdr:graphicFrame macro="">
      <xdr:nvGraphicFramePr>
        <xdr:cNvPr id="12" name="Chart 11">
          <a:extLst>
            <a:ext uri="{FF2B5EF4-FFF2-40B4-BE49-F238E27FC236}">
              <a16:creationId xmlns:a16="http://schemas.microsoft.com/office/drawing/2014/main" id="{11C3041A-95AE-4C2B-9C80-18281D8E3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61</xdr:col>
      <xdr:colOff>166173</xdr:colOff>
      <xdr:row>135</xdr:row>
      <xdr:rowOff>45720</xdr:rowOff>
    </xdr:from>
    <xdr:to>
      <xdr:col>67</xdr:col>
      <xdr:colOff>148244</xdr:colOff>
      <xdr:row>149</xdr:row>
      <xdr:rowOff>86957</xdr:rowOff>
    </xdr:to>
    <xdr:graphicFrame macro="">
      <xdr:nvGraphicFramePr>
        <xdr:cNvPr id="13" name="Chart 12">
          <a:extLst>
            <a:ext uri="{FF2B5EF4-FFF2-40B4-BE49-F238E27FC236}">
              <a16:creationId xmlns:a16="http://schemas.microsoft.com/office/drawing/2014/main" id="{321F93A0-820D-45E1-B26B-64994EF6E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61</xdr:col>
      <xdr:colOff>19396</xdr:colOff>
      <xdr:row>149</xdr:row>
      <xdr:rowOff>59208</xdr:rowOff>
    </xdr:from>
    <xdr:to>
      <xdr:col>67</xdr:col>
      <xdr:colOff>72736</xdr:colOff>
      <xdr:row>160</xdr:row>
      <xdr:rowOff>166254</xdr:rowOff>
    </xdr:to>
    <xdr:graphicFrame macro="">
      <xdr:nvGraphicFramePr>
        <xdr:cNvPr id="14" name="Chart 13">
          <a:extLst>
            <a:ext uri="{FF2B5EF4-FFF2-40B4-BE49-F238E27FC236}">
              <a16:creationId xmlns:a16="http://schemas.microsoft.com/office/drawing/2014/main" id="{85B78770-F807-4190-88DF-043748E567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32</xdr:col>
      <xdr:colOff>563880</xdr:colOff>
      <xdr:row>197</xdr:row>
      <xdr:rowOff>102870</xdr:rowOff>
    </xdr:from>
    <xdr:to>
      <xdr:col>40</xdr:col>
      <xdr:colOff>259080</xdr:colOff>
      <xdr:row>211</xdr:row>
      <xdr:rowOff>102870</xdr:rowOff>
    </xdr:to>
    <xdr:graphicFrame macro="">
      <xdr:nvGraphicFramePr>
        <xdr:cNvPr id="15" name="Chart 14">
          <a:extLst>
            <a:ext uri="{FF2B5EF4-FFF2-40B4-BE49-F238E27FC236}">
              <a16:creationId xmlns:a16="http://schemas.microsoft.com/office/drawing/2014/main" id="{86EF0A10-C179-4E4E-9FE4-B074646150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08310-C1E1-41C1-9DC1-25EAD12A088F}">
  <dimension ref="C3:AN51"/>
  <sheetViews>
    <sheetView workbookViewId="0">
      <selection activeCell="Y25" sqref="Y25"/>
    </sheetView>
  </sheetViews>
  <sheetFormatPr defaultRowHeight="14.4" x14ac:dyDescent="0.3"/>
  <cols>
    <col min="16" max="16" width="36.77734375" bestFit="1" customWidth="1"/>
  </cols>
  <sheetData>
    <row r="3" spans="3:40" ht="16.2" thickBot="1" x14ac:dyDescent="0.35">
      <c r="C3" s="161" t="s">
        <v>198</v>
      </c>
      <c r="D3" s="161"/>
      <c r="E3" s="161"/>
      <c r="F3" s="161"/>
      <c r="G3" s="161"/>
      <c r="H3" s="161"/>
      <c r="L3" s="153" t="s">
        <v>195</v>
      </c>
      <c r="M3" s="153"/>
      <c r="N3" s="153"/>
      <c r="O3" s="153"/>
      <c r="P3" s="153"/>
      <c r="Q3" s="153"/>
      <c r="R3" s="153"/>
      <c r="S3" s="153"/>
      <c r="T3" s="153"/>
      <c r="U3" s="153"/>
      <c r="V3" s="153"/>
      <c r="Z3" s="200" t="s">
        <v>225</v>
      </c>
      <c r="AA3" s="200"/>
      <c r="AB3" s="200"/>
      <c r="AC3" s="200"/>
      <c r="AD3" s="200"/>
      <c r="AE3" s="200"/>
      <c r="AF3" s="200"/>
      <c r="AG3" s="200"/>
      <c r="AH3" s="200"/>
      <c r="AI3" s="200"/>
      <c r="AJ3" s="200"/>
      <c r="AK3" s="200"/>
      <c r="AL3" s="200"/>
      <c r="AM3" s="200"/>
      <c r="AN3" s="200"/>
    </row>
    <row r="4" spans="3:40" x14ac:dyDescent="0.3">
      <c r="C4" s="11" t="s">
        <v>199</v>
      </c>
      <c r="D4" s="11" t="s">
        <v>200</v>
      </c>
      <c r="E4" s="11"/>
      <c r="F4" s="11"/>
      <c r="G4" s="11" t="s">
        <v>201</v>
      </c>
      <c r="H4" s="11"/>
      <c r="Z4" t="s">
        <v>226</v>
      </c>
      <c r="AA4" t="s">
        <v>233</v>
      </c>
    </row>
    <row r="5" spans="3:40" x14ac:dyDescent="0.3">
      <c r="C5" s="12" t="s">
        <v>37</v>
      </c>
      <c r="D5" s="186" t="s">
        <v>202</v>
      </c>
      <c r="E5" s="186"/>
      <c r="F5" s="186"/>
      <c r="G5" s="12" t="s">
        <v>203</v>
      </c>
      <c r="H5" s="12"/>
      <c r="N5" s="154" t="s">
        <v>37</v>
      </c>
      <c r="O5" s="154"/>
      <c r="P5" s="147"/>
      <c r="Q5" s="147" t="s">
        <v>111</v>
      </c>
      <c r="R5" s="147" t="s">
        <v>117</v>
      </c>
      <c r="Z5" t="s">
        <v>217</v>
      </c>
      <c r="AA5" t="s">
        <v>232</v>
      </c>
    </row>
    <row r="6" spans="3:40" x14ac:dyDescent="0.3">
      <c r="D6" s="185"/>
      <c r="E6" s="185"/>
      <c r="F6" s="185"/>
      <c r="G6" t="s">
        <v>204</v>
      </c>
      <c r="L6" t="s">
        <v>190</v>
      </c>
      <c r="O6" s="86">
        <v>4.0648299999999997</v>
      </c>
      <c r="Q6" s="86">
        <v>5.3490700000000002</v>
      </c>
      <c r="R6" s="86">
        <v>6.1776600000000004</v>
      </c>
      <c r="S6" s="86"/>
      <c r="Z6" t="s">
        <v>128</v>
      </c>
      <c r="AA6" t="s">
        <v>231</v>
      </c>
    </row>
    <row r="7" spans="3:40" x14ac:dyDescent="0.3">
      <c r="G7" t="s">
        <v>205</v>
      </c>
      <c r="N7" t="s">
        <v>191</v>
      </c>
      <c r="O7" s="95">
        <v>3.2112156999999999</v>
      </c>
      <c r="P7" t="s">
        <v>220</v>
      </c>
      <c r="Q7" s="94">
        <v>3.5838769000000004</v>
      </c>
      <c r="R7" s="95">
        <v>5.0039046000000003</v>
      </c>
      <c r="S7" s="95"/>
      <c r="Z7" t="s">
        <v>58</v>
      </c>
      <c r="AA7" t="s">
        <v>234</v>
      </c>
    </row>
    <row r="8" spans="3:40" x14ac:dyDescent="0.3">
      <c r="C8" s="11"/>
      <c r="D8" s="11"/>
      <c r="E8" s="11"/>
      <c r="F8" s="11"/>
      <c r="G8" s="11" t="s">
        <v>206</v>
      </c>
      <c r="H8" s="11"/>
      <c r="N8" t="s">
        <v>192</v>
      </c>
      <c r="O8" s="95">
        <v>0.40648299999999998</v>
      </c>
      <c r="P8" t="s">
        <v>221</v>
      </c>
      <c r="Q8" s="94">
        <v>0.48141630000000002</v>
      </c>
      <c r="R8" s="95">
        <v>0.43243620000000005</v>
      </c>
      <c r="S8" s="95"/>
      <c r="Z8" t="s">
        <v>239</v>
      </c>
      <c r="AA8" t="s">
        <v>240</v>
      </c>
    </row>
    <row r="9" spans="3:40" x14ac:dyDescent="0.3">
      <c r="C9" s="12" t="s">
        <v>111</v>
      </c>
      <c r="D9" s="12" t="s">
        <v>207</v>
      </c>
      <c r="E9" s="12"/>
      <c r="F9" s="12"/>
      <c r="G9" s="12" t="s">
        <v>208</v>
      </c>
      <c r="H9" s="12"/>
      <c r="N9" t="s">
        <v>193</v>
      </c>
      <c r="O9" s="95">
        <v>0.40648299999999998</v>
      </c>
      <c r="P9" t="s">
        <v>222</v>
      </c>
      <c r="Q9" s="94">
        <v>0.80236050000000003</v>
      </c>
      <c r="R9" s="95">
        <v>0.43243620000000005</v>
      </c>
      <c r="S9" s="95"/>
      <c r="Z9" t="s">
        <v>177</v>
      </c>
      <c r="AA9" t="s">
        <v>111</v>
      </c>
    </row>
    <row r="10" spans="3:40" x14ac:dyDescent="0.3">
      <c r="G10" t="s">
        <v>209</v>
      </c>
      <c r="N10" t="s">
        <v>194</v>
      </c>
      <c r="O10" s="95">
        <v>4.0648299999999998E-2</v>
      </c>
      <c r="P10" t="s">
        <v>223</v>
      </c>
      <c r="Q10" s="94">
        <v>0.48141630000000002</v>
      </c>
      <c r="R10" s="95"/>
      <c r="S10" s="95"/>
      <c r="Z10" t="s">
        <v>178</v>
      </c>
      <c r="AA10" t="s">
        <v>117</v>
      </c>
    </row>
    <row r="11" spans="3:40" x14ac:dyDescent="0.3">
      <c r="G11" t="s">
        <v>210</v>
      </c>
      <c r="P11" t="s">
        <v>224</v>
      </c>
      <c r="Q11" s="94"/>
      <c r="R11" s="95">
        <v>0.30888300000000002</v>
      </c>
      <c r="S11" s="95"/>
      <c r="Z11" t="s">
        <v>229</v>
      </c>
      <c r="AA11" t="s">
        <v>37</v>
      </c>
    </row>
    <row r="12" spans="3:40" x14ac:dyDescent="0.3">
      <c r="C12" s="11"/>
      <c r="D12" s="11"/>
      <c r="E12" s="11"/>
      <c r="F12" s="11"/>
      <c r="G12" s="11" t="s">
        <v>211</v>
      </c>
      <c r="H12" s="11"/>
      <c r="N12" s="152"/>
      <c r="O12" s="94"/>
      <c r="Q12" s="45"/>
      <c r="R12" s="45"/>
      <c r="S12" s="94"/>
      <c r="Z12" t="s">
        <v>237</v>
      </c>
      <c r="AA12" t="s">
        <v>238</v>
      </c>
    </row>
    <row r="13" spans="3:40" ht="14.4" customHeight="1" x14ac:dyDescent="0.3">
      <c r="C13" t="s">
        <v>117</v>
      </c>
      <c r="D13" t="s">
        <v>207</v>
      </c>
      <c r="G13" t="s">
        <v>212</v>
      </c>
      <c r="O13" s="94"/>
      <c r="P13" s="94"/>
      <c r="Q13" s="94"/>
      <c r="R13" s="45"/>
      <c r="S13" s="45"/>
      <c r="T13" s="45"/>
      <c r="Z13" t="s">
        <v>228</v>
      </c>
      <c r="AA13" t="s">
        <v>235</v>
      </c>
    </row>
    <row r="14" spans="3:40" x14ac:dyDescent="0.3">
      <c r="G14" t="s">
        <v>213</v>
      </c>
      <c r="O14" s="94"/>
      <c r="P14" s="94"/>
      <c r="Q14" s="94"/>
      <c r="R14" s="45"/>
      <c r="S14" s="45"/>
      <c r="T14" s="45"/>
      <c r="Z14" t="s">
        <v>219</v>
      </c>
      <c r="AA14" t="s">
        <v>227</v>
      </c>
    </row>
    <row r="15" spans="3:40" x14ac:dyDescent="0.3">
      <c r="G15" t="s">
        <v>214</v>
      </c>
      <c r="Q15" s="86"/>
      <c r="Z15" t="s">
        <v>230</v>
      </c>
      <c r="AA15" s="199" t="s">
        <v>236</v>
      </c>
      <c r="AB15" s="199"/>
      <c r="AC15" s="199"/>
      <c r="AD15" s="199"/>
      <c r="AE15" s="199"/>
      <c r="AF15" s="199"/>
      <c r="AG15" s="199"/>
      <c r="AH15" s="199"/>
      <c r="AI15" s="199"/>
      <c r="AJ15" s="199"/>
      <c r="AK15" s="199"/>
      <c r="AL15" s="199"/>
      <c r="AM15" s="199"/>
    </row>
    <row r="16" spans="3:40" x14ac:dyDescent="0.3">
      <c r="C16" s="11"/>
      <c r="D16" s="11"/>
      <c r="E16" s="11"/>
      <c r="F16" s="11"/>
      <c r="G16" s="11" t="s">
        <v>215</v>
      </c>
      <c r="H16" s="11"/>
      <c r="Q16" s="86"/>
      <c r="AA16" s="199"/>
      <c r="AB16" s="199"/>
      <c r="AC16" s="199"/>
      <c r="AD16" s="199"/>
      <c r="AE16" s="199"/>
      <c r="AF16" s="199"/>
      <c r="AG16" s="199"/>
      <c r="AH16" s="199"/>
      <c r="AI16" s="199"/>
      <c r="AJ16" s="199"/>
      <c r="AK16" s="199"/>
      <c r="AL16" s="199"/>
      <c r="AM16" s="199"/>
    </row>
    <row r="17" spans="17:39" x14ac:dyDescent="0.3">
      <c r="Q17" s="86"/>
      <c r="T17" s="45"/>
      <c r="AA17" s="199"/>
      <c r="AB17" s="199"/>
      <c r="AC17" s="199"/>
      <c r="AD17" s="199"/>
      <c r="AE17" s="199"/>
      <c r="AF17" s="199"/>
      <c r="AG17" s="199"/>
      <c r="AH17" s="199"/>
      <c r="AI17" s="199"/>
      <c r="AJ17" s="199"/>
      <c r="AK17" s="199"/>
      <c r="AL17" s="199"/>
      <c r="AM17" s="199"/>
    </row>
    <row r="18" spans="17:39" x14ac:dyDescent="0.3">
      <c r="Q18" s="86"/>
      <c r="T18" s="45"/>
    </row>
    <row r="36" spans="4:12" ht="15" thickBot="1" x14ac:dyDescent="0.35">
      <c r="D36" s="161" t="s">
        <v>216</v>
      </c>
      <c r="E36" s="161"/>
      <c r="F36" s="161"/>
      <c r="G36" s="161"/>
      <c r="H36" s="161"/>
      <c r="I36" s="161"/>
      <c r="J36" s="161"/>
      <c r="K36" s="161"/>
      <c r="L36" s="161"/>
    </row>
    <row r="37" spans="4:12" x14ac:dyDescent="0.3">
      <c r="D37" s="162" t="s">
        <v>37</v>
      </c>
      <c r="E37" s="162"/>
      <c r="F37" s="187"/>
      <c r="G37" s="188" t="s">
        <v>111</v>
      </c>
      <c r="H37" s="162"/>
      <c r="I37" s="187"/>
      <c r="J37" s="156" t="s">
        <v>117</v>
      </c>
      <c r="K37" s="156"/>
      <c r="L37" s="156"/>
    </row>
    <row r="38" spans="4:12" x14ac:dyDescent="0.3">
      <c r="D38" s="11" t="s">
        <v>217</v>
      </c>
      <c r="E38" s="11" t="s">
        <v>218</v>
      </c>
      <c r="F38" s="25" t="s">
        <v>219</v>
      </c>
      <c r="G38" s="24" t="s">
        <v>217</v>
      </c>
      <c r="H38" s="11" t="s">
        <v>218</v>
      </c>
      <c r="I38" s="25" t="s">
        <v>219</v>
      </c>
      <c r="J38" s="11" t="s">
        <v>217</v>
      </c>
      <c r="K38" s="11" t="s">
        <v>218</v>
      </c>
      <c r="L38" s="11" t="s">
        <v>219</v>
      </c>
    </row>
    <row r="39" spans="4:12" x14ac:dyDescent="0.3">
      <c r="D39" s="108">
        <v>0</v>
      </c>
      <c r="E39" s="119">
        <v>0</v>
      </c>
      <c r="F39" s="189">
        <v>0</v>
      </c>
      <c r="G39" s="190">
        <v>0</v>
      </c>
      <c r="H39" s="108">
        <v>0</v>
      </c>
      <c r="I39" s="189">
        <v>0</v>
      </c>
      <c r="J39" s="108">
        <v>0</v>
      </c>
      <c r="K39" s="119">
        <v>0</v>
      </c>
      <c r="L39" s="86">
        <v>0</v>
      </c>
    </row>
    <row r="40" spans="4:12" x14ac:dyDescent="0.3">
      <c r="D40" s="95">
        <v>0.71666666673263535</v>
      </c>
      <c r="E40" s="95">
        <v>0.10902777768205851</v>
      </c>
      <c r="F40" s="189">
        <v>0.1</v>
      </c>
      <c r="G40" s="191">
        <v>0.81000000005587935</v>
      </c>
      <c r="H40" s="119">
        <v>0.31402777775656432</v>
      </c>
      <c r="I40" s="189">
        <v>0.1</v>
      </c>
      <c r="J40" s="95">
        <v>0.82222222234122455</v>
      </c>
      <c r="K40" s="95">
        <v>0.31513888895278797</v>
      </c>
      <c r="L40" s="86">
        <v>0.1</v>
      </c>
    </row>
    <row r="41" spans="4:12" x14ac:dyDescent="0.3">
      <c r="D41" s="95">
        <v>1.7487500000861473</v>
      </c>
      <c r="E41" s="95">
        <v>1.0820833333418705</v>
      </c>
      <c r="F41" s="192">
        <v>0.80722222222222217</v>
      </c>
      <c r="G41" s="191">
        <v>1.8263888888759539</v>
      </c>
      <c r="H41" s="119">
        <v>1.3222222222248092</v>
      </c>
      <c r="I41" s="193">
        <v>0.99722222222222223</v>
      </c>
      <c r="J41" s="95">
        <v>1.8191666667116806</v>
      </c>
      <c r="K41" s="95">
        <v>1.3175000001210719</v>
      </c>
      <c r="L41" s="125">
        <v>0.99722222222222223</v>
      </c>
    </row>
    <row r="42" spans="4:12" x14ac:dyDescent="0.3">
      <c r="D42" s="95">
        <v>2.785277777700685</v>
      </c>
      <c r="E42" s="95">
        <v>2.1151388888829388</v>
      </c>
      <c r="F42" s="192">
        <v>1.8291666666666666</v>
      </c>
      <c r="G42" s="191">
        <v>3.0533333334024064</v>
      </c>
      <c r="H42" s="119">
        <v>2.4509722223156132</v>
      </c>
      <c r="I42" s="192">
        <v>2.1288888888888891</v>
      </c>
      <c r="J42" s="95">
        <v>3.0547222224413417</v>
      </c>
      <c r="K42" s="95">
        <v>2.5129166667466052</v>
      </c>
      <c r="L42" s="125">
        <v>2.1783333333333332</v>
      </c>
    </row>
    <row r="43" spans="4:12" x14ac:dyDescent="0.3">
      <c r="D43" s="95">
        <v>3.8011111110099591</v>
      </c>
      <c r="E43" s="95">
        <v>3.1488888887688518</v>
      </c>
      <c r="F43" s="192">
        <v>2.8580555555555556</v>
      </c>
      <c r="G43" s="191">
        <v>4.2001388889038935</v>
      </c>
      <c r="H43" s="119">
        <v>3.6791666665230878</v>
      </c>
      <c r="I43" s="192">
        <v>3.339722222222222</v>
      </c>
      <c r="J43" s="95">
        <v>4.2004166667466052</v>
      </c>
      <c r="K43" s="92">
        <v>3.6902777777868323</v>
      </c>
      <c r="L43" s="125">
        <v>3.3541666666666665</v>
      </c>
    </row>
    <row r="44" spans="4:12" x14ac:dyDescent="0.3">
      <c r="D44" s="95">
        <v>4.7944444444729015</v>
      </c>
      <c r="E44" s="119">
        <v>4.1686111110029742</v>
      </c>
      <c r="F44" s="192">
        <v>3.8711111111111109</v>
      </c>
      <c r="G44" s="191">
        <v>5.1927777778473683</v>
      </c>
      <c r="H44" s="119">
        <v>4.7030555555247702</v>
      </c>
      <c r="I44" s="192">
        <v>4.3736111111111109</v>
      </c>
      <c r="J44" s="95">
        <v>5.1883333334117197</v>
      </c>
      <c r="K44" s="119">
        <v>4.7041666667209938</v>
      </c>
      <c r="L44" s="125">
        <v>4.3902777777777775</v>
      </c>
    </row>
    <row r="45" spans="4:12" x14ac:dyDescent="0.3">
      <c r="D45" s="95">
        <v>5.905833333323244</v>
      </c>
      <c r="E45" s="95">
        <v>5.248749999969732</v>
      </c>
      <c r="F45" s="192">
        <v>4.9749999999999996</v>
      </c>
      <c r="G45" s="191">
        <v>6.3311111111543141</v>
      </c>
      <c r="H45" s="119">
        <v>5.7769444443401881</v>
      </c>
      <c r="I45" s="192">
        <v>5.4625000000000004</v>
      </c>
      <c r="J45" s="95">
        <v>6.3295833332813345</v>
      </c>
      <c r="K45" s="119">
        <v>5.784444444521796</v>
      </c>
      <c r="L45" s="125">
        <v>5.4672222222222224</v>
      </c>
    </row>
    <row r="46" spans="4:12" x14ac:dyDescent="0.3">
      <c r="D46" s="95">
        <v>6.9933333332883194</v>
      </c>
      <c r="E46" s="95">
        <v>6.339444444514811</v>
      </c>
      <c r="F46" s="192">
        <v>6.052777777777778</v>
      </c>
      <c r="G46" s="191">
        <v>7.4402777777868323</v>
      </c>
      <c r="H46" s="119">
        <v>6.9502777777961455</v>
      </c>
      <c r="I46" s="192">
        <v>6.6330555555555559</v>
      </c>
      <c r="J46" s="95">
        <v>7.4450000000651926</v>
      </c>
      <c r="K46" s="95">
        <v>7.4450000000651926</v>
      </c>
      <c r="L46" s="125">
        <v>6.6483333333333334</v>
      </c>
    </row>
    <row r="47" spans="4:12" x14ac:dyDescent="0.3">
      <c r="D47" s="95">
        <v>26.70638888888061</v>
      </c>
      <c r="E47" s="95">
        <v>24.679166666697711</v>
      </c>
      <c r="F47" s="192">
        <v>24.97388888888889</v>
      </c>
      <c r="G47" s="191">
        <v>26.019166666665114</v>
      </c>
      <c r="H47" s="119">
        <v>24.107777777651791</v>
      </c>
      <c r="I47" s="192">
        <v>24.33111111111111</v>
      </c>
      <c r="J47" s="95">
        <v>26.024583333462942</v>
      </c>
      <c r="K47" s="95">
        <v>24.102500000211876</v>
      </c>
      <c r="L47" s="125">
        <v>24.337777777777777</v>
      </c>
    </row>
    <row r="48" spans="4:12" x14ac:dyDescent="0.3">
      <c r="D48" s="95">
        <v>51.480972222110722</v>
      </c>
      <c r="E48" s="95">
        <v>48.534027777670417</v>
      </c>
      <c r="F48" s="192">
        <v>48.914722222222224</v>
      </c>
      <c r="G48" s="191">
        <v>50.994166666700039</v>
      </c>
      <c r="H48" s="119">
        <v>48.246666666702367</v>
      </c>
      <c r="I48" s="192">
        <v>48.563055555555557</v>
      </c>
      <c r="J48" s="95">
        <v>50.991666666814126</v>
      </c>
      <c r="K48" s="95">
        <v>50.991666666814126</v>
      </c>
      <c r="L48" s="125">
        <v>48.573333333333331</v>
      </c>
    </row>
    <row r="49" spans="4:12" x14ac:dyDescent="0.3">
      <c r="D49" s="95">
        <v>75.459166666609235</v>
      </c>
      <c r="E49" s="95">
        <v>72.635138888843358</v>
      </c>
      <c r="F49" s="192">
        <v>72.958888888888893</v>
      </c>
      <c r="G49" s="191">
        <v>74.79222222219687</v>
      </c>
      <c r="H49" s="119">
        <v>72.191388888924848</v>
      </c>
      <c r="I49" s="192">
        <v>72.413888888888891</v>
      </c>
      <c r="J49" s="95">
        <v>74.80375000013737</v>
      </c>
      <c r="K49" s="95">
        <v>72.18902777787298</v>
      </c>
      <c r="L49" s="125">
        <v>72.424166666666665</v>
      </c>
    </row>
    <row r="50" spans="4:12" x14ac:dyDescent="0.3">
      <c r="D50" s="95">
        <v>99.445416666625533</v>
      </c>
      <c r="E50" s="95">
        <v>96.680138888885267</v>
      </c>
      <c r="F50" s="192">
        <v>96.963055555555556</v>
      </c>
      <c r="G50" s="191">
        <v>99.034027777786832</v>
      </c>
      <c r="H50" s="119">
        <v>96.344722222303972</v>
      </c>
      <c r="I50" s="192">
        <v>96.575555555555553</v>
      </c>
      <c r="J50" s="95">
        <v>99.039583333418705</v>
      </c>
      <c r="K50" s="95">
        <v>96.397222222352866</v>
      </c>
      <c r="L50" s="125">
        <v>96.613055555555562</v>
      </c>
    </row>
    <row r="51" spans="4:12" x14ac:dyDescent="0.3">
      <c r="D51" s="194">
        <v>171.49166666652309</v>
      </c>
      <c r="E51" s="194">
        <v>167.99166666663999</v>
      </c>
      <c r="F51" s="195">
        <v>168.29166666666666</v>
      </c>
      <c r="G51" s="196">
        <v>171.73388888878981</v>
      </c>
      <c r="H51" s="197">
        <v>168.29944444441935</v>
      </c>
      <c r="I51" s="195">
        <v>168.52055555555555</v>
      </c>
      <c r="J51" s="194">
        <v>171.73888888891088</v>
      </c>
      <c r="K51" s="194">
        <v>168.29472222231561</v>
      </c>
      <c r="L51" s="198">
        <v>168.55722222222221</v>
      </c>
    </row>
  </sheetData>
  <sortState xmlns:xlrd2="http://schemas.microsoft.com/office/spreadsheetml/2017/richdata2" ref="Z4:AN17">
    <sortCondition ref="Z4:Z17"/>
  </sortState>
  <mergeCells count="10">
    <mergeCell ref="AA15:AM17"/>
    <mergeCell ref="Z3:AN3"/>
    <mergeCell ref="C3:H3"/>
    <mergeCell ref="D5:F6"/>
    <mergeCell ref="N5:O5"/>
    <mergeCell ref="D36:L36"/>
    <mergeCell ref="D37:F37"/>
    <mergeCell ref="G37:I37"/>
    <mergeCell ref="J37:L37"/>
    <mergeCell ref="L3:V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539E6-0CAA-4926-81BB-D4DA73784F03}">
  <dimension ref="B1:AS380"/>
  <sheetViews>
    <sheetView topLeftCell="N1" zoomScale="85" zoomScaleNormal="85" workbookViewId="0">
      <selection activeCell="M9" sqref="M9"/>
    </sheetView>
  </sheetViews>
  <sheetFormatPr defaultColWidth="8.6640625" defaultRowHeight="14.4" x14ac:dyDescent="0.3"/>
  <cols>
    <col min="1" max="6" width="8.6640625" style="86"/>
    <col min="7" max="7" width="18.44140625" style="86" bestFit="1" customWidth="1"/>
    <col min="8" max="12" width="8.6640625" style="86"/>
    <col min="13" max="13" width="17" style="86" customWidth="1"/>
    <col min="14" max="18" width="8.6640625" style="86"/>
    <col min="19" max="19" width="38.88671875" style="86" customWidth="1"/>
    <col min="20" max="20" width="15.5546875" style="86" customWidth="1"/>
    <col min="21" max="21" width="15.77734375" style="86" customWidth="1"/>
    <col min="22" max="24" width="8.6640625" style="86"/>
    <col min="25" max="25" width="27" style="86" customWidth="1"/>
    <col min="26" max="26" width="20.44140625" style="86" customWidth="1"/>
    <col min="27" max="27" width="14.109375" style="86" customWidth="1"/>
    <col min="28" max="28" width="19.88671875" style="86" customWidth="1"/>
    <col min="29" max="29" width="12.44140625" style="86" customWidth="1"/>
    <col min="30" max="30" width="19.6640625" style="86" customWidth="1"/>
    <col min="31" max="31" width="11.109375" style="86" customWidth="1"/>
    <col min="32" max="37" width="8.6640625" style="86"/>
    <col min="38" max="42" width="25.88671875" style="86" customWidth="1"/>
    <col min="43" max="47" width="16.33203125" style="86" customWidth="1"/>
    <col min="48" max="48" width="25.88671875" style="86" customWidth="1"/>
    <col min="49" max="16384" width="8.6640625" style="86"/>
  </cols>
  <sheetData>
    <row r="1" spans="2:45" ht="15.6" x14ac:dyDescent="0.3">
      <c r="M1" s="155" t="s">
        <v>37</v>
      </c>
      <c r="N1" s="155"/>
      <c r="O1" s="155"/>
      <c r="P1" s="155"/>
      <c r="Q1" s="155"/>
      <c r="R1" s="155"/>
      <c r="S1" s="155"/>
      <c r="T1" s="155"/>
      <c r="U1" s="155"/>
      <c r="V1" s="155"/>
      <c r="W1" s="155"/>
      <c r="Y1" s="155" t="s">
        <v>111</v>
      </c>
      <c r="Z1" s="155"/>
      <c r="AA1" s="155"/>
      <c r="AB1" s="155"/>
      <c r="AC1" s="155"/>
      <c r="AD1" s="155"/>
      <c r="AE1" s="155"/>
      <c r="AF1" s="155"/>
      <c r="AG1" s="155"/>
      <c r="AH1" s="155"/>
      <c r="AI1" s="155"/>
      <c r="AJ1" s="155"/>
      <c r="AL1" s="155" t="s">
        <v>117</v>
      </c>
      <c r="AM1" s="155"/>
      <c r="AN1" s="155"/>
      <c r="AO1" s="155"/>
      <c r="AP1" s="155"/>
      <c r="AQ1" s="155"/>
      <c r="AR1" s="155"/>
      <c r="AS1" s="155"/>
    </row>
    <row r="3" spans="2:45" x14ac:dyDescent="0.3">
      <c r="M3" s="86" t="s">
        <v>118</v>
      </c>
      <c r="O3" s="86">
        <v>4.0648299999999997</v>
      </c>
      <c r="S3" s="88" t="s">
        <v>119</v>
      </c>
      <c r="T3" s="89" t="s">
        <v>120</v>
      </c>
      <c r="Y3" s="87" t="s">
        <v>118</v>
      </c>
      <c r="Z3" s="87"/>
      <c r="AA3" s="87">
        <v>5.3490700000000002</v>
      </c>
      <c r="AD3" s="88" t="s">
        <v>119</v>
      </c>
      <c r="AE3" s="89" t="s">
        <v>120</v>
      </c>
      <c r="AL3" s="86" t="s">
        <v>118</v>
      </c>
      <c r="AN3" s="86">
        <v>6.1776600000000004</v>
      </c>
      <c r="AQ3" s="88" t="s">
        <v>119</v>
      </c>
      <c r="AR3" s="89" t="s">
        <v>120</v>
      </c>
    </row>
    <row r="4" spans="2:45" ht="15.6" x14ac:dyDescent="0.3">
      <c r="B4" s="143" t="s">
        <v>175</v>
      </c>
      <c r="C4" s="144"/>
      <c r="D4"/>
      <c r="E4"/>
      <c r="F4"/>
      <c r="G4"/>
      <c r="H4"/>
      <c r="I4"/>
      <c r="J4"/>
      <c r="M4" s="86" t="s">
        <v>121</v>
      </c>
      <c r="O4" s="86">
        <v>0.85187000000000002</v>
      </c>
      <c r="S4" s="90" t="s">
        <v>119</v>
      </c>
      <c r="T4" s="89" t="s">
        <v>122</v>
      </c>
      <c r="Y4" s="87" t="s">
        <v>121</v>
      </c>
      <c r="Z4" s="87"/>
      <c r="AA4" s="87">
        <v>1.27061</v>
      </c>
      <c r="AD4" s="90" t="s">
        <v>119</v>
      </c>
      <c r="AE4" s="89" t="s">
        <v>122</v>
      </c>
      <c r="AL4" s="86" t="s">
        <v>121</v>
      </c>
      <c r="AN4" s="86">
        <v>1.6394299999999999</v>
      </c>
      <c r="AQ4" s="90" t="s">
        <v>119</v>
      </c>
      <c r="AR4" s="89" t="s">
        <v>122</v>
      </c>
    </row>
    <row r="5" spans="2:45" ht="15.6" x14ac:dyDescent="0.3">
      <c r="B5" s="145"/>
      <c r="C5" s="146"/>
      <c r="D5"/>
      <c r="E5"/>
      <c r="F5"/>
      <c r="G5"/>
      <c r="H5"/>
      <c r="I5"/>
      <c r="J5"/>
      <c r="M5" s="86" t="s">
        <v>123</v>
      </c>
      <c r="O5" s="86">
        <f>O3-O4</f>
        <v>3.2129599999999998</v>
      </c>
      <c r="S5" s="91" t="s">
        <v>119</v>
      </c>
      <c r="T5" s="89" t="s">
        <v>124</v>
      </c>
      <c r="Y5" s="87" t="s">
        <v>123</v>
      </c>
      <c r="Z5" s="87"/>
      <c r="AA5" s="87">
        <f>AA3-AA4</f>
        <v>4.0784599999999998</v>
      </c>
      <c r="AD5" s="91" t="s">
        <v>119</v>
      </c>
      <c r="AE5" s="89" t="s">
        <v>124</v>
      </c>
      <c r="AL5" s="86" t="s">
        <v>123</v>
      </c>
      <c r="AN5" s="86">
        <f>AN3-AN4</f>
        <v>4.5382300000000004</v>
      </c>
      <c r="AQ5" s="91" t="s">
        <v>119</v>
      </c>
      <c r="AR5" s="89" t="s">
        <v>124</v>
      </c>
    </row>
    <row r="6" spans="2:45" ht="15.6" x14ac:dyDescent="0.3">
      <c r="B6" s="145"/>
      <c r="C6" s="96" t="s">
        <v>196</v>
      </c>
      <c r="D6"/>
      <c r="E6"/>
      <c r="F6"/>
      <c r="G6"/>
      <c r="H6"/>
      <c r="I6"/>
      <c r="J6"/>
      <c r="M6" s="86" t="s">
        <v>125</v>
      </c>
      <c r="O6" s="95">
        <f>O4/O3*100</f>
        <v>20.957087996299968</v>
      </c>
      <c r="Y6" s="87" t="s">
        <v>125</v>
      </c>
      <c r="Z6" s="87"/>
      <c r="AA6" s="92">
        <f>AA4/AA3*100</f>
        <v>23.753848799884839</v>
      </c>
      <c r="AL6" s="86" t="s">
        <v>125</v>
      </c>
      <c r="AN6" s="95">
        <f>AN4/AN3*100</f>
        <v>26.538041912309833</v>
      </c>
    </row>
    <row r="7" spans="2:45" ht="15.6" x14ac:dyDescent="0.3">
      <c r="B7" s="145"/>
      <c r="C7" s="96" t="s">
        <v>197</v>
      </c>
      <c r="D7"/>
      <c r="E7"/>
      <c r="F7"/>
      <c r="G7"/>
      <c r="H7"/>
      <c r="I7"/>
      <c r="J7"/>
      <c r="M7" s="86" t="s">
        <v>126</v>
      </c>
      <c r="O7" s="86">
        <v>99.9</v>
      </c>
      <c r="Y7" s="87" t="s">
        <v>126</v>
      </c>
      <c r="Z7" s="87"/>
      <c r="AA7" s="87">
        <v>101.8</v>
      </c>
      <c r="AL7" s="86" t="s">
        <v>126</v>
      </c>
      <c r="AN7" s="86">
        <v>100.9</v>
      </c>
    </row>
    <row r="8" spans="2:45" x14ac:dyDescent="0.3">
      <c r="B8"/>
      <c r="C8" s="147" t="s">
        <v>176</v>
      </c>
      <c r="D8"/>
      <c r="E8"/>
      <c r="F8"/>
      <c r="M8" s="86" t="s">
        <v>127</v>
      </c>
      <c r="O8" s="94">
        <f>O7*60/1000000</f>
        <v>5.9940000000000002E-3</v>
      </c>
      <c r="P8" s="86" t="s">
        <v>128</v>
      </c>
      <c r="Q8" s="86" t="s">
        <v>129</v>
      </c>
      <c r="R8" s="86" t="s">
        <v>130</v>
      </c>
      <c r="Y8" s="87" t="s">
        <v>127</v>
      </c>
      <c r="Z8" s="87"/>
      <c r="AA8" s="93">
        <f>AA7*60/1000000</f>
        <v>6.1079999999999997E-3</v>
      </c>
      <c r="AB8" s="86" t="s">
        <v>128</v>
      </c>
      <c r="AC8" s="86" t="s">
        <v>129</v>
      </c>
      <c r="AD8" s="86" t="s">
        <v>130</v>
      </c>
      <c r="AL8" s="86" t="s">
        <v>127</v>
      </c>
      <c r="AN8" s="94">
        <f>AN7*60/1000000</f>
        <v>6.0540000000000004E-3</v>
      </c>
      <c r="AO8" s="86" t="s">
        <v>128</v>
      </c>
      <c r="AP8" s="86" t="s">
        <v>129</v>
      </c>
      <c r="AQ8" s="86" t="s">
        <v>130</v>
      </c>
    </row>
    <row r="9" spans="2:45" x14ac:dyDescent="0.3">
      <c r="B9" s="147"/>
      <c r="C9" s="147"/>
      <c r="D9" s="147"/>
      <c r="E9" s="147" t="s">
        <v>37</v>
      </c>
      <c r="F9" s="147"/>
      <c r="H9" s="86" t="s">
        <v>111</v>
      </c>
      <c r="I9" s="86" t="s">
        <v>117</v>
      </c>
      <c r="M9" s="86" t="s">
        <v>131</v>
      </c>
      <c r="O9" s="94"/>
      <c r="P9" s="94">
        <f>SUM(O13:O17)</f>
        <v>1.7849657881594944E-2</v>
      </c>
      <c r="Q9" s="95">
        <f>SUM(Q13:Q22)</f>
        <v>2.5122138536223493</v>
      </c>
      <c r="R9" s="95">
        <f>SUM(S24:S27)</f>
        <v>4.1557451054153191E-2</v>
      </c>
      <c r="Y9" s="86" t="s">
        <v>131</v>
      </c>
      <c r="Z9" s="87"/>
      <c r="AA9" s="93"/>
      <c r="AB9" s="94">
        <f>SUM(AA14:AA16)</f>
        <v>9.99825170409682E-4</v>
      </c>
      <c r="AC9" s="95">
        <f>SUM(AC14:AC20)</f>
        <v>4.9461474632555416E-2</v>
      </c>
      <c r="AD9" s="94">
        <f>AE22</f>
        <v>1.7973961896601914E-2</v>
      </c>
      <c r="AL9" s="86" t="s">
        <v>131</v>
      </c>
      <c r="AN9" s="94"/>
      <c r="AO9" s="94">
        <f>SUM(AN14:AN16)</f>
        <v>1.1713789563776258E-3</v>
      </c>
      <c r="AP9" s="95">
        <f>SUM(AP15:AP20)</f>
        <v>1.4749239763202287E-2</v>
      </c>
      <c r="AQ9" s="94">
        <f>AR21</f>
        <v>3.9136300103546611E-3</v>
      </c>
    </row>
    <row r="10" spans="2:45" x14ac:dyDescent="0.3">
      <c r="B10" s="45"/>
      <c r="C10" s="45"/>
      <c r="D10"/>
      <c r="E10"/>
      <c r="F10"/>
      <c r="O10" s="94"/>
      <c r="Z10" s="87"/>
      <c r="AA10" s="93"/>
      <c r="AB10" s="94"/>
      <c r="AC10" s="95"/>
      <c r="AD10" s="94"/>
      <c r="AN10" s="94"/>
      <c r="AO10" s="94"/>
      <c r="AP10" s="95"/>
      <c r="AQ10" s="94"/>
    </row>
    <row r="11" spans="2:45" x14ac:dyDescent="0.3">
      <c r="B11" t="s">
        <v>128</v>
      </c>
      <c r="C11" t="s">
        <v>141</v>
      </c>
      <c r="D11" s="94"/>
      <c r="E11" s="94" t="s">
        <v>153</v>
      </c>
      <c r="F11" t="s">
        <v>128</v>
      </c>
      <c r="G11" t="s">
        <v>141</v>
      </c>
      <c r="H11" s="94">
        <v>1.719035183466156E-5</v>
      </c>
      <c r="I11" s="94">
        <v>1.8616155467015895E-5</v>
      </c>
      <c r="N11" s="97" t="s">
        <v>133</v>
      </c>
      <c r="O11" s="98"/>
      <c r="P11" s="97" t="s">
        <v>134</v>
      </c>
      <c r="Q11" s="99"/>
      <c r="R11" s="97" t="s">
        <v>135</v>
      </c>
      <c r="S11" s="99"/>
      <c r="Y11" s="87"/>
      <c r="Z11" s="87"/>
      <c r="AA11" s="93"/>
      <c r="AB11" s="96" t="s">
        <v>132</v>
      </c>
      <c r="AN11" s="94"/>
      <c r="AO11" s="96" t="s">
        <v>173</v>
      </c>
    </row>
    <row r="12" spans="2:45" x14ac:dyDescent="0.3">
      <c r="B12"/>
      <c r="C12" t="s">
        <v>150</v>
      </c>
      <c r="D12" s="94"/>
      <c r="E12" s="94">
        <v>4.2753936489969104E-5</v>
      </c>
      <c r="F12"/>
      <c r="G12" t="s">
        <v>150</v>
      </c>
      <c r="H12" s="94">
        <v>6.1909631094911213E-5</v>
      </c>
      <c r="I12" s="93">
        <v>1.0399392388620658E-4</v>
      </c>
      <c r="N12" s="99" t="s">
        <v>136</v>
      </c>
      <c r="O12" s="99" t="s">
        <v>137</v>
      </c>
      <c r="P12" s="99" t="s">
        <v>136</v>
      </c>
      <c r="Q12" s="99" t="s">
        <v>137</v>
      </c>
      <c r="R12" s="99" t="s">
        <v>136</v>
      </c>
      <c r="S12" s="99" t="s">
        <v>137</v>
      </c>
      <c r="Y12" s="87"/>
      <c r="Z12" s="97" t="s">
        <v>133</v>
      </c>
      <c r="AA12" s="98"/>
      <c r="AB12" s="97" t="s">
        <v>134</v>
      </c>
      <c r="AC12" s="99"/>
      <c r="AD12" s="97" t="s">
        <v>135</v>
      </c>
      <c r="AE12" s="99"/>
      <c r="AM12" s="97" t="s">
        <v>133</v>
      </c>
      <c r="AN12" s="98"/>
      <c r="AO12" s="97" t="s">
        <v>134</v>
      </c>
      <c r="AP12" s="99"/>
      <c r="AQ12" s="97" t="s">
        <v>135</v>
      </c>
      <c r="AR12" s="99"/>
    </row>
    <row r="13" spans="2:45" x14ac:dyDescent="0.3">
      <c r="B13"/>
      <c r="C13" t="s">
        <v>164</v>
      </c>
      <c r="D13" s="94"/>
      <c r="E13" s="94">
        <v>1.0823910982697765E-4</v>
      </c>
      <c r="F13"/>
      <c r="G13" t="s">
        <v>151</v>
      </c>
      <c r="H13" s="94">
        <v>9.207251874801093E-4</v>
      </c>
      <c r="I13" s="94">
        <v>1.0604943921032584E-3</v>
      </c>
      <c r="M13" s="86" t="str">
        <f>M31</f>
        <v>Acetaldehyde</v>
      </c>
      <c r="N13" s="95">
        <f>SUM(Q36:Q47)</f>
        <v>7132.7888705320493</v>
      </c>
      <c r="O13" s="94">
        <f t="shared" ref="O13:O18" si="0">N13*$O$8/1000000</f>
        <v>4.2753936489969104E-5</v>
      </c>
      <c r="P13" s="95">
        <f>SUM(Q148:Q158)</f>
        <v>112032.73868724823</v>
      </c>
      <c r="Q13" s="94">
        <f t="shared" ref="Q13:Q23" si="1">P13*$O$8/1000000</f>
        <v>6.715242356913659E-4</v>
      </c>
      <c r="Y13" s="87"/>
      <c r="Z13" s="99" t="s">
        <v>136</v>
      </c>
      <c r="AA13" s="99" t="s">
        <v>137</v>
      </c>
      <c r="AB13" s="99" t="s">
        <v>136</v>
      </c>
      <c r="AC13" s="99" t="s">
        <v>137</v>
      </c>
      <c r="AD13" s="99" t="s">
        <v>136</v>
      </c>
      <c r="AE13" s="99" t="s">
        <v>137</v>
      </c>
      <c r="AM13" s="99" t="s">
        <v>136</v>
      </c>
      <c r="AN13" s="99" t="s">
        <v>137</v>
      </c>
      <c r="AO13" s="99" t="s">
        <v>136</v>
      </c>
      <c r="AP13" s="99" t="s">
        <v>137</v>
      </c>
      <c r="AQ13" s="99" t="s">
        <v>136</v>
      </c>
      <c r="AR13" s="99" t="s">
        <v>137</v>
      </c>
    </row>
    <row r="14" spans="2:45" x14ac:dyDescent="0.3">
      <c r="B14"/>
      <c r="C14" t="s">
        <v>165</v>
      </c>
      <c r="D14" s="94"/>
      <c r="E14" s="94">
        <v>4.2407688014987456E-6</v>
      </c>
      <c r="F14"/>
      <c r="G14" s="2" t="s">
        <v>174</v>
      </c>
      <c r="H14" s="94" t="s">
        <v>153</v>
      </c>
      <c r="I14" s="94">
        <v>4.7401814441108698E-6</v>
      </c>
      <c r="M14" s="86" t="str">
        <f>M49</f>
        <v>Acetone</v>
      </c>
      <c r="N14" s="95">
        <f>SUM(Q54:Q61)</f>
        <v>18057.909547376985</v>
      </c>
      <c r="O14" s="94">
        <f t="shared" si="0"/>
        <v>1.0823910982697765E-4</v>
      </c>
      <c r="P14" s="95">
        <f>SUM(Q219:Q230)</f>
        <v>428017.73003224295</v>
      </c>
      <c r="Q14" s="94">
        <f t="shared" si="1"/>
        <v>2.5655382738132642E-3</v>
      </c>
      <c r="Y14" s="87" t="str">
        <f>Y25</f>
        <v>Formaldehyde</v>
      </c>
      <c r="Z14" s="92">
        <f>SUM(AC30:AC41)</f>
        <v>2814.3994490277601</v>
      </c>
      <c r="AA14" s="93">
        <f>Z14*$AA$8/1000000</f>
        <v>1.719035183466156E-5</v>
      </c>
      <c r="AL14" s="86" t="str">
        <f>AL24</f>
        <v>Formaldehyde</v>
      </c>
      <c r="AM14" s="95">
        <f>SUM(AP29:AP40)</f>
        <v>3075.017421046563</v>
      </c>
      <c r="AN14" s="94">
        <f>AM14*$O$8/1000000</f>
        <v>1.8431654421753099E-5</v>
      </c>
      <c r="AQ14" s="95"/>
      <c r="AR14" s="94"/>
    </row>
    <row r="15" spans="2:45" x14ac:dyDescent="0.3">
      <c r="B15"/>
      <c r="C15" t="s">
        <v>166</v>
      </c>
      <c r="D15" s="94"/>
      <c r="E15" s="94">
        <v>1.0229537576416864E-4</v>
      </c>
      <c r="F15"/>
      <c r="G15" t="s">
        <v>152</v>
      </c>
      <c r="H15" s="94">
        <v>1.4532032881523741E-5</v>
      </c>
      <c r="I15" s="94">
        <v>1.8036793466760095E-5</v>
      </c>
      <c r="M15" s="86" t="str">
        <f>M67</f>
        <v>Propionaldehyde</v>
      </c>
      <c r="N15" s="95">
        <f>SUM(Q73:Q78)</f>
        <v>707.50230255234328</v>
      </c>
      <c r="O15" s="94">
        <f t="shared" si="0"/>
        <v>4.2407688014987456E-6</v>
      </c>
      <c r="P15" s="95"/>
      <c r="Q15" s="94"/>
      <c r="Y15" s="87" t="str">
        <f>Y43</f>
        <v>Acetaldehyde</v>
      </c>
      <c r="Z15" s="92">
        <f>SUM(AC48:AC59)</f>
        <v>10135.826963803409</v>
      </c>
      <c r="AA15" s="93">
        <f>Z15*$AA$8/1000000</f>
        <v>6.1909631094911213E-5</v>
      </c>
      <c r="AB15" s="100">
        <f>SUM(AC104:AC114)</f>
        <v>5253.1291883696531</v>
      </c>
      <c r="AC15" s="101">
        <f>AB15*$AA$8/1000000</f>
        <v>3.2086113082561839E-5</v>
      </c>
      <c r="AE15" s="102" t="s">
        <v>138</v>
      </c>
      <c r="AL15" s="86" t="str">
        <f>AL42</f>
        <v>Acetaldehyde</v>
      </c>
      <c r="AM15" s="95">
        <f>SUM(AP47:AP58)</f>
        <v>17177.721157285527</v>
      </c>
      <c r="AN15" s="94">
        <f>AM15*$O$8/1000000</f>
        <v>1.0296326061676944E-4</v>
      </c>
      <c r="AO15" s="95">
        <f>SUM(AP122:AP131)</f>
        <v>91197.006104309956</v>
      </c>
      <c r="AP15" s="94">
        <f>AO15*$O$8/1000000</f>
        <v>5.4663485458923385E-4</v>
      </c>
    </row>
    <row r="16" spans="2:45" x14ac:dyDescent="0.3">
      <c r="B16"/>
      <c r="C16" t="s">
        <v>167</v>
      </c>
      <c r="D16"/>
      <c r="E16" s="94">
        <v>1.759212869071233E-2</v>
      </c>
      <c r="M16" s="86" t="str">
        <f>M86</f>
        <v>2-Butanone (MEK)</v>
      </c>
      <c r="N16" s="95">
        <f>SUM(Q91:Q102)</f>
        <v>17066.295589617723</v>
      </c>
      <c r="O16" s="94">
        <f t="shared" si="0"/>
        <v>1.0229537576416864E-4</v>
      </c>
      <c r="P16" s="95">
        <f>SUM(Q256:Q266)</f>
        <v>1434140.8476964606</v>
      </c>
      <c r="Q16" s="94">
        <f t="shared" si="1"/>
        <v>8.5962402410925849E-3</v>
      </c>
      <c r="W16" s="129"/>
      <c r="Y16" s="87" t="str">
        <f>Y61</f>
        <v>Unknown as Acetone</v>
      </c>
      <c r="Z16" s="92">
        <f>SUM(AC66:AC77)</f>
        <v>150740.8623903257</v>
      </c>
      <c r="AA16" s="93">
        <f>Z16*$AA$8/1000000</f>
        <v>9.207251874801093E-4</v>
      </c>
      <c r="AB16" s="92"/>
      <c r="AL16" s="86" t="str">
        <f>AL61</f>
        <v>Unknown as Acetone</v>
      </c>
      <c r="AM16" s="95">
        <f>SUM(AP66:AP77)</f>
        <v>175172.51273591979</v>
      </c>
      <c r="AN16" s="94">
        <f>AM16*$O$8/1000000</f>
        <v>1.0499840413391033E-3</v>
      </c>
    </row>
    <row r="17" spans="2:45" x14ac:dyDescent="0.3">
      <c r="B17" s="45"/>
      <c r="C17" t="s">
        <v>168</v>
      </c>
      <c r="D17" s="94"/>
      <c r="E17" s="148">
        <v>2.5140013114382834E-6</v>
      </c>
      <c r="M17" s="86" t="str">
        <f>M105</f>
        <v>3-Pentanone</v>
      </c>
      <c r="N17" s="95">
        <f>SUM(Q110:Q121)</f>
        <v>2934956.4048569119</v>
      </c>
      <c r="O17" s="94">
        <f t="shared" si="0"/>
        <v>1.759212869071233E-2</v>
      </c>
      <c r="P17" s="95">
        <f>SUM(Q183:Q194)</f>
        <v>216182005.57997641</v>
      </c>
      <c r="Q17" s="95">
        <f t="shared" si="1"/>
        <v>1.2957949414463785</v>
      </c>
      <c r="Y17" s="87" t="str">
        <f>Y79</f>
        <v>Hexaldehyde</v>
      </c>
      <c r="Z17" s="92">
        <f>SUM(AC88:AC93)</f>
        <v>2379.1802360058514</v>
      </c>
      <c r="AA17" s="93">
        <f>Z17*$AA$8/1000000</f>
        <v>1.4532032881523741E-5</v>
      </c>
      <c r="AB17" s="92"/>
      <c r="AL17" s="95" t="str">
        <f>AL79</f>
        <v>Butanal</v>
      </c>
      <c r="AM17" s="95">
        <f>SUM(AP84:AP86)</f>
        <v>782.98339017358262</v>
      </c>
      <c r="AN17" s="94">
        <f>AM17*$O$8/1000000</f>
        <v>4.6932024407004545E-6</v>
      </c>
    </row>
    <row r="18" spans="2:45" x14ac:dyDescent="0.3">
      <c r="B18" t="s">
        <v>179</v>
      </c>
      <c r="C18" t="s">
        <v>150</v>
      </c>
      <c r="D18" s="94"/>
      <c r="E18" s="148">
        <v>6.715242356913659E-4</v>
      </c>
      <c r="F18" t="s">
        <v>179</v>
      </c>
      <c r="G18" t="s">
        <v>150</v>
      </c>
      <c r="H18" t="s">
        <v>180</v>
      </c>
      <c r="I18" s="148">
        <v>5.5210667495549255E-4</v>
      </c>
      <c r="M18" s="86" t="str">
        <f>M123</f>
        <v>Benzaldehyde</v>
      </c>
      <c r="N18" s="95">
        <f>SUM(Q129:Q131)</f>
        <v>419.41963821125853</v>
      </c>
      <c r="O18" s="94">
        <f t="shared" si="0"/>
        <v>2.5140013114382834E-6</v>
      </c>
      <c r="P18" s="95"/>
      <c r="Q18" s="95"/>
      <c r="Y18" s="86" t="str">
        <f>Y116</f>
        <v>Methanol</v>
      </c>
      <c r="Z18" s="95"/>
      <c r="AA18" s="94"/>
      <c r="AB18" s="92">
        <f>SUM(AC121:AC132)</f>
        <v>5948002.8083052123</v>
      </c>
      <c r="AC18" s="103">
        <f>AB18*$AA$8/1000000</f>
        <v>3.6330401153128238E-2</v>
      </c>
      <c r="AL18" s="86" t="str">
        <f>AL97</f>
        <v>Hexaldehyde</v>
      </c>
      <c r="AM18" s="95">
        <f>SUM(AP106:AP109)</f>
        <v>2979.3183790485787</v>
      </c>
      <c r="AN18" s="94">
        <f>AM18*$O$8/1000000</f>
        <v>1.7858034364017183E-5</v>
      </c>
    </row>
    <row r="19" spans="2:45" x14ac:dyDescent="0.3">
      <c r="B19" s="45"/>
      <c r="C19" t="s">
        <v>164</v>
      </c>
      <c r="D19" s="94"/>
      <c r="E19" s="148">
        <v>2.5655382738132642E-3</v>
      </c>
      <c r="F19"/>
      <c r="G19"/>
      <c r="H19"/>
      <c r="I19" s="148"/>
      <c r="M19" s="86" t="str">
        <f>M160</f>
        <v>Methanol</v>
      </c>
      <c r="N19" s="95"/>
      <c r="O19" s="94"/>
      <c r="P19" s="95">
        <f>SUM(Q165:Q176)</f>
        <v>656131.8345696521</v>
      </c>
      <c r="Q19" s="94">
        <f t="shared" si="1"/>
        <v>3.9328542164104949E-3</v>
      </c>
      <c r="Y19" s="102" t="str">
        <f>Y134</f>
        <v>3-Pentanone, not usable</v>
      </c>
      <c r="Z19" s="95"/>
      <c r="AA19" s="94"/>
      <c r="AB19" s="100">
        <f>SUM(AC138:AC150)</f>
        <v>2065479.9204836036</v>
      </c>
      <c r="AC19" s="104">
        <f>AB19*$AA$8/1000000</f>
        <v>1.2615951354313851E-2</v>
      </c>
      <c r="AE19" s="96" t="s">
        <v>139</v>
      </c>
      <c r="AL19" s="86" t="str">
        <f>AL133</f>
        <v>Methanol</v>
      </c>
      <c r="AM19" s="95"/>
      <c r="AN19" s="94"/>
      <c r="AO19" s="95">
        <f>SUM(AP138:AP147)</f>
        <v>1316407.7320158717</v>
      </c>
      <c r="AP19" s="94">
        <f>AO19*$O$8/1000000</f>
        <v>7.8905479457031351E-3</v>
      </c>
    </row>
    <row r="20" spans="2:45" x14ac:dyDescent="0.3">
      <c r="B20" s="45"/>
      <c r="C20" t="s">
        <v>166</v>
      </c>
      <c r="D20" s="94"/>
      <c r="E20" s="149">
        <v>8.5962402410925849E-3</v>
      </c>
      <c r="F20"/>
      <c r="G20"/>
      <c r="H20" s="148"/>
      <c r="I20" s="94"/>
      <c r="M20" s="86" t="str">
        <f>M196</f>
        <v>Ethanol</v>
      </c>
      <c r="N20" s="95"/>
      <c r="O20" s="94"/>
      <c r="P20" s="95">
        <f>SUM(Q201:Q212)</f>
        <v>197075877.80923966</v>
      </c>
      <c r="Q20" s="95">
        <f t="shared" si="1"/>
        <v>1.1812728115885827</v>
      </c>
      <c r="Y20" s="102" t="str">
        <f>Y152</f>
        <v>Ethanol, not usable</v>
      </c>
      <c r="Z20" s="95"/>
      <c r="AA20" s="94"/>
      <c r="AB20" s="100">
        <f>SUM(AC157:AC167)</f>
        <v>79082.516704447538</v>
      </c>
      <c r="AC20" s="101">
        <f>AB20*$AA$8/1000000</f>
        <v>4.8303601203076555E-4</v>
      </c>
      <c r="AL20" s="102" t="str">
        <f>AL149</f>
        <v>3-Pentanone, not usable</v>
      </c>
      <c r="AM20" s="95"/>
      <c r="AN20" s="94"/>
      <c r="AO20" s="137">
        <f>SUM(AP154:AP163)</f>
        <v>1053062.5563746945</v>
      </c>
      <c r="AP20" s="138">
        <f>AO20*$O$8/1000000</f>
        <v>6.3120569629099193E-3</v>
      </c>
      <c r="AS20" s="96" t="s">
        <v>139</v>
      </c>
    </row>
    <row r="21" spans="2:45" x14ac:dyDescent="0.3">
      <c r="B21" s="45"/>
      <c r="C21" t="s">
        <v>167</v>
      </c>
      <c r="D21" s="94"/>
      <c r="E21" s="94">
        <v>1.2957949414463785</v>
      </c>
      <c r="M21" s="86" t="str">
        <f>M232</f>
        <v>Isopropyl_Alcohol</v>
      </c>
      <c r="N21" s="95"/>
      <c r="O21" s="94"/>
      <c r="P21" s="95">
        <f>SUM(Q237:Q248)</f>
        <v>143564.42936827091</v>
      </c>
      <c r="Q21" s="94">
        <f t="shared" si="1"/>
        <v>8.6052518963341585E-4</v>
      </c>
      <c r="Y21" s="86" t="str">
        <f>Y169</f>
        <v>Isopropyl_Alcohol</v>
      </c>
      <c r="Z21" s="95"/>
      <c r="AA21" s="94"/>
      <c r="AB21" s="92">
        <f>SUM(AC174:AC184)</f>
        <v>96521.878308969739</v>
      </c>
      <c r="AC21" s="93">
        <f>AB21*$AA$8/1000000</f>
        <v>5.8955563271118722E-4</v>
      </c>
      <c r="AL21" s="86" t="s">
        <v>140</v>
      </c>
      <c r="AM21" s="95"/>
      <c r="AN21" s="94"/>
      <c r="AQ21" s="92">
        <f>SUM(AP173:AP184)</f>
        <v>652924.59298542887</v>
      </c>
      <c r="AR21" s="93">
        <f>AQ21*$O$8/1000000</f>
        <v>3.9136300103546611E-3</v>
      </c>
    </row>
    <row r="22" spans="2:45" x14ac:dyDescent="0.3">
      <c r="B22"/>
      <c r="C22" t="s">
        <v>156</v>
      </c>
      <c r="D22"/>
      <c r="E22" s="95">
        <v>3.9328542164104949E-3</v>
      </c>
      <c r="G22" t="s">
        <v>156</v>
      </c>
      <c r="H22" s="148">
        <v>3.6330401153128238E-2</v>
      </c>
      <c r="I22" s="148">
        <v>7.9695324096240878E-3</v>
      </c>
      <c r="M22" s="86" t="str">
        <f>M268</f>
        <v>Ethyl_Acetate</v>
      </c>
      <c r="N22" s="95"/>
      <c r="O22" s="94"/>
      <c r="P22" s="95">
        <f>SUM(Q273:Q284)</f>
        <v>3089659.3978556357</v>
      </c>
      <c r="Q22" s="94">
        <f t="shared" si="1"/>
        <v>1.8519418430746681E-2</v>
      </c>
      <c r="Y22" s="86" t="s">
        <v>140</v>
      </c>
      <c r="Z22" s="95"/>
      <c r="AA22" s="94"/>
      <c r="AD22" s="92">
        <f>SUM(AC194:AC204)</f>
        <v>2942691.8625739873</v>
      </c>
      <c r="AE22" s="93">
        <f>AD22*$AA$8/1000000</f>
        <v>1.7973961896601914E-2</v>
      </c>
      <c r="AM22" s="95"/>
      <c r="AN22" s="94"/>
    </row>
    <row r="23" spans="2:45" ht="15.6" x14ac:dyDescent="0.3">
      <c r="B23"/>
      <c r="C23" t="s">
        <v>170</v>
      </c>
      <c r="D23"/>
      <c r="E23" s="94">
        <v>1.1812728115885827</v>
      </c>
      <c r="G23" t="s">
        <v>159</v>
      </c>
      <c r="H23" s="148">
        <v>5.8955563271118722E-4</v>
      </c>
      <c r="I23" s="94" t="s">
        <v>180</v>
      </c>
      <c r="M23" s="86" t="s">
        <v>163</v>
      </c>
      <c r="N23" s="95"/>
      <c r="O23" s="94"/>
      <c r="P23" s="95">
        <f>SUM(Q291:Q302)</f>
        <v>2097.7618810846657</v>
      </c>
      <c r="Q23" s="94">
        <f t="shared" si="1"/>
        <v>1.2573984715221486E-5</v>
      </c>
      <c r="Z23" s="95"/>
      <c r="AA23" s="94"/>
      <c r="AD23" s="92"/>
      <c r="AE23" s="93"/>
      <c r="AL23" s="105" t="s">
        <v>133</v>
      </c>
    </row>
    <row r="24" spans="2:45" ht="15.6" x14ac:dyDescent="0.3">
      <c r="B24"/>
      <c r="C24" t="s">
        <v>159</v>
      </c>
      <c r="D24"/>
      <c r="E24" s="94">
        <v>8.6052518963341585E-4</v>
      </c>
      <c r="M24" s="86" t="str">
        <f>M308</f>
        <v>Alkane</v>
      </c>
      <c r="N24" s="95"/>
      <c r="O24" s="94"/>
      <c r="P24" s="95"/>
      <c r="Q24" s="94"/>
      <c r="R24" s="95">
        <f>SUM(Q313:Q324)</f>
        <v>54631.757621995479</v>
      </c>
      <c r="S24" s="94">
        <f>R24*$O$8/1000000</f>
        <v>3.274627551862409E-4</v>
      </c>
      <c r="Y24" s="105" t="s">
        <v>133</v>
      </c>
      <c r="Z24" s="95"/>
      <c r="AA24" s="94"/>
      <c r="AL24" s="106" t="s">
        <v>141</v>
      </c>
    </row>
    <row r="25" spans="2:45" x14ac:dyDescent="0.3">
      <c r="B25"/>
      <c r="C25" t="s">
        <v>171</v>
      </c>
      <c r="D25"/>
      <c r="E25" s="94">
        <v>1.8519418430746681E-2</v>
      </c>
      <c r="M25" s="86" t="str">
        <f>M326</f>
        <v>PAH</v>
      </c>
      <c r="N25" s="95"/>
      <c r="O25" s="94"/>
      <c r="P25" s="95"/>
      <c r="Q25" s="94"/>
      <c r="R25" s="95">
        <f>SUM(Q331:Q342)</f>
        <v>108216.10218270638</v>
      </c>
      <c r="S25" s="94">
        <f>R25*$O$8/1000000</f>
        <v>6.4864731648314202E-4</v>
      </c>
      <c r="Y25" s="106" t="s">
        <v>141</v>
      </c>
      <c r="AL25" s="107"/>
      <c r="AN25" s="108" t="s">
        <v>142</v>
      </c>
      <c r="AO25" s="107"/>
      <c r="AP25" s="107"/>
      <c r="AQ25" s="107"/>
    </row>
    <row r="26" spans="2:45" x14ac:dyDescent="0.3">
      <c r="B26"/>
      <c r="C26" t="s">
        <v>163</v>
      </c>
      <c r="D26"/>
      <c r="E26" s="94">
        <v>1.2573984715221486E-5</v>
      </c>
      <c r="M26" s="86" t="str">
        <f>M344</f>
        <v>Glycol</v>
      </c>
      <c r="N26" s="95"/>
      <c r="O26" s="94"/>
      <c r="P26" s="95"/>
      <c r="Q26" s="94"/>
      <c r="R26" s="95">
        <f>SUM(Q349:Q360)</f>
        <v>5675114.7024355065</v>
      </c>
      <c r="S26" s="94">
        <f>R26*$O$8/1000000</f>
        <v>3.4016637526398427E-2</v>
      </c>
      <c r="Y26" s="107"/>
      <c r="AA26" s="108" t="s">
        <v>142</v>
      </c>
      <c r="AB26" s="107"/>
      <c r="AC26" s="107"/>
      <c r="AD26" s="107"/>
      <c r="AL26" s="107"/>
      <c r="AM26" s="108" t="s">
        <v>143</v>
      </c>
      <c r="AN26" s="108" t="s">
        <v>144</v>
      </c>
      <c r="AO26" s="108"/>
      <c r="AP26" s="109" t="s">
        <v>145</v>
      </c>
      <c r="AQ26" s="108"/>
    </row>
    <row r="27" spans="2:45" x14ac:dyDescent="0.3">
      <c r="B27" t="s">
        <v>181</v>
      </c>
      <c r="C27" t="s">
        <v>51</v>
      </c>
      <c r="D27"/>
      <c r="E27" s="94">
        <v>3.274627551862409E-4</v>
      </c>
      <c r="F27" t="s">
        <v>181</v>
      </c>
      <c r="G27" t="s">
        <v>140</v>
      </c>
      <c r="H27" s="94">
        <v>1.7973961896601914E-2</v>
      </c>
      <c r="I27" s="94">
        <v>3.9528054859337865E-3</v>
      </c>
      <c r="M27" s="86" t="str">
        <f>M363</f>
        <v>SubBenzene</v>
      </c>
      <c r="N27" s="95"/>
      <c r="O27" s="94"/>
      <c r="P27" s="95"/>
      <c r="Q27" s="94"/>
      <c r="R27" s="95">
        <f>SUM(Q368:Q379)</f>
        <v>1095212.4551360332</v>
      </c>
      <c r="S27" s="94">
        <f>R27*$O$8/1000000</f>
        <v>6.5647034560853837E-3</v>
      </c>
      <c r="Y27" s="107"/>
      <c r="Z27" s="108" t="s">
        <v>143</v>
      </c>
      <c r="AA27" s="108" t="s">
        <v>144</v>
      </c>
      <c r="AB27" s="108"/>
      <c r="AC27" s="109" t="s">
        <v>145</v>
      </c>
      <c r="AD27" s="108"/>
      <c r="AL27" s="108" t="s">
        <v>146</v>
      </c>
      <c r="AM27" s="108" t="s">
        <v>147</v>
      </c>
      <c r="AN27" s="108" t="s">
        <v>148</v>
      </c>
      <c r="AO27" s="108" t="s">
        <v>147</v>
      </c>
      <c r="AP27" s="109" t="s">
        <v>149</v>
      </c>
      <c r="AQ27" s="108"/>
      <c r="AR27" s="108"/>
      <c r="AS27" s="108"/>
    </row>
    <row r="28" spans="2:45" x14ac:dyDescent="0.3">
      <c r="B28"/>
      <c r="C28" t="s">
        <v>58</v>
      </c>
      <c r="D28"/>
      <c r="E28" s="94">
        <v>6.4864731648314202E-4</v>
      </c>
      <c r="N28" s="95"/>
      <c r="O28" s="94"/>
      <c r="P28" s="95"/>
      <c r="Q28" s="94"/>
      <c r="Y28" s="108" t="s">
        <v>146</v>
      </c>
      <c r="Z28" s="108" t="s">
        <v>147</v>
      </c>
      <c r="AA28" s="108" t="s">
        <v>148</v>
      </c>
      <c r="AB28" s="108" t="s">
        <v>147</v>
      </c>
      <c r="AC28" s="109" t="s">
        <v>149</v>
      </c>
      <c r="AD28" s="108"/>
      <c r="AE28" s="108"/>
      <c r="AF28" s="108"/>
      <c r="AL28" s="108">
        <v>0</v>
      </c>
      <c r="AM28" s="108">
        <v>0</v>
      </c>
      <c r="AN28" s="108"/>
      <c r="AO28" s="108"/>
      <c r="AQ28" s="108"/>
      <c r="AR28" s="108"/>
      <c r="AS28" s="108"/>
    </row>
    <row r="29" spans="2:45" x14ac:dyDescent="0.3">
      <c r="B29"/>
      <c r="C29" t="s">
        <v>49</v>
      </c>
      <c r="D29"/>
      <c r="E29" s="94">
        <v>3.4016637526398427E-2</v>
      </c>
      <c r="N29" s="95"/>
      <c r="O29" s="94"/>
      <c r="P29" s="95"/>
      <c r="Q29" s="94"/>
      <c r="Y29" s="108">
        <v>0</v>
      </c>
      <c r="Z29" s="108">
        <v>0</v>
      </c>
      <c r="AA29" s="108"/>
      <c r="AB29" s="108"/>
      <c r="AD29" s="108"/>
      <c r="AE29" s="108"/>
      <c r="AF29" s="108"/>
      <c r="AL29" s="139">
        <v>0.82222222234122455</v>
      </c>
      <c r="AM29" s="110">
        <v>0</v>
      </c>
      <c r="AN29" s="86">
        <v>0.125083</v>
      </c>
      <c r="AO29" s="86">
        <f>AN29*1000</f>
        <v>125.083</v>
      </c>
      <c r="AP29" s="95">
        <f>+($AL29+$AL28)/2*($AM29-$AM28)</f>
        <v>0</v>
      </c>
    </row>
    <row r="30" spans="2:45" ht="15.6" x14ac:dyDescent="0.3">
      <c r="B30" s="147"/>
      <c r="C30" t="s">
        <v>172</v>
      </c>
      <c r="D30"/>
      <c r="E30" s="95">
        <v>6.5647034560853837E-3</v>
      </c>
      <c r="M30" s="105" t="s">
        <v>133</v>
      </c>
      <c r="Y30" s="95">
        <v>0.81000000005587935</v>
      </c>
      <c r="Z30" s="110">
        <v>454.47193783800816</v>
      </c>
      <c r="AA30" s="86">
        <v>0.45460699999999998</v>
      </c>
      <c r="AB30" s="86">
        <f>AA30*1000</f>
        <v>454.60699999999997</v>
      </c>
      <c r="AC30" s="95">
        <f>+($Z30+$Z29)/2*($Y30-$Y29)</f>
        <v>184.06113483709112</v>
      </c>
      <c r="AL30" s="139">
        <v>1.8191666667116806</v>
      </c>
      <c r="AM30" s="110">
        <v>234.97203449978204</v>
      </c>
      <c r="AN30" s="86">
        <v>0.11609700000000001</v>
      </c>
      <c r="AO30" s="86">
        <f t="shared" ref="AO30:AO40" si="2">AN30*1000</f>
        <v>116.09700000000001</v>
      </c>
      <c r="AP30" s="95">
        <f>+($AM30+$AM29)/2*($AL30-$AL29)</f>
        <v>117.12703218849042</v>
      </c>
    </row>
    <row r="31" spans="2:45" ht="15.6" x14ac:dyDescent="0.3">
      <c r="B31" s="147" t="s">
        <v>182</v>
      </c>
      <c r="C31"/>
      <c r="D31" s="110"/>
      <c r="E31" s="95">
        <v>2.5537906334313307</v>
      </c>
      <c r="F31" s="147" t="s">
        <v>182</v>
      </c>
      <c r="G31"/>
      <c r="H31" t="s">
        <v>183</v>
      </c>
      <c r="I31" s="93">
        <v>1.3576332092994513E-2</v>
      </c>
      <c r="M31" s="130" t="s">
        <v>150</v>
      </c>
      <c r="Y31" s="95">
        <v>1.8263888888759539</v>
      </c>
      <c r="Z31" s="110">
        <v>287.60415871006506</v>
      </c>
      <c r="AA31" s="86">
        <v>0.27375899999999997</v>
      </c>
      <c r="AB31" s="86">
        <f t="shared" ref="AB31:AB41" si="3">AA31*1000</f>
        <v>273.75899999999996</v>
      </c>
      <c r="AC31" s="95">
        <f t="shared" ref="AC31:AC41" si="4">+($Z31+$Z30)/2*($Y31-$Y30)</f>
        <v>377.11894959521726</v>
      </c>
      <c r="AL31" s="95">
        <v>3.0547222224413417</v>
      </c>
      <c r="AM31" s="110">
        <v>174.44670281151929</v>
      </c>
      <c r="AN31" s="94">
        <v>0.10592500000000001</v>
      </c>
      <c r="AO31" s="86">
        <f t="shared" si="2"/>
        <v>105.92500000000001</v>
      </c>
      <c r="AP31" s="95">
        <f t="shared" ref="AP31:AP40" si="5">+($AM31+$AM30)/2*($AL31-$AL30)</f>
        <v>252.92979775240056</v>
      </c>
    </row>
    <row r="32" spans="2:45" x14ac:dyDescent="0.3">
      <c r="B32" s="147" t="s">
        <v>184</v>
      </c>
      <c r="C32"/>
      <c r="E32" s="86">
        <v>1.2640078063471478</v>
      </c>
      <c r="F32" s="147" t="s">
        <v>184</v>
      </c>
      <c r="G32"/>
      <c r="H32" s="94">
        <v>5.5908275885732543E-2</v>
      </c>
      <c r="I32" s="94">
        <v>1.3128219341925226E-2</v>
      </c>
      <c r="M32" s="107"/>
      <c r="O32" s="108" t="s">
        <v>142</v>
      </c>
      <c r="P32" s="107"/>
      <c r="Q32" s="107"/>
      <c r="R32" s="107"/>
      <c r="Y32" s="95">
        <v>3.0533333334024064</v>
      </c>
      <c r="Z32" s="110">
        <v>111.53545321153689</v>
      </c>
      <c r="AA32" s="94">
        <v>0.14924899999999999</v>
      </c>
      <c r="AB32" s="86">
        <f t="shared" si="3"/>
        <v>149.249</v>
      </c>
      <c r="AC32" s="95">
        <f t="shared" si="4"/>
        <v>244.86106471882687</v>
      </c>
      <c r="AL32" s="95">
        <v>4.2004166667466052</v>
      </c>
      <c r="AM32" s="110">
        <v>126.29277374514565</v>
      </c>
      <c r="AN32" s="94">
        <v>9.7222000000000003E-2</v>
      </c>
      <c r="AO32" s="86">
        <f t="shared" si="2"/>
        <v>97.222000000000008</v>
      </c>
      <c r="AP32" s="95">
        <f t="shared" si="5"/>
        <v>172.27777373712203</v>
      </c>
    </row>
    <row r="33" spans="2:45" x14ac:dyDescent="0.3">
      <c r="B33" s="147" t="s">
        <v>185</v>
      </c>
      <c r="C33"/>
      <c r="D33" s="95"/>
      <c r="E33" s="95">
        <v>3.2129599999999998</v>
      </c>
      <c r="F33" s="147" t="s">
        <v>185</v>
      </c>
      <c r="G33"/>
      <c r="H33" s="86">
        <v>4.0784599999999998</v>
      </c>
      <c r="I33" s="86">
        <v>4.5382300000000004</v>
      </c>
      <c r="M33" s="107"/>
      <c r="N33" s="108" t="s">
        <v>143</v>
      </c>
      <c r="O33" s="108" t="s">
        <v>144</v>
      </c>
      <c r="P33" s="108"/>
      <c r="Q33" s="109" t="s">
        <v>145</v>
      </c>
      <c r="R33" s="108"/>
      <c r="Y33" s="95">
        <v>4.2001388889038935</v>
      </c>
      <c r="Z33" s="110">
        <v>99.163028661168283</v>
      </c>
      <c r="AA33" s="94">
        <v>8.4250000000000005E-2</v>
      </c>
      <c r="AB33" s="86">
        <f t="shared" si="3"/>
        <v>84.25</v>
      </c>
      <c r="AC33" s="95">
        <f t="shared" si="4"/>
        <v>120.81509477367383</v>
      </c>
      <c r="AL33" s="95">
        <v>5.1883333334117197</v>
      </c>
      <c r="AM33" s="111">
        <v>34.708935069329108</v>
      </c>
      <c r="AN33" s="94">
        <v>9.0304999999999996E-2</v>
      </c>
      <c r="AO33" s="86">
        <f t="shared" si="2"/>
        <v>90.304999999999993</v>
      </c>
      <c r="AP33" s="95">
        <f t="shared" si="5"/>
        <v>79.528135749691643</v>
      </c>
    </row>
    <row r="34" spans="2:45" x14ac:dyDescent="0.3">
      <c r="B34" s="151" t="s">
        <v>189</v>
      </c>
      <c r="C34"/>
      <c r="D34" s="95"/>
      <c r="E34" s="95">
        <v>3.2129599999999998</v>
      </c>
      <c r="F34" s="147" t="s">
        <v>186</v>
      </c>
      <c r="G34"/>
      <c r="H34" s="150">
        <v>0.40784599999999999</v>
      </c>
      <c r="I34" s="150">
        <v>0.45382300000000009</v>
      </c>
      <c r="M34" s="108" t="s">
        <v>146</v>
      </c>
      <c r="N34" s="108" t="s">
        <v>147</v>
      </c>
      <c r="O34" s="108" t="s">
        <v>148</v>
      </c>
      <c r="P34" s="108" t="s">
        <v>147</v>
      </c>
      <c r="Q34" s="109" t="s">
        <v>149</v>
      </c>
      <c r="R34" s="108"/>
      <c r="Y34" s="95">
        <v>5.1927777778473683</v>
      </c>
      <c r="Z34" s="111">
        <v>52.459017759238023</v>
      </c>
      <c r="AA34" s="94">
        <v>5.1497000000000001E-2</v>
      </c>
      <c r="AB34" s="86">
        <f t="shared" si="3"/>
        <v>51.497</v>
      </c>
      <c r="AC34" s="95">
        <f t="shared" si="4"/>
        <v>75.252969849044035</v>
      </c>
      <c r="AL34" s="95">
        <v>6.3295833332813345</v>
      </c>
      <c r="AM34" s="111">
        <v>43.382772922576422</v>
      </c>
      <c r="AN34" s="94">
        <v>8.2947999999999994E-2</v>
      </c>
      <c r="AO34" s="86">
        <f t="shared" si="2"/>
        <v>82.947999999999993</v>
      </c>
      <c r="AP34" s="95">
        <f t="shared" si="5"/>
        <v>44.561080867790096</v>
      </c>
      <c r="AR34" s="94"/>
    </row>
    <row r="35" spans="2:45" x14ac:dyDescent="0.3">
      <c r="B35" s="151" t="s">
        <v>187</v>
      </c>
      <c r="C35"/>
      <c r="D35" s="148"/>
      <c r="E35">
        <v>79.484046904764796</v>
      </c>
      <c r="F35" s="151" t="s">
        <v>187</v>
      </c>
      <c r="G35"/>
      <c r="H35" s="95">
        <v>13.708182962621319</v>
      </c>
      <c r="I35" s="95">
        <v>2.9915478265743496</v>
      </c>
      <c r="M35" s="108">
        <v>0</v>
      </c>
      <c r="N35" s="108">
        <v>0</v>
      </c>
      <c r="O35" s="108"/>
      <c r="P35" s="108"/>
      <c r="R35" s="108"/>
      <c r="Y35" s="95">
        <v>6.3311111111543141</v>
      </c>
      <c r="Z35" s="111">
        <v>36.692410393950489</v>
      </c>
      <c r="AA35" s="94">
        <v>2.9215000000000001E-2</v>
      </c>
      <c r="AB35" s="86">
        <f t="shared" si="3"/>
        <v>29.215</v>
      </c>
      <c r="AC35" s="95">
        <f t="shared" si="4"/>
        <v>50.742021189346886</v>
      </c>
      <c r="AE35" s="94"/>
      <c r="AL35" s="95">
        <v>7.4450000000651926</v>
      </c>
      <c r="AM35" s="111">
        <v>79.024006663001529</v>
      </c>
      <c r="AN35" s="94">
        <v>7.6302999999999996E-2</v>
      </c>
      <c r="AO35" s="86">
        <f t="shared" si="2"/>
        <v>76.302999999999997</v>
      </c>
      <c r="AP35" s="95">
        <f t="shared" si="5"/>
        <v>68.267281038545889</v>
      </c>
      <c r="AR35" s="94"/>
    </row>
    <row r="36" spans="2:45" x14ac:dyDescent="0.3">
      <c r="B36" s="86" t="s">
        <v>188</v>
      </c>
      <c r="F36" s="151" t="s">
        <v>188</v>
      </c>
      <c r="G36"/>
      <c r="M36" s="95">
        <v>0.71666666673263535</v>
      </c>
      <c r="N36" s="110">
        <v>1415.9132955157536</v>
      </c>
      <c r="O36" s="110">
        <v>1.340347</v>
      </c>
      <c r="P36" s="110">
        <f>O36*1000</f>
        <v>1340.347</v>
      </c>
      <c r="Q36" s="95">
        <f t="shared" ref="Q36:Q47" si="6">+($N36+$N35)/2*($M36-$M35)</f>
        <v>507.36893093984798</v>
      </c>
      <c r="R36" s="110"/>
      <c r="Y36" s="95">
        <v>7.4402777777868323</v>
      </c>
      <c r="Z36" s="111">
        <v>43.006477320426768</v>
      </c>
      <c r="AA36" s="94">
        <v>1.6823000000000001E-2</v>
      </c>
      <c r="AB36" s="86">
        <f t="shared" si="3"/>
        <v>16.823</v>
      </c>
      <c r="AC36" s="95">
        <f t="shared" si="4"/>
        <v>44.199674810237596</v>
      </c>
      <c r="AE36" s="94"/>
      <c r="AL36" s="95">
        <v>26.024583333462942</v>
      </c>
      <c r="AM36" s="111">
        <v>13.589467899164719</v>
      </c>
      <c r="AN36" s="94">
        <v>1.9112000000000001E-2</v>
      </c>
      <c r="AO36" s="86">
        <f t="shared" si="2"/>
        <v>19.112000000000002</v>
      </c>
      <c r="AP36" s="95">
        <f t="shared" si="5"/>
        <v>860.35988421164018</v>
      </c>
      <c r="AR36" s="94"/>
    </row>
    <row r="37" spans="2:45" x14ac:dyDescent="0.3">
      <c r="M37" s="95">
        <v>1.7487500000861473</v>
      </c>
      <c r="N37" s="110">
        <v>454.83999041466927</v>
      </c>
      <c r="O37" s="110">
        <v>0.68208100000000005</v>
      </c>
      <c r="P37" s="110">
        <f t="shared" ref="P37:P47" si="7">O37*1000</f>
        <v>682.08100000000002</v>
      </c>
      <c r="Q37" s="95">
        <f t="shared" si="6"/>
        <v>965.38664361255326</v>
      </c>
      <c r="R37" s="110"/>
      <c r="Y37" s="95">
        <v>26.019166666665114</v>
      </c>
      <c r="Z37" s="111">
        <v>8.6894889136975468</v>
      </c>
      <c r="AA37" s="94">
        <v>1.64E-6</v>
      </c>
      <c r="AB37" s="86">
        <f t="shared" si="3"/>
        <v>1.64E-3</v>
      </c>
      <c r="AC37" s="95">
        <f t="shared" si="4"/>
        <v>480.22680633349955</v>
      </c>
      <c r="AE37" s="94"/>
      <c r="AL37" s="95">
        <v>50.991666666814126</v>
      </c>
      <c r="AM37" s="111">
        <v>11.237890577352594</v>
      </c>
      <c r="AN37" s="94">
        <v>2.9710000000000001E-3</v>
      </c>
      <c r="AO37" s="86">
        <f t="shared" si="2"/>
        <v>2.9710000000000001</v>
      </c>
      <c r="AP37" s="95">
        <f t="shared" si="5"/>
        <v>309.93336401509532</v>
      </c>
      <c r="AR37" s="94"/>
    </row>
    <row r="38" spans="2:45" x14ac:dyDescent="0.3">
      <c r="M38" s="95">
        <v>2.785277777700685</v>
      </c>
      <c r="N38" s="110">
        <v>425.85641854355242</v>
      </c>
      <c r="O38" s="110">
        <v>0.344831</v>
      </c>
      <c r="P38" s="110">
        <f t="shared" si="7"/>
        <v>344.83100000000002</v>
      </c>
      <c r="Q38" s="95">
        <f t="shared" si="6"/>
        <v>456.43314576528473</v>
      </c>
      <c r="R38" s="110"/>
      <c r="Y38" s="95">
        <v>50.994166666700039</v>
      </c>
      <c r="Z38" s="111">
        <v>16.901862229195423</v>
      </c>
      <c r="AA38" s="94">
        <v>6.6299999999999998E-12</v>
      </c>
      <c r="AB38" s="86">
        <f t="shared" si="3"/>
        <v>6.6299999999999996E-9</v>
      </c>
      <c r="AC38" s="95">
        <f t="shared" si="4"/>
        <v>319.57199739732283</v>
      </c>
      <c r="AE38" s="94"/>
      <c r="AL38" s="95">
        <v>74.80375000013737</v>
      </c>
      <c r="AM38" s="110">
        <v>17.098305168495308</v>
      </c>
      <c r="AN38" s="94">
        <v>5.0299999999999997E-4</v>
      </c>
      <c r="AO38" s="86">
        <f t="shared" si="2"/>
        <v>0.503</v>
      </c>
      <c r="AP38" s="95">
        <f t="shared" si="5"/>
        <v>337.37192722474492</v>
      </c>
      <c r="AR38" s="94"/>
    </row>
    <row r="39" spans="2:45" x14ac:dyDescent="0.3">
      <c r="F39"/>
      <c r="G39" s="147"/>
      <c r="H39"/>
      <c r="I39"/>
      <c r="M39" s="95">
        <v>3.8011111110099591</v>
      </c>
      <c r="N39" s="110">
        <v>243.81340075207407</v>
      </c>
      <c r="O39" s="110">
        <v>0.17779600000000001</v>
      </c>
      <c r="P39" s="110">
        <f t="shared" si="7"/>
        <v>177.79600000000002</v>
      </c>
      <c r="Q39" s="95">
        <f t="shared" si="6"/>
        <v>340.13646237584777</v>
      </c>
      <c r="R39" s="110"/>
      <c r="Y39" s="95">
        <v>74.79222222219687</v>
      </c>
      <c r="Z39" s="111">
        <v>11.067390720561267</v>
      </c>
      <c r="AA39" s="94">
        <v>4.8100000000000001E-17</v>
      </c>
      <c r="AB39" s="86">
        <f t="shared" si="3"/>
        <v>4.8099999999999998E-14</v>
      </c>
      <c r="AC39" s="95">
        <f t="shared" si="4"/>
        <v>332.80691777202668</v>
      </c>
      <c r="AE39" s="94"/>
      <c r="AL39" s="95">
        <v>99.039583333418705</v>
      </c>
      <c r="AM39" s="111">
        <v>6.6502380482212455</v>
      </c>
      <c r="AN39" s="94">
        <v>8.2600000000000002E-5</v>
      </c>
      <c r="AO39" s="86">
        <f t="shared" si="2"/>
        <v>8.2600000000000007E-2</v>
      </c>
      <c r="AP39" s="95">
        <f t="shared" si="5"/>
        <v>287.78286765428572</v>
      </c>
      <c r="AR39" s="94"/>
    </row>
    <row r="40" spans="2:45" x14ac:dyDescent="0.3">
      <c r="F40"/>
      <c r="G40"/>
      <c r="H40" s="147"/>
      <c r="I40" s="147"/>
      <c r="M40" s="95">
        <v>4.7944444444729015</v>
      </c>
      <c r="N40" s="110">
        <v>172.48071560121724</v>
      </c>
      <c r="O40" s="110">
        <v>9.2882999999999993E-2</v>
      </c>
      <c r="P40" s="110">
        <f t="shared" si="7"/>
        <v>92.882999999999996</v>
      </c>
      <c r="Q40" s="95">
        <f t="shared" si="6"/>
        <v>206.75941114911242</v>
      </c>
      <c r="R40" s="110"/>
      <c r="Y40" s="95">
        <v>99.034027777786832</v>
      </c>
      <c r="Z40" s="111">
        <v>5.8858604294312702</v>
      </c>
      <c r="AA40" s="94">
        <v>2.7999999999999999E-22</v>
      </c>
      <c r="AB40" s="86">
        <f t="shared" si="3"/>
        <v>2.8E-19</v>
      </c>
      <c r="AC40" s="95">
        <f t="shared" si="4"/>
        <v>205.48870895660053</v>
      </c>
      <c r="AE40" s="94"/>
      <c r="AL40" s="95">
        <v>171.73888888891088</v>
      </c>
      <c r="AM40" s="111">
        <v>8.3396789102246522</v>
      </c>
      <c r="AN40" s="94">
        <v>3.6600000000000002E-7</v>
      </c>
      <c r="AO40" s="86">
        <f t="shared" si="2"/>
        <v>3.6600000000000001E-4</v>
      </c>
      <c r="AP40" s="95">
        <f t="shared" si="5"/>
        <v>544.87827660675612</v>
      </c>
      <c r="AR40" s="94"/>
    </row>
    <row r="41" spans="2:45" x14ac:dyDescent="0.3">
      <c r="F41"/>
      <c r="G41"/>
      <c r="H41" s="94"/>
      <c r="I41" s="94"/>
      <c r="M41" s="95">
        <v>5.905833333323244</v>
      </c>
      <c r="N41" s="110">
        <v>135.57725599579356</v>
      </c>
      <c r="O41" s="110">
        <v>4.4556999999999999E-2</v>
      </c>
      <c r="P41" s="110">
        <f t="shared" si="7"/>
        <v>44.557000000000002</v>
      </c>
      <c r="Q41" s="95">
        <f t="shared" si="6"/>
        <v>171.18610337734611</v>
      </c>
      <c r="R41" s="110"/>
      <c r="Y41" s="95">
        <v>171.73388888878981</v>
      </c>
      <c r="Z41" s="111">
        <v>4.5475600200466868</v>
      </c>
      <c r="AA41" s="94">
        <v>5.5899999999999998E-38</v>
      </c>
      <c r="AB41" s="86">
        <f t="shared" si="3"/>
        <v>5.5899999999999997E-35</v>
      </c>
      <c r="AC41" s="95">
        <f t="shared" si="4"/>
        <v>379.25410879487282</v>
      </c>
      <c r="AE41" s="94"/>
    </row>
    <row r="42" spans="2:45" x14ac:dyDescent="0.3">
      <c r="F42"/>
      <c r="G42"/>
      <c r="H42" s="94"/>
      <c r="I42" s="93"/>
      <c r="M42" s="95">
        <v>6.9933333332883194</v>
      </c>
      <c r="N42" s="110">
        <v>126.9534077231875</v>
      </c>
      <c r="O42" s="110">
        <v>2.1943000000000001E-2</v>
      </c>
      <c r="P42" s="110">
        <f t="shared" si="7"/>
        <v>21.943000000000001</v>
      </c>
      <c r="Q42" s="95">
        <f t="shared" si="6"/>
        <v>142.75104839261155</v>
      </c>
      <c r="R42" s="110"/>
      <c r="AL42" s="106" t="s">
        <v>150</v>
      </c>
    </row>
    <row r="43" spans="2:45" x14ac:dyDescent="0.3">
      <c r="F43"/>
      <c r="G43"/>
      <c r="H43" s="94"/>
      <c r="I43" s="94"/>
      <c r="M43" s="95">
        <v>26.70638888888061</v>
      </c>
      <c r="N43" s="110">
        <v>42.174382290371085</v>
      </c>
      <c r="O43" s="110">
        <v>5.2999999999999998E-8</v>
      </c>
      <c r="P43" s="110">
        <f t="shared" si="7"/>
        <v>5.3000000000000001E-5</v>
      </c>
      <c r="Q43" s="95">
        <f t="shared" si="6"/>
        <v>1667.0127602659136</v>
      </c>
      <c r="R43" s="110"/>
      <c r="Y43" s="106" t="s">
        <v>150</v>
      </c>
      <c r="AL43" s="107"/>
      <c r="AN43" s="108" t="s">
        <v>142</v>
      </c>
      <c r="AO43" s="107"/>
      <c r="AP43" s="107"/>
      <c r="AQ43" s="107"/>
    </row>
    <row r="44" spans="2:45" x14ac:dyDescent="0.3">
      <c r="F44"/>
      <c r="G44" s="2"/>
      <c r="H44" s="94"/>
      <c r="I44" s="94"/>
      <c r="M44" s="95">
        <v>51.480972222110722</v>
      </c>
      <c r="N44" s="110">
        <v>23.761329508212327</v>
      </c>
      <c r="O44" s="110">
        <v>4.6699999999999998E-15</v>
      </c>
      <c r="P44" s="110">
        <f t="shared" si="7"/>
        <v>4.6700000000000001E-12</v>
      </c>
      <c r="Q44" s="95">
        <f t="shared" si="6"/>
        <v>816.76489329492426</v>
      </c>
      <c r="R44" s="110"/>
      <c r="Y44" s="107"/>
      <c r="AA44" s="108" t="s">
        <v>142</v>
      </c>
      <c r="AB44" s="107"/>
      <c r="AC44" s="107"/>
      <c r="AD44" s="107"/>
      <c r="AL44" s="107"/>
      <c r="AM44" s="108" t="s">
        <v>143</v>
      </c>
      <c r="AN44" s="108" t="s">
        <v>144</v>
      </c>
      <c r="AO44" s="108"/>
      <c r="AP44" s="109" t="s">
        <v>145</v>
      </c>
    </row>
    <row r="45" spans="2:45" x14ac:dyDescent="0.3">
      <c r="F45"/>
      <c r="G45"/>
      <c r="H45" s="94"/>
      <c r="I45" s="94"/>
      <c r="M45" s="95">
        <v>75.459166666609235</v>
      </c>
      <c r="N45" s="110">
        <v>19.014990339567017</v>
      </c>
      <c r="O45" s="110">
        <v>6.9000000000000004E-22</v>
      </c>
      <c r="P45" s="110">
        <f t="shared" si="7"/>
        <v>6.8999999999999999E-19</v>
      </c>
      <c r="Q45" s="95">
        <f t="shared" si="6"/>
        <v>512.84945746505707</v>
      </c>
      <c r="R45" s="110"/>
      <c r="Y45" s="107"/>
      <c r="Z45" s="108" t="s">
        <v>143</v>
      </c>
      <c r="AA45" s="108" t="s">
        <v>144</v>
      </c>
      <c r="AB45" s="108"/>
      <c r="AC45" s="109" t="s">
        <v>145</v>
      </c>
      <c r="AD45" s="108"/>
      <c r="AL45" s="108" t="s">
        <v>146</v>
      </c>
      <c r="AM45" s="108" t="s">
        <v>147</v>
      </c>
      <c r="AN45" s="108" t="s">
        <v>148</v>
      </c>
      <c r="AO45" s="108" t="s">
        <v>147</v>
      </c>
      <c r="AP45" s="109" t="s">
        <v>149</v>
      </c>
      <c r="AR45" s="108"/>
      <c r="AS45" s="108"/>
    </row>
    <row r="46" spans="2:45" x14ac:dyDescent="0.3">
      <c r="F46"/>
      <c r="G46"/>
      <c r="H46" s="148"/>
      <c r="I46" s="148"/>
      <c r="M46" s="95">
        <v>99.445416666625533</v>
      </c>
      <c r="N46" s="111">
        <v>15.682626036065921</v>
      </c>
      <c r="O46" s="110">
        <v>1.01E-28</v>
      </c>
      <c r="P46" s="110">
        <f t="shared" si="7"/>
        <v>1.01E-25</v>
      </c>
      <c r="Q46" s="95">
        <f t="shared" si="6"/>
        <v>416.13285039529558</v>
      </c>
      <c r="R46" s="110"/>
      <c r="Y46" s="108" t="s">
        <v>146</v>
      </c>
      <c r="Z46" s="108" t="s">
        <v>147</v>
      </c>
      <c r="AA46" s="108" t="s">
        <v>148</v>
      </c>
      <c r="AB46" s="108" t="s">
        <v>147</v>
      </c>
      <c r="AC46" s="109" t="s">
        <v>149</v>
      </c>
      <c r="AD46" s="108"/>
      <c r="AF46" s="108"/>
      <c r="AL46" s="108">
        <v>0</v>
      </c>
      <c r="AM46" s="108">
        <v>0</v>
      </c>
      <c r="AN46" s="108"/>
      <c r="AO46" s="108"/>
      <c r="AR46" s="108"/>
      <c r="AS46" s="108"/>
    </row>
    <row r="47" spans="2:45" x14ac:dyDescent="0.3">
      <c r="F47"/>
      <c r="G47"/>
      <c r="H47"/>
      <c r="I47" s="148"/>
      <c r="M47" s="95">
        <v>171.49166666652309</v>
      </c>
      <c r="N47" s="111">
        <v>10.134322479632733</v>
      </c>
      <c r="O47" s="110">
        <v>3.0600000000000001E-49</v>
      </c>
      <c r="P47" s="110">
        <f t="shared" si="7"/>
        <v>3.0600000000000002E-46</v>
      </c>
      <c r="Q47" s="95">
        <f t="shared" si="6"/>
        <v>930.00716349825473</v>
      </c>
      <c r="R47" s="110"/>
      <c r="Y47" s="108">
        <v>0</v>
      </c>
      <c r="Z47" s="108">
        <v>0</v>
      </c>
      <c r="AD47" s="108"/>
      <c r="AF47" s="108"/>
      <c r="AL47" s="95">
        <v>0.82222222234122455</v>
      </c>
      <c r="AM47" s="110">
        <v>4663.766616273766</v>
      </c>
      <c r="AN47" s="86">
        <v>4.7132420000000002</v>
      </c>
      <c r="AO47" s="86">
        <f>AN47*1000</f>
        <v>4713.2420000000002</v>
      </c>
      <c r="AP47" s="95">
        <f>+($AM47+$AM46)/2*($AL47-$AL46)</f>
        <v>1917.3262758567143</v>
      </c>
    </row>
    <row r="48" spans="2:45" x14ac:dyDescent="0.3">
      <c r="F48"/>
      <c r="G48"/>
      <c r="H48" s="148"/>
      <c r="I48" s="94"/>
      <c r="Y48" s="95">
        <v>0.81000000005587935</v>
      </c>
      <c r="Z48" s="110">
        <v>507.42505851688969</v>
      </c>
      <c r="AA48" s="86">
        <v>0.60451200000000005</v>
      </c>
      <c r="AB48" s="86">
        <f t="shared" ref="AB48:AB59" si="8">AA48*1000</f>
        <v>604.51200000000006</v>
      </c>
      <c r="AC48" s="95">
        <f>+($Z48+$Z47)/2*($Y48-$Y47)</f>
        <v>205.50714871351761</v>
      </c>
      <c r="AL48" s="95">
        <v>1.8191666667116806</v>
      </c>
      <c r="AM48" s="110">
        <v>3188.3151314605616</v>
      </c>
      <c r="AN48" s="86">
        <v>3.1083569999999998</v>
      </c>
      <c r="AO48" s="86">
        <f t="shared" ref="AO48:AO58" si="9">AN48*1000</f>
        <v>3108.357</v>
      </c>
      <c r="AP48" s="95">
        <f t="shared" ref="AP48:AP58" si="10">+($AM48+$AM47)/2*($AL48-$AL47)</f>
        <v>3914.0446375731995</v>
      </c>
    </row>
    <row r="49" spans="6:44" ht="15.6" x14ac:dyDescent="0.3">
      <c r="F49"/>
      <c r="G49"/>
      <c r="H49" s="94"/>
      <c r="I49" s="94"/>
      <c r="M49" s="130" t="s">
        <v>164</v>
      </c>
      <c r="Y49" s="95">
        <v>1.8263888888759539</v>
      </c>
      <c r="Z49" s="110">
        <v>412.42394758894255</v>
      </c>
      <c r="AA49" s="86">
        <v>0.57283799999999996</v>
      </c>
      <c r="AB49" s="86">
        <f t="shared" si="8"/>
        <v>572.83799999999997</v>
      </c>
      <c r="AC49" s="95">
        <f t="shared" ref="AC49:AC59" si="11">+($Z49+$Z48)/2*($Y49-$Y48)</f>
        <v>467.46215459907836</v>
      </c>
      <c r="AL49" s="95">
        <v>3.0547222224413417</v>
      </c>
      <c r="AM49" s="110">
        <v>1879.8652214970264</v>
      </c>
      <c r="AN49" s="86">
        <v>1.862776</v>
      </c>
      <c r="AO49" s="86">
        <f t="shared" si="9"/>
        <v>1862.7760000000001</v>
      </c>
      <c r="AP49" s="95">
        <f t="shared" si="10"/>
        <v>3131.0091962683314</v>
      </c>
    </row>
    <row r="50" spans="6:44" x14ac:dyDescent="0.3">
      <c r="F50" s="147"/>
      <c r="G50"/>
      <c r="H50"/>
      <c r="I50" s="93"/>
      <c r="M50" s="107"/>
      <c r="O50" s="108" t="s">
        <v>142</v>
      </c>
      <c r="P50" s="107"/>
      <c r="Q50" s="107"/>
      <c r="Y50" s="95">
        <v>3.0533333334024064</v>
      </c>
      <c r="Z50" s="110">
        <v>605.78015243444702</v>
      </c>
      <c r="AA50" s="94">
        <v>0.53712599999999999</v>
      </c>
      <c r="AB50" s="86">
        <f t="shared" si="8"/>
        <v>537.12599999999998</v>
      </c>
      <c r="AC50" s="95">
        <f t="shared" si="11"/>
        <v>624.63993195887713</v>
      </c>
      <c r="AL50" s="95">
        <v>4.2004166667466052</v>
      </c>
      <c r="AM50" s="110">
        <v>1236.845532220827</v>
      </c>
      <c r="AN50" s="86">
        <v>1.1541269999999999</v>
      </c>
      <c r="AO50" s="86">
        <f t="shared" si="9"/>
        <v>1154.127</v>
      </c>
      <c r="AP50" s="95">
        <f t="shared" si="10"/>
        <v>1785.3990975205074</v>
      </c>
    </row>
    <row r="51" spans="6:44" x14ac:dyDescent="0.3">
      <c r="F51" s="147"/>
      <c r="G51"/>
      <c r="H51" s="94"/>
      <c r="I51" s="94"/>
      <c r="M51" s="107"/>
      <c r="N51" s="108" t="s">
        <v>143</v>
      </c>
      <c r="O51" s="108" t="s">
        <v>144</v>
      </c>
      <c r="P51" s="108"/>
      <c r="Q51" s="109" t="s">
        <v>145</v>
      </c>
      <c r="Y51" s="95">
        <v>4.2001388889038935</v>
      </c>
      <c r="Z51" s="110">
        <v>612.80249373518393</v>
      </c>
      <c r="AA51" s="94">
        <v>0.50550399999999995</v>
      </c>
      <c r="AB51" s="86">
        <f t="shared" si="8"/>
        <v>505.50399999999996</v>
      </c>
      <c r="AC51" s="95">
        <f t="shared" si="11"/>
        <v>698.73867423251795</v>
      </c>
      <c r="AL51" s="95">
        <v>5.1883333334117197</v>
      </c>
      <c r="AM51" s="110">
        <v>574.93211195333413</v>
      </c>
      <c r="AN51" s="86">
        <v>0.764316</v>
      </c>
      <c r="AO51" s="86">
        <f t="shared" si="9"/>
        <v>764.31600000000003</v>
      </c>
      <c r="AP51" s="95">
        <f t="shared" si="10"/>
        <v>894.94266548545556</v>
      </c>
    </row>
    <row r="52" spans="6:44" x14ac:dyDescent="0.3">
      <c r="F52" s="147"/>
      <c r="G52"/>
      <c r="M52" s="108" t="s">
        <v>146</v>
      </c>
      <c r="N52" s="108" t="s">
        <v>147</v>
      </c>
      <c r="O52" s="108" t="s">
        <v>148</v>
      </c>
      <c r="P52" s="108" t="s">
        <v>147</v>
      </c>
      <c r="Q52" s="109" t="s">
        <v>149</v>
      </c>
      <c r="Y52" s="95">
        <v>5.1927777778473683</v>
      </c>
      <c r="Z52" s="110">
        <v>575.0501727460645</v>
      </c>
      <c r="AA52" s="94">
        <v>0.47977700000000001</v>
      </c>
      <c r="AB52" s="86">
        <f t="shared" si="8"/>
        <v>479.77699999999999</v>
      </c>
      <c r="AC52" s="95">
        <f t="shared" si="11"/>
        <v>589.55437554224511</v>
      </c>
      <c r="AL52" s="95">
        <v>6.3295833332813345</v>
      </c>
      <c r="AM52" s="110">
        <v>514.34325605605773</v>
      </c>
      <c r="AN52" s="86">
        <v>0.47552499999999998</v>
      </c>
      <c r="AO52" s="86">
        <f t="shared" si="9"/>
        <v>475.52499999999998</v>
      </c>
      <c r="AP52" s="95">
        <f t="shared" si="10"/>
        <v>621.56775679934663</v>
      </c>
      <c r="AR52" s="94"/>
    </row>
    <row r="53" spans="6:44" x14ac:dyDescent="0.3">
      <c r="F53" s="147"/>
      <c r="G53"/>
      <c r="H53" s="150"/>
      <c r="I53" s="150"/>
      <c r="M53" s="108">
        <v>0</v>
      </c>
      <c r="N53" s="108">
        <v>0</v>
      </c>
      <c r="O53" s="108"/>
      <c r="P53" s="108"/>
      <c r="Y53" s="95">
        <v>6.3311111111543141</v>
      </c>
      <c r="Z53" s="110">
        <v>465.34914498331972</v>
      </c>
      <c r="AA53" s="94">
        <v>0.45176899999999998</v>
      </c>
      <c r="AB53" s="86">
        <f t="shared" si="8"/>
        <v>451.76899999999995</v>
      </c>
      <c r="AC53" s="95">
        <f t="shared" si="11"/>
        <v>592.16061166058103</v>
      </c>
      <c r="AL53" s="95">
        <v>7.4450000000651926</v>
      </c>
      <c r="AM53" s="110">
        <v>241.57611977925663</v>
      </c>
      <c r="AN53" s="86">
        <v>0.29832500000000001</v>
      </c>
      <c r="AO53" s="86">
        <f t="shared" si="9"/>
        <v>298.32499999999999</v>
      </c>
      <c r="AP53" s="95">
        <f t="shared" si="10"/>
        <v>421.5825352757804</v>
      </c>
      <c r="AR53" s="94"/>
    </row>
    <row r="54" spans="6:44" x14ac:dyDescent="0.3">
      <c r="F54" s="151"/>
      <c r="G54"/>
      <c r="H54" s="95"/>
      <c r="I54" s="95"/>
      <c r="M54" s="95">
        <v>0.71666666673263535</v>
      </c>
      <c r="N54" s="110">
        <v>9234.1027033587652</v>
      </c>
      <c r="O54" s="110"/>
      <c r="P54" s="110"/>
      <c r="Q54" s="95">
        <f t="shared" ref="Q54:Q65" si="12">+($N54+$N53)/2*($M54-$M53)</f>
        <v>3308.8868023414716</v>
      </c>
      <c r="Y54" s="95">
        <v>7.4402777777868323</v>
      </c>
      <c r="Z54" s="110">
        <v>500.77352493794029</v>
      </c>
      <c r="AA54" s="94">
        <v>0.42607099999999998</v>
      </c>
      <c r="AB54" s="86">
        <f t="shared" si="8"/>
        <v>426.07099999999997</v>
      </c>
      <c r="AC54" s="95">
        <f t="shared" si="11"/>
        <v>535.79553067733627</v>
      </c>
      <c r="AL54" s="95">
        <v>26.024583333462942</v>
      </c>
      <c r="AM54" s="110">
        <v>30.020191331698555</v>
      </c>
      <c r="AN54" s="94">
        <v>1.3100000000000001E-4</v>
      </c>
      <c r="AO54" s="86">
        <f t="shared" si="9"/>
        <v>0.13100000000000001</v>
      </c>
      <c r="AP54" s="95">
        <f t="shared" si="10"/>
        <v>2523.0731476647065</v>
      </c>
      <c r="AR54" s="94"/>
    </row>
    <row r="55" spans="6:44" x14ac:dyDescent="0.3">
      <c r="F55" s="151"/>
      <c r="G55"/>
      <c r="H55"/>
      <c r="I55"/>
      <c r="M55" s="95">
        <v>1.7487500000861473</v>
      </c>
      <c r="N55" s="110">
        <v>8370.9116873739968</v>
      </c>
      <c r="O55" s="110"/>
      <c r="P55" s="110"/>
      <c r="Q55" s="95">
        <f t="shared" si="12"/>
        <v>9084.9209680620079</v>
      </c>
      <c r="Y55" s="95">
        <v>26.019166666665114</v>
      </c>
      <c r="Z55" s="110">
        <v>15.700098064408868</v>
      </c>
      <c r="AA55" s="94">
        <v>0.159856</v>
      </c>
      <c r="AB55" s="86">
        <f t="shared" si="8"/>
        <v>159.85599999999999</v>
      </c>
      <c r="AC55" s="95">
        <f t="shared" si="11"/>
        <v>4797.7530278985278</v>
      </c>
      <c r="AL55" s="95">
        <v>50.991666666814126</v>
      </c>
      <c r="AM55" s="110">
        <v>15.651276124275327</v>
      </c>
      <c r="AN55" s="94">
        <v>4.01E-9</v>
      </c>
      <c r="AO55" s="86">
        <f t="shared" si="9"/>
        <v>4.0099999999999997E-6</v>
      </c>
      <c r="AP55" s="95">
        <f t="shared" si="10"/>
        <v>570.14166696486825</v>
      </c>
      <c r="AR55" s="94"/>
    </row>
    <row r="56" spans="6:44" x14ac:dyDescent="0.3">
      <c r="M56" s="95">
        <v>2.785277777700685</v>
      </c>
      <c r="N56" s="111">
        <v>27.379169406728629</v>
      </c>
      <c r="O56" s="110"/>
      <c r="P56" s="110"/>
      <c r="Q56" s="95">
        <f t="shared" si="12"/>
        <v>4352.5308787697086</v>
      </c>
      <c r="Y56" s="95">
        <v>50.994166666700039</v>
      </c>
      <c r="Z56" s="110">
        <v>22.397239440879666</v>
      </c>
      <c r="AA56" s="94">
        <v>4.2811000000000002E-2</v>
      </c>
      <c r="AB56" s="86">
        <f t="shared" si="8"/>
        <v>42.811</v>
      </c>
      <c r="AC56" s="95">
        <f t="shared" si="11"/>
        <v>475.74050209795587</v>
      </c>
      <c r="AL56" s="95">
        <v>74.80375000013737</v>
      </c>
      <c r="AM56" s="110">
        <v>23.074547300104843</v>
      </c>
      <c r="AN56" s="94">
        <v>1.9900000000000001E-13</v>
      </c>
      <c r="AO56" s="86">
        <f t="shared" si="9"/>
        <v>1.9900000000000001E-10</v>
      </c>
      <c r="AP56" s="95">
        <f t="shared" si="10"/>
        <v>461.07126726645095</v>
      </c>
      <c r="AR56" s="94"/>
    </row>
    <row r="57" spans="6:44" x14ac:dyDescent="0.3">
      <c r="M57" s="95">
        <v>3.8011111110099591</v>
      </c>
      <c r="N57" s="110">
        <v>95.374702030464562</v>
      </c>
      <c r="O57" s="110"/>
      <c r="P57" s="110"/>
      <c r="Q57" s="95">
        <f t="shared" si="12"/>
        <v>62.348737199331033</v>
      </c>
      <c r="Y57" s="95">
        <v>74.79222222219687</v>
      </c>
      <c r="Z57" s="111">
        <v>15.413816939259922</v>
      </c>
      <c r="AA57" s="94">
        <v>1.2194999999999999E-2</v>
      </c>
      <c r="AB57" s="86">
        <f t="shared" si="8"/>
        <v>12.194999999999999</v>
      </c>
      <c r="AC57" s="95">
        <f t="shared" si="11"/>
        <v>449.91481017329244</v>
      </c>
      <c r="AL57" s="95">
        <v>99.039583333418705</v>
      </c>
      <c r="AM57" s="111">
        <v>8.169113893986049</v>
      </c>
      <c r="AN57" s="94">
        <v>8.25E-18</v>
      </c>
      <c r="AO57" s="86">
        <f t="shared" si="9"/>
        <v>8.2499999999999996E-15</v>
      </c>
      <c r="AP57" s="95">
        <f t="shared" si="10"/>
        <v>378.60808271074825</v>
      </c>
      <c r="AR57" s="94"/>
    </row>
    <row r="58" spans="6:44" x14ac:dyDescent="0.3">
      <c r="M58" s="95">
        <v>4.7944444444729015</v>
      </c>
      <c r="N58" s="110">
        <v>79.174001013397458</v>
      </c>
      <c r="O58" s="110"/>
      <c r="P58" s="110"/>
      <c r="Q58" s="95">
        <f t="shared" si="12"/>
        <v>86.692522523096343</v>
      </c>
      <c r="Y58" s="95">
        <v>99.034027777786832</v>
      </c>
      <c r="Z58" s="111">
        <v>6.608245262942356</v>
      </c>
      <c r="AA58" s="94">
        <v>3.3939999999999999E-3</v>
      </c>
      <c r="AB58" s="86">
        <f t="shared" si="8"/>
        <v>3.3939999999999997</v>
      </c>
      <c r="AC58" s="95">
        <f t="shared" si="11"/>
        <v>266.92727491944748</v>
      </c>
      <c r="AL58" s="95">
        <v>171.73888888891088</v>
      </c>
      <c r="AM58" s="111">
        <v>7.2080571430264477</v>
      </c>
      <c r="AN58" s="94">
        <v>5.9300000000000003E-31</v>
      </c>
      <c r="AO58" s="86">
        <f t="shared" si="9"/>
        <v>5.9300000000000002E-28</v>
      </c>
      <c r="AP58" s="95">
        <f t="shared" si="10"/>
        <v>558.95482789941798</v>
      </c>
      <c r="AR58" s="94"/>
    </row>
    <row r="59" spans="6:44" x14ac:dyDescent="0.3">
      <c r="M59" s="95">
        <v>5.905833333323244</v>
      </c>
      <c r="N59" s="110">
        <v>129.63815806446499</v>
      </c>
      <c r="O59" s="110"/>
      <c r="P59" s="110"/>
      <c r="Q59" s="95">
        <f t="shared" si="12"/>
        <v>116.03575672799325</v>
      </c>
      <c r="Y59" s="95">
        <v>171.73388888878981</v>
      </c>
      <c r="Z59" s="111">
        <v>5.2661356432601227</v>
      </c>
      <c r="AA59" s="94">
        <v>7.3300000000000006E-5</v>
      </c>
      <c r="AB59" s="86">
        <f t="shared" si="8"/>
        <v>7.3300000000000004E-2</v>
      </c>
      <c r="AC59" s="95">
        <f t="shared" si="11"/>
        <v>431.6329213300329</v>
      </c>
    </row>
    <row r="60" spans="6:44" x14ac:dyDescent="0.3">
      <c r="M60" s="95">
        <v>6.9933333332883194</v>
      </c>
      <c r="N60" s="110">
        <v>86.803002407043323</v>
      </c>
      <c r="O60" s="110"/>
      <c r="P60" s="110"/>
      <c r="Q60" s="95">
        <f t="shared" si="12"/>
        <v>117.68988100260309</v>
      </c>
    </row>
    <row r="61" spans="6:44" x14ac:dyDescent="0.3">
      <c r="M61" s="95">
        <v>26.70638888888061</v>
      </c>
      <c r="N61" s="110">
        <v>7.4293704619396053</v>
      </c>
      <c r="O61" s="110"/>
      <c r="P61" s="110"/>
      <c r="Q61" s="95">
        <f t="shared" si="12"/>
        <v>928.80400075077421</v>
      </c>
      <c r="Y61" s="106" t="s">
        <v>151</v>
      </c>
      <c r="AL61" s="106" t="s">
        <v>151</v>
      </c>
    </row>
    <row r="62" spans="6:44" x14ac:dyDescent="0.3">
      <c r="M62" s="95">
        <v>51.480972222110722</v>
      </c>
      <c r="N62" s="110">
        <v>-6.3247560246549241</v>
      </c>
      <c r="O62" s="110"/>
      <c r="P62" s="110"/>
      <c r="Q62" s="95">
        <f t="shared" si="12"/>
        <v>13.683181213799209</v>
      </c>
      <c r="Y62" s="107"/>
      <c r="AA62" s="108" t="s">
        <v>142</v>
      </c>
      <c r="AB62" s="107"/>
      <c r="AL62" s="107"/>
      <c r="AN62" s="108" t="s">
        <v>142</v>
      </c>
      <c r="AO62" s="107"/>
    </row>
    <row r="63" spans="6:44" x14ac:dyDescent="0.3">
      <c r="M63" s="95">
        <v>75.459166666609235</v>
      </c>
      <c r="N63" s="110">
        <v>-8.9661259580645023</v>
      </c>
      <c r="O63" s="110"/>
      <c r="P63" s="110"/>
      <c r="Q63" s="95">
        <f t="shared" si="12"/>
        <v>-183.32387070476267</v>
      </c>
      <c r="Y63" s="107"/>
      <c r="Z63" s="108" t="s">
        <v>143</v>
      </c>
      <c r="AA63" s="108" t="s">
        <v>144</v>
      </c>
      <c r="AB63" s="108"/>
      <c r="AC63" s="109" t="s">
        <v>145</v>
      </c>
      <c r="AL63" s="107"/>
      <c r="AM63" s="108" t="s">
        <v>143</v>
      </c>
      <c r="AN63" s="108" t="s">
        <v>144</v>
      </c>
      <c r="AO63" s="108"/>
      <c r="AP63" s="109" t="s">
        <v>145</v>
      </c>
    </row>
    <row r="64" spans="6:44" x14ac:dyDescent="0.3">
      <c r="M64" s="95">
        <v>99.445416666625533</v>
      </c>
      <c r="N64" s="110">
        <v>2.6902612163938784</v>
      </c>
      <c r="O64" s="110"/>
      <c r="P64" s="110"/>
      <c r="Q64" s="95">
        <f t="shared" si="12"/>
        <v>-75.267230329999649</v>
      </c>
      <c r="Y64" s="108" t="s">
        <v>146</v>
      </c>
      <c r="Z64" s="108" t="s">
        <v>147</v>
      </c>
      <c r="AA64" s="108" t="s">
        <v>148</v>
      </c>
      <c r="AB64" s="108" t="s">
        <v>147</v>
      </c>
      <c r="AC64" s="109" t="s">
        <v>149</v>
      </c>
      <c r="AL64" s="108" t="s">
        <v>146</v>
      </c>
      <c r="AM64" s="108" t="s">
        <v>147</v>
      </c>
      <c r="AN64" s="108" t="s">
        <v>148</v>
      </c>
      <c r="AO64" s="108" t="s">
        <v>147</v>
      </c>
      <c r="AP64" s="109" t="s">
        <v>149</v>
      </c>
    </row>
    <row r="65" spans="13:42" x14ac:dyDescent="0.3">
      <c r="M65" s="95">
        <v>171.49166666652309</v>
      </c>
      <c r="N65" s="110">
        <v>-12.749510864627101</v>
      </c>
      <c r="O65" s="110"/>
      <c r="P65" s="110"/>
      <c r="Q65" s="95">
        <f t="shared" si="12"/>
        <v>-362.36560748399614</v>
      </c>
      <c r="Y65" s="108">
        <v>0</v>
      </c>
      <c r="Z65" s="110">
        <v>0</v>
      </c>
      <c r="AA65" s="108"/>
      <c r="AB65" s="108"/>
      <c r="AL65" s="108">
        <v>0</v>
      </c>
      <c r="AM65" s="108">
        <v>0</v>
      </c>
      <c r="AN65" s="108"/>
      <c r="AO65" s="108"/>
    </row>
    <row r="66" spans="13:42" x14ac:dyDescent="0.3">
      <c r="Y66" s="95">
        <v>0.81000000005587935</v>
      </c>
      <c r="Z66" s="95">
        <v>388.54879797478026</v>
      </c>
      <c r="AA66" s="86">
        <v>1.285677</v>
      </c>
      <c r="AB66" s="86">
        <f>AA66*1000</f>
        <v>1285.6769999999999</v>
      </c>
      <c r="AC66" s="95">
        <f t="shared" ref="AC66:AC77" si="13">+($Z66+$Z65)/2*($Y66-$Y65)</f>
        <v>157.36226319064193</v>
      </c>
      <c r="AL66" s="95">
        <v>0.82222222234122455</v>
      </c>
      <c r="AM66" s="95">
        <v>1117.1717384900919</v>
      </c>
      <c r="AN66" s="86">
        <v>2.1306060000000002</v>
      </c>
      <c r="AO66" s="86">
        <f>AN66*1000</f>
        <v>2130.6060000000002</v>
      </c>
      <c r="AP66" s="95">
        <f>+($AM66+$AM65)/2*($AL66-$AL65)</f>
        <v>459.28171477906636</v>
      </c>
    </row>
    <row r="67" spans="13:42" ht="15.6" x14ac:dyDescent="0.3">
      <c r="M67" s="130" t="s">
        <v>165</v>
      </c>
      <c r="Y67" s="95">
        <v>1.8263888888759539</v>
      </c>
      <c r="Z67" s="95">
        <v>188.8035487655427</v>
      </c>
      <c r="AA67" s="86">
        <v>1.2789649999999999</v>
      </c>
      <c r="AB67" s="86">
        <f t="shared" ref="AB67:AB77" si="14">AA67*1000</f>
        <v>1278.9649999999999</v>
      </c>
      <c r="AC67" s="95">
        <f t="shared" si="13"/>
        <v>293.40725508052958</v>
      </c>
      <c r="AL67" s="95">
        <v>1.8191666667116806</v>
      </c>
      <c r="AM67" s="95">
        <v>57.23715178776073</v>
      </c>
      <c r="AN67" s="86">
        <v>2.1079919999999999</v>
      </c>
      <c r="AO67" s="86">
        <f t="shared" ref="AO67:AO77" si="15">AN67*1000</f>
        <v>2107.9919999999997</v>
      </c>
      <c r="AP67" s="95">
        <f t="shared" ref="AP67:AP77" si="16">+($AM67+$AM66)/2*($AL67-$AL66)</f>
        <v>585.41020929088882</v>
      </c>
    </row>
    <row r="68" spans="13:42" x14ac:dyDescent="0.3">
      <c r="M68" s="107"/>
      <c r="O68" s="108" t="s">
        <v>142</v>
      </c>
      <c r="P68" s="107"/>
      <c r="Q68" s="107"/>
      <c r="Y68" s="95">
        <v>3.0533333334024064</v>
      </c>
      <c r="Z68" s="95">
        <v>83.366406101217734</v>
      </c>
      <c r="AA68" s="86">
        <v>1.2709820000000001</v>
      </c>
      <c r="AB68" s="86">
        <f t="shared" si="14"/>
        <v>1270.982</v>
      </c>
      <c r="AC68" s="95">
        <f t="shared" si="13"/>
        <v>166.96870704539353</v>
      </c>
      <c r="AL68" s="95">
        <v>3.0547222224413417</v>
      </c>
      <c r="AM68" s="95">
        <v>35.636234056069121</v>
      </c>
      <c r="AN68" s="86">
        <v>2.080505</v>
      </c>
      <c r="AO68" s="86">
        <f t="shared" si="15"/>
        <v>2080.5050000000001</v>
      </c>
      <c r="AP68" s="95">
        <f t="shared" si="16"/>
        <v>57.37511392938422</v>
      </c>
    </row>
    <row r="69" spans="13:42" x14ac:dyDescent="0.3">
      <c r="M69" s="107"/>
      <c r="N69" s="108" t="s">
        <v>143</v>
      </c>
      <c r="O69" s="108" t="s">
        <v>144</v>
      </c>
      <c r="P69" s="108"/>
      <c r="Q69" s="109" t="s">
        <v>145</v>
      </c>
      <c r="Y69" s="95">
        <v>4.2001388889038935</v>
      </c>
      <c r="Z69" s="95">
        <v>1176.1047537022403</v>
      </c>
      <c r="AA69" s="86">
        <v>1.263503</v>
      </c>
      <c r="AB69" s="86">
        <f t="shared" si="14"/>
        <v>1263.5030000000002</v>
      </c>
      <c r="AC69" s="95">
        <f t="shared" si="13"/>
        <v>722.1842615282535</v>
      </c>
      <c r="AL69" s="95">
        <v>4.2004166667466052</v>
      </c>
      <c r="AM69" s="95">
        <v>2491.8842866185601</v>
      </c>
      <c r="AN69" s="86">
        <v>2.0551300000000001</v>
      </c>
      <c r="AO69" s="86">
        <f t="shared" si="15"/>
        <v>2055.13</v>
      </c>
      <c r="AP69" s="95">
        <f t="shared" si="16"/>
        <v>1447.8831092022347</v>
      </c>
    </row>
    <row r="70" spans="13:42" x14ac:dyDescent="0.3">
      <c r="M70" s="108" t="s">
        <v>146</v>
      </c>
      <c r="N70" s="108" t="s">
        <v>147</v>
      </c>
      <c r="O70" s="108" t="s">
        <v>148</v>
      </c>
      <c r="P70" s="108" t="s">
        <v>147</v>
      </c>
      <c r="Q70" s="109" t="s">
        <v>149</v>
      </c>
      <c r="Y70" s="95">
        <v>5.1927777778473683</v>
      </c>
      <c r="Z70" s="95">
        <v>2892.3099185985002</v>
      </c>
      <c r="AA70" s="86">
        <v>1.2571000000000001</v>
      </c>
      <c r="AB70" s="86">
        <f t="shared" si="14"/>
        <v>1257.1000000000001</v>
      </c>
      <c r="AC70" s="95">
        <f t="shared" si="13"/>
        <v>2019.233310036969</v>
      </c>
      <c r="AL70" s="95">
        <v>5.1883333334117197</v>
      </c>
      <c r="AM70" s="95">
        <v>569.56434418460992</v>
      </c>
      <c r="AN70" s="86">
        <v>2.033534</v>
      </c>
      <c r="AO70" s="86">
        <f t="shared" si="15"/>
        <v>2033.5339999999999</v>
      </c>
      <c r="AP70" s="95">
        <f t="shared" si="16"/>
        <v>1512.2280632547731</v>
      </c>
    </row>
    <row r="71" spans="13:42" x14ac:dyDescent="0.3">
      <c r="M71" s="108">
        <v>0</v>
      </c>
      <c r="N71" s="108">
        <v>0</v>
      </c>
      <c r="O71" s="108"/>
      <c r="P71" s="108"/>
      <c r="Y71" s="95">
        <v>6.3311111111543141</v>
      </c>
      <c r="Z71" s="95">
        <v>927.31024386866807</v>
      </c>
      <c r="AA71" s="86">
        <v>1.2497670000000001</v>
      </c>
      <c r="AB71" s="86">
        <f t="shared" si="14"/>
        <v>1249.7670000000001</v>
      </c>
      <c r="AC71" s="95">
        <f t="shared" si="13"/>
        <v>2174.000475753835</v>
      </c>
      <c r="AL71" s="95">
        <v>6.3295833332813345</v>
      </c>
      <c r="AM71" s="95">
        <v>3971.5243665644098</v>
      </c>
      <c r="AN71" s="86">
        <v>2.008947</v>
      </c>
      <c r="AO71" s="86">
        <f t="shared" si="15"/>
        <v>2008.9470000000001</v>
      </c>
      <c r="AP71" s="95">
        <f t="shared" si="16"/>
        <v>2591.2587452751141</v>
      </c>
    </row>
    <row r="72" spans="13:42" x14ac:dyDescent="0.3">
      <c r="M72" s="95">
        <v>0.71666666673263535</v>
      </c>
      <c r="N72" s="110">
        <v>0</v>
      </c>
      <c r="O72" s="110"/>
      <c r="P72" s="110"/>
      <c r="Q72" s="95">
        <f t="shared" ref="Q72:Q83" si="17">+($N72+$N71)/2*($M72-$M71)</f>
        <v>0</v>
      </c>
      <c r="Y72" s="95">
        <v>7.4402777777868323</v>
      </c>
      <c r="Z72" s="95">
        <v>3854.9832648018255</v>
      </c>
      <c r="AA72" s="86">
        <v>1.2426680000000001</v>
      </c>
      <c r="AB72" s="86">
        <f t="shared" si="14"/>
        <v>1242.6680000000001</v>
      </c>
      <c r="AC72" s="95">
        <f t="shared" si="13"/>
        <v>2652.1802749351905</v>
      </c>
      <c r="AL72" s="95">
        <v>7.4450000000651926</v>
      </c>
      <c r="AM72" s="95">
        <v>7099.2684230079785</v>
      </c>
      <c r="AN72" s="86">
        <v>1.98508</v>
      </c>
      <c r="AO72" s="86">
        <f t="shared" si="15"/>
        <v>1985.08</v>
      </c>
      <c r="AP72" s="95">
        <f t="shared" si="16"/>
        <v>6174.2733959998013</v>
      </c>
    </row>
    <row r="73" spans="13:42" x14ac:dyDescent="0.3">
      <c r="M73" s="95">
        <v>1.7487500000861473</v>
      </c>
      <c r="N73" s="110">
        <v>265.86621803420803</v>
      </c>
      <c r="O73" s="110"/>
      <c r="P73" s="110"/>
      <c r="Q73" s="95">
        <f t="shared" si="17"/>
        <v>137.1980462674185</v>
      </c>
      <c r="Y73" s="95">
        <v>26.019166666665114</v>
      </c>
      <c r="Z73" s="95">
        <v>237.05306328522877</v>
      </c>
      <c r="AA73" s="94">
        <v>1.129653</v>
      </c>
      <c r="AB73" s="86">
        <f t="shared" si="14"/>
        <v>1129.653</v>
      </c>
      <c r="AC73" s="95">
        <f t="shared" si="13"/>
        <v>38012.744134391425</v>
      </c>
      <c r="AL73" s="95">
        <v>26.024583333462942</v>
      </c>
      <c r="AM73" s="95">
        <v>778.71203214167349</v>
      </c>
      <c r="AN73" s="94">
        <v>1.628244</v>
      </c>
      <c r="AO73" s="86">
        <f t="shared" si="15"/>
        <v>1628.2439999999999</v>
      </c>
      <c r="AP73" s="95">
        <f t="shared" si="16"/>
        <v>73184.797182665847</v>
      </c>
    </row>
    <row r="74" spans="13:42" x14ac:dyDescent="0.3">
      <c r="M74" s="95">
        <v>2.785277777700685</v>
      </c>
      <c r="N74" s="110">
        <v>193.13881277529191</v>
      </c>
      <c r="O74" s="110"/>
      <c r="P74" s="110"/>
      <c r="Q74" s="95">
        <f t="shared" si="17"/>
        <v>237.88573224943167</v>
      </c>
      <c r="Y74" s="95">
        <v>50.994166666700039</v>
      </c>
      <c r="Z74" s="95">
        <v>1130.8957946899313</v>
      </c>
      <c r="AA74" s="94">
        <v>0.99378599999999995</v>
      </c>
      <c r="AB74" s="86">
        <f t="shared" si="14"/>
        <v>993.78599999999994</v>
      </c>
      <c r="AC74" s="95">
        <f t="shared" si="13"/>
        <v>17082.261363988699</v>
      </c>
      <c r="AL74" s="95">
        <v>50.991666666814126</v>
      </c>
      <c r="AM74" s="95">
        <v>644.65896042904956</v>
      </c>
      <c r="AN74" s="94">
        <v>1.2473890000000001</v>
      </c>
      <c r="AO74" s="86">
        <f t="shared" si="15"/>
        <v>1247.3890000000001</v>
      </c>
      <c r="AP74" s="95">
        <f t="shared" si="16"/>
        <v>17768.711092894016</v>
      </c>
    </row>
    <row r="75" spans="13:42" x14ac:dyDescent="0.3">
      <c r="M75" s="95">
        <v>3.8011111110099591</v>
      </c>
      <c r="N75" s="110">
        <v>93.761925813646627</v>
      </c>
      <c r="O75" s="110"/>
      <c r="P75" s="110"/>
      <c r="Q75" s="95">
        <f t="shared" si="17"/>
        <v>145.72166680484708</v>
      </c>
      <c r="Y75" s="95">
        <v>74.79222222219687</v>
      </c>
      <c r="Z75" s="95">
        <v>665.07196771898225</v>
      </c>
      <c r="AA75" s="94">
        <v>0.87952600000000003</v>
      </c>
      <c r="AB75" s="86">
        <f t="shared" si="14"/>
        <v>879.52600000000007</v>
      </c>
      <c r="AC75" s="95">
        <f t="shared" si="13"/>
        <v>21370.270292844329</v>
      </c>
      <c r="AL75" s="95">
        <v>74.80375000013737</v>
      </c>
      <c r="AM75" s="95">
        <v>970.38108194647737</v>
      </c>
      <c r="AN75" s="94">
        <v>0.96752000000000005</v>
      </c>
      <c r="AO75" s="86">
        <f t="shared" si="15"/>
        <v>967.5200000000001</v>
      </c>
      <c r="AP75" s="95">
        <f t="shared" si="16"/>
        <v>19228.734037849972</v>
      </c>
    </row>
    <row r="76" spans="13:42" x14ac:dyDescent="0.3">
      <c r="M76" s="95">
        <v>4.7944444444729015</v>
      </c>
      <c r="N76" s="111">
        <v>62.00324764369882</v>
      </c>
      <c r="O76" s="110"/>
      <c r="P76" s="110"/>
      <c r="Q76" s="95">
        <f t="shared" si="17"/>
        <v>77.36336949390919</v>
      </c>
      <c r="Y76" s="95">
        <v>99.034027777786832</v>
      </c>
      <c r="Z76" s="95">
        <v>802.46776049906362</v>
      </c>
      <c r="AA76" s="94">
        <v>0.77664699999999998</v>
      </c>
      <c r="AB76" s="86">
        <f t="shared" si="14"/>
        <v>776.64699999999993</v>
      </c>
      <c r="AC76" s="95">
        <f t="shared" si="13"/>
        <v>17787.906368282605</v>
      </c>
      <c r="AL76" s="95">
        <v>99.039583333418705</v>
      </c>
      <c r="AM76" s="95">
        <v>390.32532424932367</v>
      </c>
      <c r="AN76" s="94">
        <v>0.74700800000000001</v>
      </c>
      <c r="AO76" s="86">
        <f t="shared" si="15"/>
        <v>747.00800000000004</v>
      </c>
      <c r="AP76" s="95">
        <f t="shared" si="16"/>
        <v>16488.926838044823</v>
      </c>
    </row>
    <row r="77" spans="13:42" x14ac:dyDescent="0.3">
      <c r="M77" s="95">
        <v>5.905833333323244</v>
      </c>
      <c r="N77" s="111">
        <v>50.000977690041232</v>
      </c>
      <c r="O77" s="110"/>
      <c r="P77" s="110"/>
      <c r="Q77" s="95">
        <f t="shared" si="17"/>
        <v>62.24012577010437</v>
      </c>
      <c r="Y77" s="95">
        <v>171.73388888878981</v>
      </c>
      <c r="Z77" s="95">
        <v>526.34753419583535</v>
      </c>
      <c r="AA77" s="94">
        <v>0.534802</v>
      </c>
      <c r="AB77" s="86">
        <f t="shared" si="14"/>
        <v>534.80200000000002</v>
      </c>
      <c r="AC77" s="95">
        <f t="shared" si="13"/>
        <v>48302.343683247818</v>
      </c>
      <c r="AL77" s="95">
        <v>171.73888888891088</v>
      </c>
      <c r="AM77" s="95">
        <v>591.07698654727119</v>
      </c>
      <c r="AN77" s="94">
        <v>0.343885</v>
      </c>
      <c r="AO77" s="86">
        <f t="shared" si="15"/>
        <v>343.88499999999999</v>
      </c>
      <c r="AP77" s="95">
        <f t="shared" si="16"/>
        <v>35673.633232733875</v>
      </c>
    </row>
    <row r="78" spans="13:42" x14ac:dyDescent="0.3">
      <c r="M78" s="95">
        <v>6.9933333332883194</v>
      </c>
      <c r="N78" s="111">
        <v>36.607504090454839</v>
      </c>
      <c r="O78" s="110"/>
      <c r="P78" s="110"/>
      <c r="Q78" s="95">
        <f t="shared" si="17"/>
        <v>47.093361966632358</v>
      </c>
      <c r="AL78" s="95"/>
      <c r="AM78" s="95"/>
      <c r="AN78" s="94"/>
      <c r="AP78" s="95"/>
    </row>
    <row r="79" spans="13:42" ht="15.6" x14ac:dyDescent="0.3">
      <c r="M79" s="95">
        <v>26.70638888888061</v>
      </c>
      <c r="N79" s="110" t="s">
        <v>153</v>
      </c>
      <c r="O79" s="110"/>
      <c r="P79" s="110"/>
      <c r="Q79" s="95" t="e">
        <f t="shared" si="17"/>
        <v>#VALUE!</v>
      </c>
      <c r="Y79" s="112" t="s">
        <v>152</v>
      </c>
      <c r="AL79" s="140" t="s">
        <v>174</v>
      </c>
      <c r="AM79" s="95"/>
      <c r="AN79" s="94"/>
      <c r="AP79" s="95"/>
    </row>
    <row r="80" spans="13:42" x14ac:dyDescent="0.3">
      <c r="M80" s="95">
        <v>51.480972222110722</v>
      </c>
      <c r="N80" s="110" t="s">
        <v>153</v>
      </c>
      <c r="O80" s="110"/>
      <c r="P80" s="110"/>
      <c r="Q80" s="95" t="e">
        <f t="shared" si="17"/>
        <v>#VALUE!</v>
      </c>
      <c r="Y80" s="107"/>
      <c r="AA80" s="108"/>
      <c r="AB80" s="107"/>
      <c r="AL80" s="107"/>
      <c r="AN80" s="108" t="s">
        <v>142</v>
      </c>
      <c r="AO80" s="107"/>
    </row>
    <row r="81" spans="13:42" x14ac:dyDescent="0.3">
      <c r="M81" s="95">
        <v>75.459166666609235</v>
      </c>
      <c r="N81" s="110" t="s">
        <v>153</v>
      </c>
      <c r="O81" s="110"/>
      <c r="P81" s="110"/>
      <c r="Q81" s="95" t="e">
        <f t="shared" si="17"/>
        <v>#VALUE!</v>
      </c>
      <c r="Y81" s="107"/>
      <c r="Z81" s="108" t="s">
        <v>143</v>
      </c>
      <c r="AA81" s="108"/>
      <c r="AB81" s="108"/>
      <c r="AC81" s="109" t="s">
        <v>145</v>
      </c>
      <c r="AL81" s="107"/>
      <c r="AM81" s="108" t="s">
        <v>143</v>
      </c>
      <c r="AN81" s="108" t="s">
        <v>144</v>
      </c>
      <c r="AO81" s="108"/>
      <c r="AP81" s="109" t="s">
        <v>145</v>
      </c>
    </row>
    <row r="82" spans="13:42" x14ac:dyDescent="0.3">
      <c r="M82" s="95">
        <v>99.445416666625533</v>
      </c>
      <c r="N82" s="110" t="s">
        <v>153</v>
      </c>
      <c r="O82" s="110"/>
      <c r="P82" s="110"/>
      <c r="Q82" s="95" t="e">
        <f t="shared" si="17"/>
        <v>#VALUE!</v>
      </c>
      <c r="Y82" s="108" t="s">
        <v>146</v>
      </c>
      <c r="Z82" s="108" t="s">
        <v>147</v>
      </c>
      <c r="AA82" s="108"/>
      <c r="AB82" s="108"/>
      <c r="AC82" s="109" t="s">
        <v>149</v>
      </c>
      <c r="AL82" s="108" t="s">
        <v>146</v>
      </c>
      <c r="AM82" s="108" t="s">
        <v>147</v>
      </c>
      <c r="AN82" s="108" t="s">
        <v>148</v>
      </c>
      <c r="AO82" s="108" t="s">
        <v>147</v>
      </c>
      <c r="AP82" s="109" t="s">
        <v>149</v>
      </c>
    </row>
    <row r="83" spans="13:42" x14ac:dyDescent="0.3">
      <c r="M83" s="95">
        <v>171.49166666652309</v>
      </c>
      <c r="N83" s="110" t="s">
        <v>153</v>
      </c>
      <c r="O83" s="110"/>
      <c r="P83" s="110"/>
      <c r="Q83" s="95" t="e">
        <f t="shared" si="17"/>
        <v>#VALUE!</v>
      </c>
      <c r="Y83" s="86">
        <v>0</v>
      </c>
      <c r="Z83" s="86">
        <v>0</v>
      </c>
      <c r="AL83" s="108">
        <v>0</v>
      </c>
      <c r="AM83" s="108">
        <v>0</v>
      </c>
      <c r="AN83" s="108"/>
      <c r="AO83" s="108"/>
    </row>
    <row r="84" spans="13:42" x14ac:dyDescent="0.3">
      <c r="Y84" s="113">
        <v>0.81000000005587935</v>
      </c>
      <c r="Z84" s="86" t="s">
        <v>153</v>
      </c>
      <c r="AC84" s="95" t="e">
        <f>+($Z84+$Z83)/2*($Y84-$Y83)</f>
        <v>#VALUE!</v>
      </c>
      <c r="AL84" s="95">
        <v>0.82222222234122455</v>
      </c>
      <c r="AM84" s="95">
        <v>523.61381194970431</v>
      </c>
      <c r="AP84" s="95">
        <f>+($AM84+$AM83)/2*($AL84-$AL83)</f>
        <v>215.26345605492295</v>
      </c>
    </row>
    <row r="85" spans="13:42" x14ac:dyDescent="0.3">
      <c r="Y85" s="113">
        <v>1.8263888888759539</v>
      </c>
      <c r="Z85" s="86" t="s">
        <v>153</v>
      </c>
      <c r="AC85" s="95" t="e">
        <f t="shared" ref="AC85:AC95" si="18">+($Z85+$Z84)/2*($Y85-$Y84)</f>
        <v>#VALUE!</v>
      </c>
      <c r="AL85" s="95">
        <v>1.8191666667116806</v>
      </c>
      <c r="AM85" s="95">
        <v>208.064112378809</v>
      </c>
      <c r="AP85" s="95">
        <f t="shared" ref="AP85:AP95" si="19">+($AM85+$AM84)/2*($AL85-$AL84)</f>
        <v>364.72112086390916</v>
      </c>
    </row>
    <row r="86" spans="13:42" ht="15.6" x14ac:dyDescent="0.3">
      <c r="M86" s="130" t="s">
        <v>166</v>
      </c>
      <c r="Y86" s="113">
        <v>3.0533333334024064</v>
      </c>
      <c r="Z86" s="86" t="s">
        <v>153</v>
      </c>
      <c r="AC86" s="95" t="e">
        <f t="shared" si="18"/>
        <v>#VALUE!</v>
      </c>
      <c r="AL86" s="95">
        <v>3.0547222224413417</v>
      </c>
      <c r="AM86" s="95">
        <v>120.53108888653426</v>
      </c>
      <c r="AP86" s="95">
        <f t="shared" si="19"/>
        <v>202.9988132547505</v>
      </c>
    </row>
    <row r="87" spans="13:42" x14ac:dyDescent="0.3">
      <c r="M87" s="107"/>
      <c r="O87" s="108" t="s">
        <v>142</v>
      </c>
      <c r="P87" s="107"/>
      <c r="Q87" s="107"/>
      <c r="R87" s="107"/>
      <c r="Y87" s="113">
        <v>4.2001388889038935</v>
      </c>
      <c r="Z87" s="111">
        <v>70.417141070723375</v>
      </c>
      <c r="AC87" s="95" t="e">
        <f t="shared" si="18"/>
        <v>#VALUE!</v>
      </c>
      <c r="AL87" s="95">
        <v>4.2004166667466052</v>
      </c>
      <c r="AM87" s="95" t="s">
        <v>153</v>
      </c>
      <c r="AP87" s="95" t="e">
        <f t="shared" si="19"/>
        <v>#VALUE!</v>
      </c>
    </row>
    <row r="88" spans="13:42" x14ac:dyDescent="0.3">
      <c r="M88" s="107"/>
      <c r="N88" s="108" t="s">
        <v>143</v>
      </c>
      <c r="O88" s="108" t="s">
        <v>144</v>
      </c>
      <c r="P88" s="108"/>
      <c r="Q88" s="109" t="s">
        <v>145</v>
      </c>
      <c r="R88" s="108"/>
      <c r="Y88" s="113">
        <v>5.1927777778473683</v>
      </c>
      <c r="Z88" s="110">
        <v>89.104490289570393</v>
      </c>
      <c r="AC88" s="95">
        <f t="shared" si="18"/>
        <v>79.173687457966295</v>
      </c>
      <c r="AL88" s="95">
        <v>5.1883333334117197</v>
      </c>
      <c r="AM88" s="95" t="s">
        <v>153</v>
      </c>
      <c r="AP88" s="95" t="e">
        <f t="shared" si="19"/>
        <v>#VALUE!</v>
      </c>
    </row>
    <row r="89" spans="13:42" x14ac:dyDescent="0.3">
      <c r="M89" s="108" t="s">
        <v>146</v>
      </c>
      <c r="N89" s="108" t="s">
        <v>147</v>
      </c>
      <c r="O89" s="108" t="s">
        <v>148</v>
      </c>
      <c r="P89" s="108" t="s">
        <v>147</v>
      </c>
      <c r="Q89" s="109" t="s">
        <v>149</v>
      </c>
      <c r="R89" s="108"/>
      <c r="Y89" s="113">
        <v>6.3311111111543141</v>
      </c>
      <c r="Z89" s="111">
        <v>66.913094752047257</v>
      </c>
      <c r="AC89" s="95">
        <f t="shared" si="18"/>
        <v>88.800008817462256</v>
      </c>
      <c r="AL89" s="95">
        <v>6.3295833332813345</v>
      </c>
      <c r="AM89" s="95" t="s">
        <v>153</v>
      </c>
      <c r="AP89" s="95" t="e">
        <f t="shared" si="19"/>
        <v>#VALUE!</v>
      </c>
    </row>
    <row r="90" spans="13:42" x14ac:dyDescent="0.3">
      <c r="M90" s="108">
        <v>0</v>
      </c>
      <c r="N90" s="108">
        <v>0</v>
      </c>
      <c r="O90" s="108"/>
      <c r="P90" s="108"/>
      <c r="R90" s="108"/>
      <c r="Y90" s="113">
        <v>7.4402777777868323</v>
      </c>
      <c r="Z90" s="110">
        <v>111.65393959680873</v>
      </c>
      <c r="AC90" s="95">
        <f t="shared" si="18"/>
        <v>99.030301129587485</v>
      </c>
      <c r="AL90" s="95">
        <v>7.4450000000651926</v>
      </c>
      <c r="AM90" s="95" t="s">
        <v>153</v>
      </c>
      <c r="AP90" s="95" t="e">
        <f t="shared" si="19"/>
        <v>#VALUE!</v>
      </c>
    </row>
    <row r="91" spans="13:42" x14ac:dyDescent="0.3">
      <c r="M91" s="95">
        <v>0.71666666673263535</v>
      </c>
      <c r="N91" s="110">
        <v>9345.9812568079378</v>
      </c>
      <c r="O91" s="110">
        <v>9.3448209999999996</v>
      </c>
      <c r="P91" s="110">
        <f>O91*1000</f>
        <v>9344.8209999999999</v>
      </c>
      <c r="Q91" s="95">
        <f t="shared" ref="Q91:Q102" si="20">+($N91+$N90)/2*($M91-$M90)</f>
        <v>3348.9766173311154</v>
      </c>
      <c r="R91" s="110"/>
      <c r="Y91" s="113">
        <v>26.019166666665114</v>
      </c>
      <c r="Z91" s="111">
        <v>14.915734638870434</v>
      </c>
      <c r="AC91" s="95">
        <f t="shared" si="18"/>
        <v>1175.7619571631017</v>
      </c>
      <c r="AL91" s="95">
        <v>26.024583333462942</v>
      </c>
      <c r="AM91" s="95" t="s">
        <v>153</v>
      </c>
      <c r="AN91" s="94"/>
      <c r="AP91" s="95" t="e">
        <f t="shared" si="19"/>
        <v>#VALUE!</v>
      </c>
    </row>
    <row r="92" spans="13:42" x14ac:dyDescent="0.3">
      <c r="M92" s="95">
        <v>1.7487500000861473</v>
      </c>
      <c r="N92" s="110">
        <v>384.73354351017957</v>
      </c>
      <c r="O92" s="110">
        <v>0.39154899999999998</v>
      </c>
      <c r="P92" s="110">
        <f t="shared" ref="P92:P102" si="21">O92*1000</f>
        <v>391.54899999999998</v>
      </c>
      <c r="Q92" s="95">
        <f t="shared" si="20"/>
        <v>5021.4542835123384</v>
      </c>
      <c r="R92" s="110"/>
      <c r="Y92" s="113">
        <v>50.994166666700039</v>
      </c>
      <c r="Z92" s="111">
        <v>24.997148821999637</v>
      </c>
      <c r="AC92" s="95">
        <f t="shared" si="18"/>
        <v>498.41213221831197</v>
      </c>
      <c r="AL92" s="95">
        <v>50.991666666814126</v>
      </c>
      <c r="AM92" s="95" t="s">
        <v>153</v>
      </c>
      <c r="AN92" s="94"/>
      <c r="AP92" s="95" t="e">
        <f t="shared" si="19"/>
        <v>#VALUE!</v>
      </c>
    </row>
    <row r="93" spans="13:42" x14ac:dyDescent="0.3">
      <c r="M93" s="95">
        <v>2.785277777700685</v>
      </c>
      <c r="N93" s="110">
        <v>72.673299660280435</v>
      </c>
      <c r="O93" s="110">
        <v>1.5907999999999999E-2</v>
      </c>
      <c r="P93" s="110">
        <f t="shared" si="21"/>
        <v>15.907999999999998</v>
      </c>
      <c r="Q93" s="95">
        <f t="shared" si="20"/>
        <v>237.05744930857912</v>
      </c>
      <c r="R93" s="110"/>
      <c r="Y93" s="113">
        <v>74.79222222219687</v>
      </c>
      <c r="Z93" s="111">
        <v>11.812761819481576</v>
      </c>
      <c r="AC93" s="95">
        <f t="shared" si="18"/>
        <v>438.00214921942188</v>
      </c>
      <c r="AL93" s="95">
        <v>74.80375000013737</v>
      </c>
      <c r="AM93" s="95" t="s">
        <v>153</v>
      </c>
      <c r="AN93" s="94"/>
      <c r="AP93" s="95" t="e">
        <f t="shared" si="19"/>
        <v>#VALUE!</v>
      </c>
    </row>
    <row r="94" spans="13:42" x14ac:dyDescent="0.3">
      <c r="M94" s="95">
        <v>3.8011111110099591</v>
      </c>
      <c r="N94" s="110">
        <v>509.5023592347469</v>
      </c>
      <c r="O94" s="110">
        <v>7.0899999999999999E-4</v>
      </c>
      <c r="P94" s="110">
        <f t="shared" si="21"/>
        <v>0.70899999999999996</v>
      </c>
      <c r="Q94" s="95">
        <f t="shared" si="20"/>
        <v>295.69672007342933</v>
      </c>
      <c r="R94" s="110"/>
      <c r="Y94" s="113">
        <v>99.034027777786832</v>
      </c>
      <c r="Z94" s="110" t="s">
        <v>153</v>
      </c>
      <c r="AC94" s="95" t="e">
        <f t="shared" si="18"/>
        <v>#VALUE!</v>
      </c>
      <c r="AL94" s="95">
        <v>99.039583333418705</v>
      </c>
      <c r="AM94" s="95" t="s">
        <v>153</v>
      </c>
      <c r="AN94" s="94"/>
      <c r="AP94" s="95" t="e">
        <f t="shared" si="19"/>
        <v>#VALUE!</v>
      </c>
    </row>
    <row r="95" spans="13:42" x14ac:dyDescent="0.3">
      <c r="M95" s="95">
        <v>4.7944444444729015</v>
      </c>
      <c r="N95" s="110">
        <v>466.29821679545199</v>
      </c>
      <c r="O95" s="110">
        <v>3.3599999999999997E-5</v>
      </c>
      <c r="P95" s="110">
        <f t="shared" si="21"/>
        <v>3.3599999999999998E-2</v>
      </c>
      <c r="Q95" s="95">
        <f t="shared" si="20"/>
        <v>484.64761949156843</v>
      </c>
      <c r="R95" s="110"/>
      <c r="Y95" s="113">
        <v>171.73388888878981</v>
      </c>
      <c r="Z95" s="110" t="s">
        <v>153</v>
      </c>
      <c r="AC95" s="95" t="e">
        <f t="shared" si="18"/>
        <v>#VALUE!</v>
      </c>
      <c r="AL95" s="95">
        <v>171.73888888891088</v>
      </c>
      <c r="AM95" s="95" t="s">
        <v>153</v>
      </c>
      <c r="AN95" s="94"/>
      <c r="AP95" s="95" t="e">
        <f t="shared" si="19"/>
        <v>#VALUE!</v>
      </c>
    </row>
    <row r="96" spans="13:42" x14ac:dyDescent="0.3">
      <c r="M96" s="95">
        <v>5.905833333323244</v>
      </c>
      <c r="N96" s="110">
        <v>394.95320021370657</v>
      </c>
      <c r="O96" s="110">
        <v>1.0699999999999999E-6</v>
      </c>
      <c r="P96" s="110">
        <f t="shared" si="21"/>
        <v>1.07E-3</v>
      </c>
      <c r="Q96" s="95">
        <f t="shared" si="20"/>
        <v>478.59262768529584</v>
      </c>
      <c r="R96" s="110"/>
      <c r="Y96" s="113"/>
      <c r="Z96" s="110"/>
      <c r="AC96" s="95"/>
      <c r="AL96" s="95"/>
      <c r="AM96" s="95"/>
      <c r="AN96" s="94"/>
      <c r="AP96" s="95"/>
    </row>
    <row r="97" spans="13:42" ht="15.6" x14ac:dyDescent="0.3">
      <c r="M97" s="95">
        <v>6.9933333332883194</v>
      </c>
      <c r="N97" s="110">
        <v>355.91686938350477</v>
      </c>
      <c r="O97" s="110">
        <v>3.8299999999999999E-8</v>
      </c>
      <c r="P97" s="110">
        <f t="shared" si="21"/>
        <v>3.8299999999999996E-5</v>
      </c>
      <c r="Q97" s="95">
        <f t="shared" si="20"/>
        <v>408.28560033037172</v>
      </c>
      <c r="R97" s="110"/>
      <c r="Z97" s="114" t="s">
        <v>119</v>
      </c>
      <c r="AA97" s="114" t="s">
        <v>120</v>
      </c>
      <c r="AL97" s="112" t="s">
        <v>152</v>
      </c>
    </row>
    <row r="98" spans="13:42" ht="15.6" x14ac:dyDescent="0.3">
      <c r="M98" s="95">
        <v>26.70638888888061</v>
      </c>
      <c r="N98" s="110">
        <v>62.338828308779661</v>
      </c>
      <c r="O98" s="110">
        <v>1.6E-34</v>
      </c>
      <c r="P98" s="110">
        <f t="shared" si="21"/>
        <v>1.6000000000000001E-31</v>
      </c>
      <c r="Q98" s="95">
        <f t="shared" si="20"/>
        <v>4122.5489025255092</v>
      </c>
      <c r="R98" s="110"/>
      <c r="Y98" s="105" t="s">
        <v>154</v>
      </c>
      <c r="Z98" s="115" t="s">
        <v>119</v>
      </c>
      <c r="AA98" s="114" t="s">
        <v>122</v>
      </c>
      <c r="AL98" s="107"/>
      <c r="AN98" s="108"/>
      <c r="AO98" s="107"/>
    </row>
    <row r="99" spans="13:42" ht="15.6" x14ac:dyDescent="0.3">
      <c r="M99" s="95">
        <v>51.480972222110722</v>
      </c>
      <c r="N99" s="110">
        <v>15.901826739756705</v>
      </c>
      <c r="O99" s="110">
        <v>1.18E-67</v>
      </c>
      <c r="P99" s="110">
        <f t="shared" si="21"/>
        <v>1.18E-64</v>
      </c>
      <c r="Q99" s="95">
        <f t="shared" si="20"/>
        <v>969.18981427323774</v>
      </c>
      <c r="R99" s="110"/>
      <c r="Y99" s="116" t="s">
        <v>155</v>
      </c>
      <c r="Z99" s="117" t="s">
        <v>119</v>
      </c>
      <c r="AA99" s="114" t="s">
        <v>124</v>
      </c>
      <c r="AL99" s="107"/>
      <c r="AM99" s="108" t="s">
        <v>143</v>
      </c>
      <c r="AN99" s="108"/>
      <c r="AO99" s="108"/>
      <c r="AP99" s="109" t="s">
        <v>145</v>
      </c>
    </row>
    <row r="100" spans="13:42" ht="15.6" x14ac:dyDescent="0.3">
      <c r="M100" s="95">
        <v>75.459166666609235</v>
      </c>
      <c r="N100" s="111">
        <v>9.9705447027254621</v>
      </c>
      <c r="O100" s="110">
        <v>9.9000000000000004E-100</v>
      </c>
      <c r="P100" s="110">
        <f t="shared" si="21"/>
        <v>9.9000000000000014E-97</v>
      </c>
      <c r="Q100" s="95">
        <f t="shared" si="20"/>
        <v>310.18637659406397</v>
      </c>
      <c r="R100" s="110"/>
      <c r="Y100" s="118"/>
      <c r="AA100" s="108" t="s">
        <v>142</v>
      </c>
      <c r="AB100" s="107"/>
      <c r="AC100" s="107"/>
      <c r="AL100" s="108" t="s">
        <v>146</v>
      </c>
      <c r="AM100" s="108" t="s">
        <v>147</v>
      </c>
      <c r="AN100" s="108"/>
      <c r="AO100" s="108"/>
      <c r="AP100" s="109" t="s">
        <v>149</v>
      </c>
    </row>
    <row r="101" spans="13:42" x14ac:dyDescent="0.3">
      <c r="M101" s="95">
        <v>99.445416666625533</v>
      </c>
      <c r="N101" s="110">
        <v>20.82330206977764</v>
      </c>
      <c r="O101" s="110">
        <v>7.9999999999999999E-132</v>
      </c>
      <c r="P101" s="110">
        <f t="shared" si="21"/>
        <v>7.9999999999999994E-129</v>
      </c>
      <c r="Q101" s="95">
        <f t="shared" si="20"/>
        <v>369.31445357372718</v>
      </c>
      <c r="R101" s="110"/>
      <c r="Y101" s="107"/>
      <c r="Z101" s="108" t="s">
        <v>143</v>
      </c>
      <c r="AA101" s="108" t="s">
        <v>144</v>
      </c>
      <c r="AB101" s="108"/>
      <c r="AC101" s="109" t="s">
        <v>145</v>
      </c>
      <c r="AL101" s="86">
        <v>0</v>
      </c>
      <c r="AM101" s="86">
        <v>0</v>
      </c>
    </row>
    <row r="102" spans="13:42" x14ac:dyDescent="0.3">
      <c r="M102" s="95">
        <v>171.49166666652309</v>
      </c>
      <c r="N102" s="111">
        <v>7.5014233647853157</v>
      </c>
      <c r="O102" s="110">
        <v>3.4999999999999997E-228</v>
      </c>
      <c r="P102" s="110">
        <f t="shared" si="21"/>
        <v>3.4999999999999997E-225</v>
      </c>
      <c r="Q102" s="95">
        <f t="shared" si="20"/>
        <v>1020.3451249184899</v>
      </c>
      <c r="R102" s="110"/>
      <c r="Y102" s="108" t="s">
        <v>146</v>
      </c>
      <c r="Z102" s="108" t="s">
        <v>147</v>
      </c>
      <c r="AA102" s="108" t="s">
        <v>148</v>
      </c>
      <c r="AB102" s="108" t="s">
        <v>147</v>
      </c>
      <c r="AC102" s="109" t="s">
        <v>149</v>
      </c>
      <c r="AL102" s="95">
        <v>0.82222222234122455</v>
      </c>
      <c r="AM102" s="86" t="s">
        <v>153</v>
      </c>
      <c r="AP102" s="95" t="e">
        <f>+($AM102+$AM101)/2*($AL102-$AL101)</f>
        <v>#VALUE!</v>
      </c>
    </row>
    <row r="103" spans="13:42" x14ac:dyDescent="0.3">
      <c r="Y103" s="119">
        <v>0</v>
      </c>
      <c r="Z103" s="120">
        <v>1859.723518708427</v>
      </c>
      <c r="AA103" s="108"/>
      <c r="AB103" s="108"/>
      <c r="AC103" s="109"/>
      <c r="AL103" s="95">
        <v>1.8191666667116806</v>
      </c>
      <c r="AM103" s="86" t="s">
        <v>153</v>
      </c>
      <c r="AP103" s="95" t="e">
        <f t="shared" ref="AP103:AP113" si="22">+($AM103+$AM102)/2*($AL103-$AL102)</f>
        <v>#VALUE!</v>
      </c>
    </row>
    <row r="104" spans="13:42" x14ac:dyDescent="0.3">
      <c r="Y104" s="119">
        <v>0.31402777775656432</v>
      </c>
      <c r="Z104" s="121">
        <v>1922.3439906323993</v>
      </c>
      <c r="AA104" s="108"/>
      <c r="AB104" s="108"/>
      <c r="AC104" s="95">
        <f t="shared" ref="AC104:AC114" si="23">+($Z104+$Z103)/2*($Y104-$Y103)</f>
        <v>593.83712764180189</v>
      </c>
      <c r="AL104" s="95">
        <v>3.0547222224413417</v>
      </c>
      <c r="AM104" s="86" t="s">
        <v>153</v>
      </c>
      <c r="AP104" s="95" t="e">
        <f t="shared" si="22"/>
        <v>#VALUE!</v>
      </c>
    </row>
    <row r="105" spans="13:42" ht="15.6" x14ac:dyDescent="0.3">
      <c r="M105" s="130" t="s">
        <v>167</v>
      </c>
      <c r="Y105" s="119">
        <v>1.3222222222248092</v>
      </c>
      <c r="Z105" s="121">
        <v>1395.5834024695855</v>
      </c>
      <c r="AA105" s="108"/>
      <c r="AB105" s="108"/>
      <c r="AC105" s="95">
        <f t="shared" si="23"/>
        <v>1672.5579824372137</v>
      </c>
      <c r="AL105" s="95">
        <v>4.2004166667466052</v>
      </c>
      <c r="AM105" s="95">
        <v>91.325227777685242</v>
      </c>
      <c r="AP105" s="95" t="e">
        <f t="shared" si="22"/>
        <v>#VALUE!</v>
      </c>
    </row>
    <row r="106" spans="13:42" x14ac:dyDescent="0.3">
      <c r="M106" s="107"/>
      <c r="O106" s="108" t="s">
        <v>142</v>
      </c>
      <c r="P106" s="107"/>
      <c r="Y106" s="119">
        <v>2.4509722223156132</v>
      </c>
      <c r="Z106" s="121">
        <v>1300.9228664413374</v>
      </c>
      <c r="AA106" s="108"/>
      <c r="AB106" s="108"/>
      <c r="AC106" s="95">
        <f t="shared" si="23"/>
        <v>1521.8407256390287</v>
      </c>
      <c r="AL106" s="95">
        <v>5.1883333334117197</v>
      </c>
      <c r="AM106" s="95">
        <v>71.178447047955558</v>
      </c>
      <c r="AP106" s="95">
        <f t="shared" si="22"/>
        <v>80.270044377289381</v>
      </c>
    </row>
    <row r="107" spans="13:42" x14ac:dyDescent="0.3">
      <c r="M107" s="107"/>
      <c r="N107" s="108" t="s">
        <v>143</v>
      </c>
      <c r="O107" s="108" t="s">
        <v>144</v>
      </c>
      <c r="P107" s="108"/>
      <c r="Q107" s="109" t="s">
        <v>145</v>
      </c>
      <c r="R107" s="108"/>
      <c r="Y107" s="119">
        <v>4.7030555555247702</v>
      </c>
      <c r="Z107" s="119">
        <v>0</v>
      </c>
      <c r="AA107" s="108"/>
      <c r="AB107" s="108"/>
      <c r="AC107" s="95">
        <f t="shared" si="23"/>
        <v>1464.8933526516091</v>
      </c>
      <c r="AL107" s="95">
        <v>6.3295833332813345</v>
      </c>
      <c r="AM107" s="95">
        <v>101.65776727332748</v>
      </c>
      <c r="AP107" s="95">
        <f t="shared" si="22"/>
        <v>98.624664785814488</v>
      </c>
    </row>
    <row r="108" spans="13:42" x14ac:dyDescent="0.3">
      <c r="M108" s="108" t="s">
        <v>146</v>
      </c>
      <c r="N108" s="108" t="s">
        <v>147</v>
      </c>
      <c r="O108" s="108" t="s">
        <v>148</v>
      </c>
      <c r="P108" s="108" t="s">
        <v>147</v>
      </c>
      <c r="Q108" s="109" t="s">
        <v>149</v>
      </c>
      <c r="R108" s="108"/>
      <c r="Y108" s="119">
        <v>5.7769444443401881</v>
      </c>
      <c r="Z108" s="119">
        <v>0</v>
      </c>
      <c r="AA108" s="108"/>
      <c r="AB108" s="108"/>
      <c r="AC108" s="95">
        <f t="shared" si="23"/>
        <v>0</v>
      </c>
      <c r="AL108" s="95">
        <v>7.4450000000651926</v>
      </c>
      <c r="AM108" s="95">
        <v>256.64455223911079</v>
      </c>
      <c r="AP108" s="95">
        <f t="shared" si="22"/>
        <v>199.8281894657444</v>
      </c>
    </row>
    <row r="109" spans="13:42" x14ac:dyDescent="0.3">
      <c r="M109" s="108">
        <v>0</v>
      </c>
      <c r="N109" s="108">
        <v>0</v>
      </c>
      <c r="O109" s="108"/>
      <c r="P109" s="108"/>
      <c r="R109" s="108"/>
      <c r="Y109" s="119">
        <v>6.9502777777961455</v>
      </c>
      <c r="Z109" s="119">
        <v>0</v>
      </c>
      <c r="AA109" s="108"/>
      <c r="AB109" s="108"/>
      <c r="AC109" s="95">
        <f t="shared" si="23"/>
        <v>0</v>
      </c>
      <c r="AL109" s="95">
        <v>26.024583333462942</v>
      </c>
      <c r="AM109" s="111">
        <v>23.296653519258097</v>
      </c>
      <c r="AP109" s="95">
        <f t="shared" si="22"/>
        <v>2600.5954804197304</v>
      </c>
    </row>
    <row r="110" spans="13:42" x14ac:dyDescent="0.3">
      <c r="M110" s="95">
        <v>0.71666666655801237</v>
      </c>
      <c r="N110" s="95">
        <v>86917.650889250857</v>
      </c>
      <c r="O110" s="110">
        <v>109.77549999999999</v>
      </c>
      <c r="P110" s="110">
        <f t="shared" ref="P110:P121" si="24">O110*1000</f>
        <v>109775.5</v>
      </c>
      <c r="Q110" s="95">
        <f t="shared" ref="Q110:Q121" si="25">+($N110+$N109)/2*($M110-$M109)</f>
        <v>31145.491563926236</v>
      </c>
      <c r="R110" s="110"/>
      <c r="Y110" s="119">
        <v>24.107777777651791</v>
      </c>
      <c r="Z110" s="119">
        <v>0</v>
      </c>
      <c r="AA110" s="108"/>
      <c r="AB110" s="108"/>
      <c r="AC110" s="95">
        <f t="shared" si="23"/>
        <v>0</v>
      </c>
      <c r="AL110" s="95">
        <v>50.991666666814126</v>
      </c>
      <c r="AM110" s="95" t="s">
        <v>153</v>
      </c>
      <c r="AP110" s="95" t="e">
        <f t="shared" si="22"/>
        <v>#VALUE!</v>
      </c>
    </row>
    <row r="111" spans="13:42" x14ac:dyDescent="0.3">
      <c r="M111" s="95">
        <v>1.7562499999185093</v>
      </c>
      <c r="N111" s="95">
        <v>108578.56430591333</v>
      </c>
      <c r="O111" s="110">
        <v>106.0701</v>
      </c>
      <c r="P111" s="110">
        <f t="shared" si="24"/>
        <v>106070.09999999999</v>
      </c>
      <c r="Q111" s="95">
        <f t="shared" si="25"/>
        <v>101617.30352597492</v>
      </c>
      <c r="R111" s="110"/>
      <c r="Y111" s="119">
        <v>48.246666666702367</v>
      </c>
      <c r="Z111" s="119">
        <v>0</v>
      </c>
      <c r="AA111" s="108"/>
      <c r="AB111" s="108"/>
      <c r="AC111" s="95">
        <f t="shared" si="23"/>
        <v>0</v>
      </c>
      <c r="AL111" s="95">
        <v>74.80375000013737</v>
      </c>
      <c r="AM111" s="111">
        <v>15.521196101318889</v>
      </c>
      <c r="AP111" s="95" t="e">
        <f t="shared" si="22"/>
        <v>#VALUE!</v>
      </c>
    </row>
    <row r="112" spans="13:42" x14ac:dyDescent="0.3">
      <c r="M112" s="95">
        <v>2.751388888747897</v>
      </c>
      <c r="N112" s="95">
        <v>96935.360970346475</v>
      </c>
      <c r="O112" s="110">
        <v>102.4555</v>
      </c>
      <c r="P112" s="110">
        <f t="shared" si="24"/>
        <v>102455.5</v>
      </c>
      <c r="Q112" s="95">
        <f t="shared" si="25"/>
        <v>102257.4496191915</v>
      </c>
      <c r="R112" s="110"/>
      <c r="Y112" s="119">
        <v>72.191388888924848</v>
      </c>
      <c r="Z112" s="119">
        <v>0</v>
      </c>
      <c r="AA112" s="108"/>
      <c r="AB112" s="108"/>
      <c r="AC112" s="95">
        <f t="shared" si="23"/>
        <v>0</v>
      </c>
      <c r="AL112" s="95">
        <v>99.039583333418705</v>
      </c>
      <c r="AM112" s="95" t="s">
        <v>153</v>
      </c>
      <c r="AP112" s="95" t="e">
        <f t="shared" si="22"/>
        <v>#VALUE!</v>
      </c>
    </row>
    <row r="113" spans="13:42" x14ac:dyDescent="0.3">
      <c r="M113" s="95">
        <v>3.8333333332557231</v>
      </c>
      <c r="N113" s="95">
        <v>104447.76306194544</v>
      </c>
      <c r="O113" s="110">
        <v>99.06317</v>
      </c>
      <c r="P113" s="110">
        <f t="shared" si="24"/>
        <v>99063.17</v>
      </c>
      <c r="Q113" s="95">
        <f t="shared" si="25"/>
        <v>108942.67613218437</v>
      </c>
      <c r="R113" s="110"/>
      <c r="Y113" s="119">
        <v>96.344722222303972</v>
      </c>
      <c r="Z113" s="119">
        <v>0</v>
      </c>
      <c r="AA113" s="108"/>
      <c r="AB113" s="108"/>
      <c r="AC113" s="95">
        <f t="shared" si="23"/>
        <v>0</v>
      </c>
      <c r="AL113" s="95">
        <v>171.73888888891088</v>
      </c>
      <c r="AM113" s="95" t="s">
        <v>153</v>
      </c>
      <c r="AP113" s="95" t="e">
        <f t="shared" si="22"/>
        <v>#VALUE!</v>
      </c>
    </row>
    <row r="114" spans="13:42" x14ac:dyDescent="0.3">
      <c r="M114" s="95">
        <v>4.9999999998835847</v>
      </c>
      <c r="N114" s="95">
        <v>112333.72422988748</v>
      </c>
      <c r="O114" s="110">
        <v>95.847030000000004</v>
      </c>
      <c r="P114" s="110">
        <f t="shared" si="24"/>
        <v>95847.03</v>
      </c>
      <c r="Q114" s="95">
        <f t="shared" si="25"/>
        <v>126455.86758269642</v>
      </c>
      <c r="R114" s="110"/>
      <c r="Y114" s="119">
        <v>168.29944444441935</v>
      </c>
      <c r="Z114" s="119">
        <v>0</v>
      </c>
      <c r="AA114" s="108"/>
      <c r="AB114" s="108"/>
      <c r="AC114" s="95">
        <f t="shared" si="23"/>
        <v>0</v>
      </c>
      <c r="AL114" s="95"/>
      <c r="AM114" s="95"/>
      <c r="AP114" s="95"/>
    </row>
    <row r="115" spans="13:42" x14ac:dyDescent="0.3">
      <c r="M115" s="95">
        <v>6.1666666665114462</v>
      </c>
      <c r="N115" s="95">
        <v>110947.67121206596</v>
      </c>
      <c r="O115" s="110">
        <v>92.334270000000004</v>
      </c>
      <c r="P115" s="110">
        <f t="shared" si="24"/>
        <v>92334.27</v>
      </c>
      <c r="Q115" s="95">
        <f t="shared" si="25"/>
        <v>130247.48067014061</v>
      </c>
      <c r="R115" s="110"/>
      <c r="Y115" s="108"/>
      <c r="Z115" s="108"/>
      <c r="AA115" s="108"/>
      <c r="AB115" s="108"/>
      <c r="AC115" s="95"/>
      <c r="AM115" s="114"/>
      <c r="AN115" s="114"/>
    </row>
    <row r="116" spans="13:42" ht="15.6" x14ac:dyDescent="0.3">
      <c r="M116" s="95">
        <v>7.3333333331393078</v>
      </c>
      <c r="N116" s="95">
        <v>107368.3952612586</v>
      </c>
      <c r="O116" s="110">
        <v>89.068950000000001</v>
      </c>
      <c r="P116" s="110">
        <f t="shared" si="24"/>
        <v>89068.95</v>
      </c>
      <c r="Q116" s="95">
        <f t="shared" si="25"/>
        <v>127351.03877187009</v>
      </c>
      <c r="R116" s="110"/>
      <c r="Y116" s="116" t="s">
        <v>156</v>
      </c>
      <c r="AL116" s="105" t="s">
        <v>154</v>
      </c>
      <c r="AM116" s="115"/>
      <c r="AN116" s="114"/>
    </row>
    <row r="117" spans="13:42" ht="15.6" x14ac:dyDescent="0.3">
      <c r="M117" s="95">
        <v>25.666666666511446</v>
      </c>
      <c r="N117" s="95">
        <v>29040.107179569779</v>
      </c>
      <c r="O117" s="110">
        <v>46.154440000000001</v>
      </c>
      <c r="P117" s="110">
        <f t="shared" si="24"/>
        <v>46154.44</v>
      </c>
      <c r="Q117" s="95">
        <f t="shared" si="25"/>
        <v>1250411.2723769066</v>
      </c>
      <c r="R117" s="110"/>
      <c r="Y117" s="118"/>
      <c r="AA117" s="108" t="s">
        <v>142</v>
      </c>
      <c r="AB117" s="107"/>
      <c r="AC117" s="107"/>
      <c r="AL117" s="116" t="s">
        <v>150</v>
      </c>
      <c r="AM117" s="117"/>
      <c r="AN117" s="114"/>
      <c r="AO117" s="107"/>
    </row>
    <row r="118" spans="13:42" ht="15.6" x14ac:dyDescent="0.3">
      <c r="M118" s="95">
        <v>49.68333333323244</v>
      </c>
      <c r="N118" s="95">
        <v>5976.7825751338132</v>
      </c>
      <c r="O118" s="110">
        <v>20.21087</v>
      </c>
      <c r="P118" s="110">
        <f t="shared" si="24"/>
        <v>20210.87</v>
      </c>
      <c r="Q118" s="95">
        <f t="shared" si="25"/>
        <v>420494.4844720168</v>
      </c>
      <c r="R118" s="110"/>
      <c r="Y118" s="107"/>
      <c r="Z118" s="108" t="s">
        <v>143</v>
      </c>
      <c r="AA118" s="108" t="s">
        <v>144</v>
      </c>
      <c r="AB118" s="108"/>
      <c r="AC118" s="109" t="s">
        <v>145</v>
      </c>
      <c r="AL118" s="118"/>
      <c r="AN118" s="108" t="s">
        <v>142</v>
      </c>
      <c r="AO118" s="107"/>
    </row>
    <row r="119" spans="13:42" x14ac:dyDescent="0.3">
      <c r="M119" s="95">
        <v>75.549999999871943</v>
      </c>
      <c r="N119" s="95">
        <v>4342.2625628269916</v>
      </c>
      <c r="O119" s="110">
        <v>9.0864510000000003</v>
      </c>
      <c r="P119" s="110">
        <f t="shared" si="24"/>
        <v>9086.4510000000009</v>
      </c>
      <c r="Q119" s="95">
        <f t="shared" si="25"/>
        <v>133459.65045081961</v>
      </c>
      <c r="R119" s="110"/>
      <c r="Y119" s="108" t="s">
        <v>146</v>
      </c>
      <c r="Z119" s="108" t="s">
        <v>147</v>
      </c>
      <c r="AA119" s="108" t="s">
        <v>148</v>
      </c>
      <c r="AB119" s="108" t="s">
        <v>147</v>
      </c>
      <c r="AC119" s="109" t="s">
        <v>149</v>
      </c>
      <c r="AL119" s="107"/>
      <c r="AM119" s="108" t="s">
        <v>143</v>
      </c>
      <c r="AN119" s="108" t="s">
        <v>144</v>
      </c>
      <c r="AO119" s="108"/>
      <c r="AP119" s="109" t="s">
        <v>145</v>
      </c>
    </row>
    <row r="120" spans="13:42" x14ac:dyDescent="0.3">
      <c r="M120" s="95">
        <v>99.166666666511446</v>
      </c>
      <c r="N120" s="95">
        <v>5386.4033639166237</v>
      </c>
      <c r="O120" s="110">
        <v>4.0837469999999998</v>
      </c>
      <c r="P120" s="110">
        <f t="shared" si="24"/>
        <v>4083.7469999999998</v>
      </c>
      <c r="Q120" s="95">
        <f t="shared" si="25"/>
        <v>114879.33015149873</v>
      </c>
      <c r="R120" s="110"/>
      <c r="Y120" s="108">
        <v>0</v>
      </c>
      <c r="Z120" s="119">
        <v>172.47954719165691</v>
      </c>
      <c r="AA120" s="108"/>
      <c r="AB120" s="108"/>
      <c r="AC120" s="109"/>
      <c r="AL120" s="108" t="s">
        <v>146</v>
      </c>
      <c r="AM120" s="108" t="s">
        <v>147</v>
      </c>
      <c r="AN120" s="108" t="s">
        <v>148</v>
      </c>
      <c r="AO120" s="108" t="s">
        <v>147</v>
      </c>
      <c r="AP120" s="109" t="s">
        <v>149</v>
      </c>
    </row>
    <row r="121" spans="13:42" x14ac:dyDescent="0.3">
      <c r="M121" s="95">
        <v>172.19999999989523</v>
      </c>
      <c r="N121" s="95">
        <v>2492.0364226508054</v>
      </c>
      <c r="O121" s="110">
        <v>0.36986200000000002</v>
      </c>
      <c r="P121" s="110">
        <f t="shared" si="24"/>
        <v>369.86200000000002</v>
      </c>
      <c r="Q121" s="95">
        <f t="shared" si="25"/>
        <v>287694.359539686</v>
      </c>
      <c r="R121" s="110"/>
      <c r="Y121" s="119">
        <v>0.31402777775656432</v>
      </c>
      <c r="Z121" s="119">
        <v>6334440.1928865463</v>
      </c>
      <c r="AA121" s="108"/>
      <c r="AB121" s="108"/>
      <c r="AC121" s="95">
        <f t="shared" ref="AC121:AC132" si="26">+($Z121+$Z120)/2*($Y121-$Y120)</f>
        <v>994622.1702364689</v>
      </c>
      <c r="AL121" s="119">
        <v>0</v>
      </c>
      <c r="AM121" s="121">
        <v>3695.9591140012749</v>
      </c>
      <c r="AP121" s="95"/>
    </row>
    <row r="122" spans="13:42" x14ac:dyDescent="0.3">
      <c r="Y122" s="119">
        <v>1.3222222222248092</v>
      </c>
      <c r="Z122" s="122">
        <v>1120801.8941554781</v>
      </c>
      <c r="AA122" s="108"/>
      <c r="AB122" s="108"/>
      <c r="AC122" s="95">
        <f t="shared" si="26"/>
        <v>3758166.8271608064</v>
      </c>
      <c r="AL122" s="95">
        <v>0.31513888895278797</v>
      </c>
      <c r="AM122" s="95">
        <v>11981.983401778709</v>
      </c>
      <c r="AP122" s="95">
        <f t="shared" ref="AP122:AP132" si="27">+($AM122+$AM121)/2*($AL122-$AL121)</f>
        <v>2470.3646927442906</v>
      </c>
    </row>
    <row r="123" spans="13:42" ht="15.6" x14ac:dyDescent="0.3">
      <c r="M123" s="130" t="s">
        <v>168</v>
      </c>
      <c r="Y123" s="119">
        <v>2.4509722223156132</v>
      </c>
      <c r="Z123" s="122">
        <v>391667.00025664247</v>
      </c>
      <c r="AA123" s="108"/>
      <c r="AB123" s="108"/>
      <c r="AC123" s="95">
        <f t="shared" si="26"/>
        <v>853599.63235250965</v>
      </c>
      <c r="AL123" s="95">
        <v>1.3175000001210719</v>
      </c>
      <c r="AM123" s="95">
        <v>7677.3961845191334</v>
      </c>
      <c r="AP123" s="95">
        <f t="shared" si="27"/>
        <v>9852.8987835002936</v>
      </c>
    </row>
    <row r="124" spans="13:42" x14ac:dyDescent="0.3">
      <c r="M124" s="107"/>
      <c r="O124" s="108" t="s">
        <v>142</v>
      </c>
      <c r="P124" s="107"/>
      <c r="Y124" s="119">
        <v>3.6791666665230878</v>
      </c>
      <c r="Z124" s="122">
        <v>0</v>
      </c>
      <c r="AA124" s="108"/>
      <c r="AB124" s="108"/>
      <c r="AC124" s="95">
        <f t="shared" si="26"/>
        <v>240521.61684730789</v>
      </c>
      <c r="AL124" s="95">
        <v>2.5129166667466052</v>
      </c>
      <c r="AM124" s="95">
        <v>4954.345789412323</v>
      </c>
      <c r="AP124" s="95">
        <f t="shared" si="27"/>
        <v>7550.0974420754883</v>
      </c>
    </row>
    <row r="125" spans="13:42" x14ac:dyDescent="0.3">
      <c r="M125" s="107"/>
      <c r="N125" s="108" t="s">
        <v>143</v>
      </c>
      <c r="O125" s="108" t="s">
        <v>144</v>
      </c>
      <c r="P125" s="108"/>
      <c r="Q125" s="109" t="s">
        <v>145</v>
      </c>
      <c r="Y125" s="119">
        <v>4.7030555555247702</v>
      </c>
      <c r="Z125" s="122">
        <v>96380.620270765517</v>
      </c>
      <c r="AA125" s="108"/>
      <c r="AB125" s="108"/>
      <c r="AC125" s="95">
        <f t="shared" si="26"/>
        <v>49341.523105163571</v>
      </c>
      <c r="AL125" s="92">
        <v>3.6902777777868323</v>
      </c>
      <c r="AM125" s="141">
        <v>2607.2455287694788</v>
      </c>
      <c r="AP125" s="95">
        <f t="shared" si="27"/>
        <v>4451.3617778033304</v>
      </c>
    </row>
    <row r="126" spans="13:42" x14ac:dyDescent="0.3">
      <c r="M126" s="108" t="s">
        <v>146</v>
      </c>
      <c r="N126" s="108" t="s">
        <v>147</v>
      </c>
      <c r="O126" s="108" t="s">
        <v>148</v>
      </c>
      <c r="P126" s="108" t="s">
        <v>147</v>
      </c>
      <c r="Q126" s="109" t="s">
        <v>149</v>
      </c>
      <c r="Y126" s="119">
        <v>5.7769444443401881</v>
      </c>
      <c r="Z126" s="119">
        <v>0</v>
      </c>
      <c r="AA126" s="108"/>
      <c r="AB126" s="108"/>
      <c r="AC126" s="95">
        <f t="shared" si="26"/>
        <v>51751.038602956563</v>
      </c>
      <c r="AL126" s="119">
        <v>4.7041666667209938</v>
      </c>
      <c r="AM126" s="121">
        <v>2292.061500658619</v>
      </c>
      <c r="AP126" s="95">
        <f t="shared" si="27"/>
        <v>2483.6764803070905</v>
      </c>
    </row>
    <row r="127" spans="13:42" x14ac:dyDescent="0.3">
      <c r="M127" s="108">
        <v>0</v>
      </c>
      <c r="N127" s="108">
        <v>0</v>
      </c>
      <c r="O127" s="108"/>
      <c r="P127" s="108"/>
      <c r="Y127" s="119">
        <v>6.9502777777961455</v>
      </c>
      <c r="Z127" s="119">
        <v>0</v>
      </c>
      <c r="AA127" s="108"/>
      <c r="AB127" s="108"/>
      <c r="AC127" s="95">
        <f t="shared" si="26"/>
        <v>0</v>
      </c>
      <c r="AL127" s="119">
        <v>5.784444444521796</v>
      </c>
      <c r="AM127" s="121">
        <v>1639.6176452000677</v>
      </c>
      <c r="AP127" s="95">
        <f t="shared" si="27"/>
        <v>2123.6528053569891</v>
      </c>
    </row>
    <row r="128" spans="13:42" x14ac:dyDescent="0.3">
      <c r="M128" s="95">
        <v>0.71666666655801237</v>
      </c>
      <c r="N128" s="95">
        <v>0</v>
      </c>
      <c r="O128" s="110"/>
      <c r="P128" s="110"/>
      <c r="Q128" s="95">
        <f t="shared" ref="Q128:Q139" si="28">+($N128+$N127)/2*($M128-$M127)</f>
        <v>0</v>
      </c>
      <c r="Y128" s="119">
        <v>24.107777777651791</v>
      </c>
      <c r="Z128" s="119">
        <v>0</v>
      </c>
      <c r="AA128" s="108"/>
      <c r="AB128" s="108"/>
      <c r="AC128" s="95">
        <f t="shared" si="26"/>
        <v>0</v>
      </c>
      <c r="AL128" s="95">
        <v>24.102500000211876</v>
      </c>
      <c r="AM128" s="95">
        <v>0</v>
      </c>
      <c r="AP128" s="95">
        <f t="shared" si="27"/>
        <v>15017.303557432293</v>
      </c>
    </row>
    <row r="129" spans="13:42" x14ac:dyDescent="0.3">
      <c r="M129" s="95">
        <v>1.7562499999185093</v>
      </c>
      <c r="N129" s="95">
        <v>275.91289557032758</v>
      </c>
      <c r="O129" s="110"/>
      <c r="P129" s="110"/>
      <c r="Q129" s="95">
        <f t="shared" si="28"/>
        <v>143.4172238470739</v>
      </c>
      <c r="Y129" s="119">
        <v>48.246666666702367</v>
      </c>
      <c r="Z129" s="119">
        <v>0</v>
      </c>
      <c r="AA129" s="108"/>
      <c r="AB129" s="108"/>
      <c r="AC129" s="95">
        <f t="shared" si="26"/>
        <v>0</v>
      </c>
      <c r="AL129" s="95">
        <v>72.18902777787298</v>
      </c>
      <c r="AM129" s="131">
        <v>1307.0843655754472</v>
      </c>
      <c r="AP129" s="95">
        <f t="shared" si="27"/>
        <v>31426.574326495142</v>
      </c>
    </row>
    <row r="130" spans="13:42" x14ac:dyDescent="0.3">
      <c r="M130" s="95">
        <v>2.751388888747897</v>
      </c>
      <c r="N130" s="95">
        <v>104.67647649672588</v>
      </c>
      <c r="O130" s="110"/>
      <c r="P130" s="110"/>
      <c r="Q130" s="95">
        <f t="shared" si="28"/>
        <v>189.36964240954097</v>
      </c>
      <c r="Y130" s="119">
        <v>72.191388888924848</v>
      </c>
      <c r="Z130" s="119">
        <v>0</v>
      </c>
      <c r="AA130" s="108"/>
      <c r="AB130" s="108"/>
      <c r="AC130" s="95">
        <f t="shared" si="26"/>
        <v>0</v>
      </c>
      <c r="AL130" s="95">
        <v>96.397222222352866</v>
      </c>
      <c r="AM130" s="95">
        <v>0</v>
      </c>
      <c r="AP130" s="95">
        <f t="shared" si="27"/>
        <v>15821.076238595029</v>
      </c>
    </row>
    <row r="131" spans="13:42" x14ac:dyDescent="0.3">
      <c r="M131" s="95">
        <v>3.8333333332557231</v>
      </c>
      <c r="N131" s="131">
        <v>55.46625984137269</v>
      </c>
      <c r="O131" s="110"/>
      <c r="P131" s="110"/>
      <c r="Q131" s="95">
        <f t="shared" si="28"/>
        <v>86.632771954643673</v>
      </c>
      <c r="Y131" s="119">
        <v>96.344722222303972</v>
      </c>
      <c r="Z131" s="119">
        <v>0</v>
      </c>
      <c r="AA131" s="108"/>
      <c r="AB131" s="108"/>
      <c r="AC131" s="95">
        <f t="shared" si="26"/>
        <v>0</v>
      </c>
      <c r="AL131" s="95">
        <v>168.29472222231561</v>
      </c>
      <c r="AM131" s="95">
        <v>0</v>
      </c>
      <c r="AP131" s="95">
        <f t="shared" si="27"/>
        <v>0</v>
      </c>
    </row>
    <row r="132" spans="13:42" x14ac:dyDescent="0.3">
      <c r="M132" s="95">
        <v>4.9999999998835847</v>
      </c>
      <c r="N132" s="95" t="s">
        <v>153</v>
      </c>
      <c r="O132" s="110"/>
      <c r="P132" s="110"/>
      <c r="Q132" s="95" t="e">
        <f t="shared" si="28"/>
        <v>#VALUE!</v>
      </c>
      <c r="Y132" s="119">
        <v>168.29944444441935</v>
      </c>
      <c r="Z132" s="119">
        <v>0</v>
      </c>
      <c r="AA132" s="108"/>
      <c r="AB132" s="108"/>
      <c r="AC132" s="95">
        <f t="shared" si="26"/>
        <v>0</v>
      </c>
      <c r="AP132" s="95">
        <f t="shared" si="27"/>
        <v>0</v>
      </c>
    </row>
    <row r="133" spans="13:42" ht="15.6" x14ac:dyDescent="0.3">
      <c r="M133" s="95">
        <v>6.1666666665114462</v>
      </c>
      <c r="N133" s="95" t="s">
        <v>153</v>
      </c>
      <c r="O133" s="110"/>
      <c r="P133" s="110"/>
      <c r="Q133" s="95" t="e">
        <f t="shared" si="28"/>
        <v>#VALUE!</v>
      </c>
      <c r="AL133" s="116" t="s">
        <v>156</v>
      </c>
      <c r="AO133" s="107"/>
      <c r="AP133" s="95"/>
    </row>
    <row r="134" spans="13:42" ht="15.6" x14ac:dyDescent="0.3">
      <c r="M134" s="95">
        <v>7.3333333331393078</v>
      </c>
      <c r="N134" s="95" t="s">
        <v>153</v>
      </c>
      <c r="O134" s="110"/>
      <c r="P134" s="110"/>
      <c r="Q134" s="95" t="e">
        <f t="shared" si="28"/>
        <v>#VALUE!</v>
      </c>
      <c r="Y134" s="116" t="s">
        <v>157</v>
      </c>
      <c r="AL134" s="118"/>
      <c r="AN134" s="108" t="s">
        <v>142</v>
      </c>
      <c r="AO134" s="107"/>
    </row>
    <row r="135" spans="13:42" ht="15.6" x14ac:dyDescent="0.3">
      <c r="M135" s="95">
        <v>25.666666666511446</v>
      </c>
      <c r="N135" s="95" t="s">
        <v>153</v>
      </c>
      <c r="O135" s="110"/>
      <c r="P135" s="110"/>
      <c r="Q135" s="95" t="e">
        <f t="shared" si="28"/>
        <v>#VALUE!</v>
      </c>
      <c r="Y135" s="118"/>
      <c r="AA135" s="108" t="s">
        <v>142</v>
      </c>
      <c r="AB135" s="107"/>
      <c r="AC135" s="107"/>
      <c r="AL135" s="107"/>
      <c r="AM135" s="108" t="s">
        <v>143</v>
      </c>
      <c r="AN135" s="108" t="s">
        <v>144</v>
      </c>
      <c r="AO135" s="108"/>
      <c r="AP135" s="109" t="s">
        <v>145</v>
      </c>
    </row>
    <row r="136" spans="13:42" x14ac:dyDescent="0.3">
      <c r="M136" s="95">
        <v>49.68333333323244</v>
      </c>
      <c r="N136" s="95" t="s">
        <v>153</v>
      </c>
      <c r="O136" s="110"/>
      <c r="P136" s="110"/>
      <c r="Q136" s="95" t="e">
        <f t="shared" si="28"/>
        <v>#VALUE!</v>
      </c>
      <c r="Y136" s="107"/>
      <c r="Z136" s="108" t="s">
        <v>143</v>
      </c>
      <c r="AA136" s="108" t="s">
        <v>144</v>
      </c>
      <c r="AB136" s="108"/>
      <c r="AC136" s="109" t="s">
        <v>145</v>
      </c>
      <c r="AL136" s="108" t="s">
        <v>146</v>
      </c>
      <c r="AM136" s="108" t="s">
        <v>147</v>
      </c>
      <c r="AN136" s="108" t="s">
        <v>148</v>
      </c>
      <c r="AO136" s="108" t="s">
        <v>147</v>
      </c>
      <c r="AP136" s="109" t="s">
        <v>149</v>
      </c>
    </row>
    <row r="137" spans="13:42" x14ac:dyDescent="0.3">
      <c r="M137" s="95">
        <v>75.549999999871943</v>
      </c>
      <c r="N137" s="95" t="s">
        <v>153</v>
      </c>
      <c r="O137" s="110"/>
      <c r="P137" s="110"/>
      <c r="Q137" s="95" t="e">
        <f t="shared" si="28"/>
        <v>#VALUE!</v>
      </c>
      <c r="Y137" s="108" t="s">
        <v>146</v>
      </c>
      <c r="Z137" s="108" t="s">
        <v>147</v>
      </c>
      <c r="AA137" s="108" t="s">
        <v>148</v>
      </c>
      <c r="AB137" s="108" t="s">
        <v>147</v>
      </c>
      <c r="AC137" s="109" t="s">
        <v>149</v>
      </c>
      <c r="AL137" s="119">
        <v>0</v>
      </c>
      <c r="AM137" s="131">
        <v>35578.912386873744</v>
      </c>
      <c r="AP137" s="95"/>
    </row>
    <row r="138" spans="13:42" x14ac:dyDescent="0.3">
      <c r="M138" s="95">
        <v>99.166666666511446</v>
      </c>
      <c r="N138" s="95" t="s">
        <v>153</v>
      </c>
      <c r="O138" s="110"/>
      <c r="P138" s="110"/>
      <c r="Q138" s="95" t="e">
        <f t="shared" si="28"/>
        <v>#VALUE!</v>
      </c>
      <c r="Y138" s="119">
        <v>0</v>
      </c>
      <c r="Z138" s="119">
        <v>4268.8541313561</v>
      </c>
      <c r="AA138" s="108"/>
      <c r="AB138" s="108"/>
      <c r="AC138" s="109"/>
      <c r="AL138" s="95">
        <v>0.31513888895278797</v>
      </c>
      <c r="AM138" s="133">
        <v>737013.84016006673</v>
      </c>
      <c r="AP138" s="95">
        <f t="shared" ref="AP138:AP147" si="29">+($AM138+$AM137)/2*($AL138-$AL137)</f>
        <v>121737.01082530952</v>
      </c>
    </row>
    <row r="139" spans="13:42" x14ac:dyDescent="0.3">
      <c r="M139" s="95">
        <v>172.19999999989523</v>
      </c>
      <c r="N139" s="95" t="s">
        <v>153</v>
      </c>
      <c r="O139" s="110"/>
      <c r="P139" s="110"/>
      <c r="Q139" s="95" t="e">
        <f t="shared" si="28"/>
        <v>#VALUE!</v>
      </c>
      <c r="Y139" s="119">
        <v>0.31402777775656432</v>
      </c>
      <c r="Z139" s="119">
        <v>21430.425119733289</v>
      </c>
      <c r="AA139" s="108"/>
      <c r="AB139" s="108"/>
      <c r="AC139" s="95">
        <f t="shared" ref="AC139:AC150" si="30">+($Z139+$Z138)/2*($Y139-$Y138)</f>
        <v>4035.1437765824917</v>
      </c>
      <c r="AL139" s="95">
        <v>1.3175000001210719</v>
      </c>
      <c r="AM139" s="133">
        <v>371005.92536997522</v>
      </c>
      <c r="AP139" s="95">
        <f t="shared" si="29"/>
        <v>555317.96168655716</v>
      </c>
    </row>
    <row r="140" spans="13:42" x14ac:dyDescent="0.3">
      <c r="Y140" s="119">
        <v>1.3222222222248092</v>
      </c>
      <c r="Z140" s="119">
        <v>14391.335592621252</v>
      </c>
      <c r="AA140" s="108"/>
      <c r="AB140" s="108"/>
      <c r="AC140" s="95">
        <f t="shared" si="30"/>
        <v>18057.650070633343</v>
      </c>
      <c r="AL140" s="95">
        <v>2.5129166667466052</v>
      </c>
      <c r="AM140" s="133">
        <v>249340.39630671311</v>
      </c>
      <c r="AP140" s="95">
        <f t="shared" si="29"/>
        <v>370786.16600607871</v>
      </c>
    </row>
    <row r="141" spans="13:42" ht="15.6" x14ac:dyDescent="0.3">
      <c r="M141" s="105" t="s">
        <v>154</v>
      </c>
      <c r="N141" s="114"/>
      <c r="O141" s="114"/>
      <c r="Y141" s="119">
        <v>2.4509722223156132</v>
      </c>
      <c r="Z141" s="119">
        <v>14903.218932254047</v>
      </c>
      <c r="AA141" s="108"/>
      <c r="AB141" s="108"/>
      <c r="AC141" s="95">
        <f t="shared" si="30"/>
        <v>16533.114211306525</v>
      </c>
      <c r="AL141" s="92">
        <v>3.6902777777868323</v>
      </c>
      <c r="AM141" s="133">
        <v>70158.820203065086</v>
      </c>
      <c r="AP141" s="95">
        <f t="shared" si="29"/>
        <v>188082.97626321725</v>
      </c>
    </row>
    <row r="142" spans="13:42" ht="15.6" x14ac:dyDescent="0.3">
      <c r="M142" s="105"/>
      <c r="N142" s="115"/>
      <c r="O142" s="114"/>
      <c r="Y142" s="119">
        <v>3.6791666665230878</v>
      </c>
      <c r="Z142" s="119">
        <v>0</v>
      </c>
      <c r="AA142" s="108"/>
      <c r="AB142" s="108"/>
      <c r="AC142" s="95">
        <f t="shared" si="30"/>
        <v>9152.0253467010352</v>
      </c>
      <c r="AL142" s="119">
        <v>4.7041666667209938</v>
      </c>
      <c r="AM142" s="95">
        <v>33531.96120050778</v>
      </c>
      <c r="AP142" s="95">
        <f t="shared" si="29"/>
        <v>52565.465574991758</v>
      </c>
    </row>
    <row r="143" spans="13:42" ht="15.6" x14ac:dyDescent="0.3">
      <c r="M143" s="116" t="s">
        <v>150</v>
      </c>
      <c r="N143" s="117"/>
      <c r="O143" s="114"/>
      <c r="Y143" s="119">
        <v>4.7030555555247702</v>
      </c>
      <c r="Z143" s="119">
        <v>12228.071731619548</v>
      </c>
      <c r="AA143" s="108"/>
      <c r="AB143" s="108"/>
      <c r="AC143" s="95">
        <f t="shared" si="30"/>
        <v>6260.0933899604088</v>
      </c>
      <c r="AL143" s="119">
        <v>5.784444444521796</v>
      </c>
      <c r="AM143" s="95">
        <v>0</v>
      </c>
      <c r="AP143" s="95">
        <f t="shared" si="29"/>
        <v>18111.91626549363</v>
      </c>
    </row>
    <row r="144" spans="13:42" ht="15.6" x14ac:dyDescent="0.3">
      <c r="M144" s="118"/>
      <c r="N144" s="132"/>
      <c r="O144" s="114"/>
      <c r="P144" s="107"/>
      <c r="Y144" s="119">
        <v>5.7769444443401881</v>
      </c>
      <c r="Z144" s="119">
        <v>11978.336748003647</v>
      </c>
      <c r="AA144" s="108"/>
      <c r="AB144" s="108"/>
      <c r="AC144" s="95">
        <f t="shared" si="30"/>
        <v>12997.49655219733</v>
      </c>
      <c r="AL144" s="95">
        <v>24.102500000211876</v>
      </c>
      <c r="AM144" s="95">
        <v>0</v>
      </c>
      <c r="AP144" s="95">
        <f t="shared" si="29"/>
        <v>0</v>
      </c>
    </row>
    <row r="145" spans="13:42" x14ac:dyDescent="0.3">
      <c r="M145" s="107"/>
      <c r="N145" s="108" t="s">
        <v>143</v>
      </c>
      <c r="O145" s="108" t="s">
        <v>144</v>
      </c>
      <c r="P145" s="108"/>
      <c r="Q145" s="109" t="s">
        <v>145</v>
      </c>
      <c r="R145" s="86" t="s">
        <v>169</v>
      </c>
      <c r="Y145" s="119">
        <v>6.9502777777961455</v>
      </c>
      <c r="Z145" s="119">
        <v>0</v>
      </c>
      <c r="AA145" s="108"/>
      <c r="AB145" s="108"/>
      <c r="AC145" s="95">
        <f t="shared" si="30"/>
        <v>7027.2908928965562</v>
      </c>
      <c r="AL145" s="95">
        <v>72.18902777787298</v>
      </c>
      <c r="AM145" s="95">
        <v>0</v>
      </c>
      <c r="AP145" s="95">
        <f t="shared" si="29"/>
        <v>0</v>
      </c>
    </row>
    <row r="146" spans="13:42" x14ac:dyDescent="0.3">
      <c r="M146" s="108" t="s">
        <v>146</v>
      </c>
      <c r="N146" s="108" t="s">
        <v>147</v>
      </c>
      <c r="O146" s="108" t="s">
        <v>148</v>
      </c>
      <c r="P146" s="108" t="s">
        <v>147</v>
      </c>
      <c r="Q146" s="109" t="s">
        <v>149</v>
      </c>
      <c r="Y146" s="119">
        <v>24.107777777651791</v>
      </c>
      <c r="Z146" s="119">
        <v>6291.0325296223336</v>
      </c>
      <c r="AA146" s="108"/>
      <c r="AB146" s="108"/>
      <c r="AC146" s="95">
        <f t="shared" si="30"/>
        <v>53969.195313043521</v>
      </c>
      <c r="AL146" s="95">
        <v>96.397222222352866</v>
      </c>
      <c r="AM146" s="95">
        <v>0</v>
      </c>
      <c r="AP146" s="95">
        <f t="shared" si="29"/>
        <v>0</v>
      </c>
    </row>
    <row r="147" spans="13:42" x14ac:dyDescent="0.3">
      <c r="M147" s="119">
        <v>0</v>
      </c>
      <c r="N147" s="119">
        <v>0</v>
      </c>
      <c r="Y147" s="119">
        <v>48.246666666702367</v>
      </c>
      <c r="Z147" s="119">
        <v>13901.205530682631</v>
      </c>
      <c r="AA147" s="108"/>
      <c r="AB147" s="108"/>
      <c r="AC147" s="95">
        <f t="shared" si="30"/>
        <v>243709.09547947985</v>
      </c>
      <c r="AL147" s="95">
        <v>168.29472222231561</v>
      </c>
      <c r="AM147" s="95">
        <v>272.78376561712912</v>
      </c>
      <c r="AP147" s="95">
        <f t="shared" si="29"/>
        <v>9806.2353942236896</v>
      </c>
    </row>
    <row r="148" spans="13:42" x14ac:dyDescent="0.3">
      <c r="M148" s="95">
        <v>0.10902777768205851</v>
      </c>
      <c r="N148" s="95">
        <v>21533.831199616983</v>
      </c>
      <c r="Q148" s="95">
        <f t="shared" ref="Q148:Q158" si="31">+($N148+$N147)/2*($M148-$M147)</f>
        <v>1173.8928803374079</v>
      </c>
      <c r="Y148" s="119">
        <v>72.191388888924848</v>
      </c>
      <c r="Z148" s="119">
        <v>15499.37804618985</v>
      </c>
      <c r="AA148" s="108"/>
      <c r="AB148" s="108"/>
      <c r="AC148" s="95">
        <f t="shared" si="30"/>
        <v>351994.40345972386</v>
      </c>
    </row>
    <row r="149" spans="13:42" ht="15.6" x14ac:dyDescent="0.3">
      <c r="M149" s="95">
        <v>1.0820833333418705</v>
      </c>
      <c r="N149" s="95">
        <v>5878.0647805187255</v>
      </c>
      <c r="Q149" s="95">
        <f t="shared" si="31"/>
        <v>13336.648837319959</v>
      </c>
      <c r="Y149" s="119">
        <v>96.344722222303972</v>
      </c>
      <c r="Z149" s="119">
        <v>13877.127877519069</v>
      </c>
      <c r="AA149" s="108"/>
      <c r="AB149" s="108"/>
      <c r="AC149" s="95">
        <f t="shared" si="30"/>
        <v>354770.26987266395</v>
      </c>
      <c r="AL149" s="116" t="s">
        <v>157</v>
      </c>
      <c r="AO149" s="107"/>
    </row>
    <row r="150" spans="13:42" ht="15.6" x14ac:dyDescent="0.3">
      <c r="M150" s="95">
        <v>2.1151388888829388</v>
      </c>
      <c r="N150" s="131">
        <v>4089.2602087270466</v>
      </c>
      <c r="Q150" s="95">
        <f t="shared" si="31"/>
        <v>5148.4002270118317</v>
      </c>
      <c r="Y150" s="119">
        <v>168.29944444441935</v>
      </c>
      <c r="Z150" s="119">
        <v>13556.07210265032</v>
      </c>
      <c r="AA150" s="108"/>
      <c r="AB150" s="108"/>
      <c r="AC150" s="95">
        <f t="shared" si="30"/>
        <v>986974.14211841475</v>
      </c>
      <c r="AL150" s="118"/>
      <c r="AN150" s="108" t="s">
        <v>142</v>
      </c>
      <c r="AO150" s="107"/>
    </row>
    <row r="151" spans="13:42" x14ac:dyDescent="0.3">
      <c r="M151" s="119">
        <v>4.1686111110029742</v>
      </c>
      <c r="N151" s="119">
        <v>2453.1021411131587</v>
      </c>
      <c r="Q151" s="95">
        <f t="shared" si="31"/>
        <v>6717.2796762204107</v>
      </c>
      <c r="AL151" s="107"/>
      <c r="AM151" s="108" t="s">
        <v>143</v>
      </c>
      <c r="AN151" s="108" t="s">
        <v>144</v>
      </c>
      <c r="AO151" s="108"/>
      <c r="AP151" s="109" t="s">
        <v>145</v>
      </c>
    </row>
    <row r="152" spans="13:42" ht="15.6" x14ac:dyDescent="0.3">
      <c r="M152" s="95">
        <v>5.248749999969732</v>
      </c>
      <c r="N152" s="95">
        <v>3778.2543643789031</v>
      </c>
      <c r="Q152" s="95">
        <f t="shared" si="31"/>
        <v>3365.3652462989871</v>
      </c>
      <c r="Y152" s="116" t="s">
        <v>158</v>
      </c>
      <c r="AL152" s="108" t="s">
        <v>146</v>
      </c>
      <c r="AM152" s="108" t="s">
        <v>147</v>
      </c>
      <c r="AN152" s="108" t="s">
        <v>148</v>
      </c>
      <c r="AO152" s="108" t="s">
        <v>147</v>
      </c>
      <c r="AP152" s="109" t="s">
        <v>149</v>
      </c>
    </row>
    <row r="153" spans="13:42" ht="15.6" x14ac:dyDescent="0.3">
      <c r="M153" s="95">
        <v>6.339444444514811</v>
      </c>
      <c r="N153" s="95">
        <v>3036.4537602608812</v>
      </c>
      <c r="Q153" s="95">
        <f t="shared" si="31"/>
        <v>3716.3821463704135</v>
      </c>
      <c r="Y153" s="118"/>
      <c r="AA153" s="108" t="s">
        <v>142</v>
      </c>
      <c r="AB153" s="107"/>
      <c r="AC153" s="107"/>
      <c r="AL153" s="119">
        <v>0</v>
      </c>
      <c r="AM153" s="119">
        <v>70212.836923348965</v>
      </c>
      <c r="AP153" s="95"/>
    </row>
    <row r="154" spans="13:42" x14ac:dyDescent="0.3">
      <c r="M154" s="95">
        <v>24.679166666697711</v>
      </c>
      <c r="N154" s="95">
        <v>2404.6172003306542</v>
      </c>
      <c r="Q154" s="95">
        <f t="shared" si="31"/>
        <v>49893.865004217318</v>
      </c>
      <c r="Y154" s="107"/>
      <c r="Z154" s="108" t="s">
        <v>143</v>
      </c>
      <c r="AA154" s="108" t="s">
        <v>144</v>
      </c>
      <c r="AB154" s="108"/>
      <c r="AC154" s="109" t="s">
        <v>145</v>
      </c>
      <c r="AL154" s="95">
        <v>0.31513888895278797</v>
      </c>
      <c r="AM154" s="95">
        <v>22754.640937935215</v>
      </c>
      <c r="AP154" s="95">
        <f t="shared" ref="AP154:AP163" si="32">+($AM154+$AM153)/2*($AL154-$AL153)</f>
        <v>14648.833840974004</v>
      </c>
    </row>
    <row r="155" spans="13:42" x14ac:dyDescent="0.3">
      <c r="M155" s="95">
        <v>48.534027777670417</v>
      </c>
      <c r="N155" s="95">
        <v>0</v>
      </c>
      <c r="Q155" s="95">
        <f t="shared" si="31"/>
        <v>28680.904669471893</v>
      </c>
      <c r="Y155" s="108" t="s">
        <v>146</v>
      </c>
      <c r="Z155" s="108" t="s">
        <v>147</v>
      </c>
      <c r="AA155" s="108" t="s">
        <v>148</v>
      </c>
      <c r="AB155" s="108" t="s">
        <v>147</v>
      </c>
      <c r="AC155" s="109" t="s">
        <v>149</v>
      </c>
      <c r="AL155" s="95">
        <v>1.3175000001210719</v>
      </c>
      <c r="AM155" s="95">
        <v>14719.767741706681</v>
      </c>
      <c r="AP155" s="95">
        <f t="shared" si="32"/>
        <v>18781.44496225012</v>
      </c>
    </row>
    <row r="156" spans="13:42" x14ac:dyDescent="0.3">
      <c r="M156" s="95">
        <v>72.635138888843358</v>
      </c>
      <c r="N156" s="95">
        <v>0</v>
      </c>
      <c r="Q156" s="95">
        <f t="shared" si="31"/>
        <v>0</v>
      </c>
      <c r="Y156" s="119">
        <v>0</v>
      </c>
      <c r="Z156" s="122">
        <v>10695.523499615176</v>
      </c>
      <c r="AB156" s="108"/>
      <c r="AC156" s="109"/>
      <c r="AL156" s="95">
        <v>2.5129166667466052</v>
      </c>
      <c r="AM156" s="95">
        <v>0</v>
      </c>
      <c r="AP156" s="95">
        <f t="shared" si="32"/>
        <v>8798.1278436465273</v>
      </c>
    </row>
    <row r="157" spans="13:42" x14ac:dyDescent="0.3">
      <c r="M157" s="95">
        <v>96.680138888885267</v>
      </c>
      <c r="N157" s="95">
        <v>0</v>
      </c>
      <c r="Q157" s="95">
        <f t="shared" si="31"/>
        <v>0</v>
      </c>
      <c r="Y157" s="119">
        <v>0.31402777775656432</v>
      </c>
      <c r="Z157" s="119">
        <v>10399.479194071331</v>
      </c>
      <c r="AB157" s="108"/>
      <c r="AC157" s="95">
        <f t="shared" ref="AC157:AC167" si="33">+($Z157+$Z156)/2*($Y157-$Y156)</f>
        <v>3312.2084088335559</v>
      </c>
      <c r="AL157" s="92">
        <v>3.6902777777868323</v>
      </c>
      <c r="AM157" s="92">
        <v>0</v>
      </c>
      <c r="AP157" s="95">
        <f t="shared" si="32"/>
        <v>0</v>
      </c>
    </row>
    <row r="158" spans="13:42" x14ac:dyDescent="0.3">
      <c r="M158" s="95">
        <v>167.99166666663999</v>
      </c>
      <c r="N158" s="95">
        <v>0</v>
      </c>
      <c r="Q158" s="95">
        <f t="shared" si="31"/>
        <v>0</v>
      </c>
      <c r="Y158" s="119">
        <v>1.3222222222248092</v>
      </c>
      <c r="Z158" s="119">
        <v>3310.0722675905572</v>
      </c>
      <c r="AB158" s="108"/>
      <c r="AC158" s="95">
        <f t="shared" si="33"/>
        <v>6910.9468098995121</v>
      </c>
      <c r="AL158" s="119">
        <v>4.7041666667209938</v>
      </c>
      <c r="AM158" s="119">
        <v>0</v>
      </c>
      <c r="AP158" s="95">
        <f t="shared" si="32"/>
        <v>0</v>
      </c>
    </row>
    <row r="159" spans="13:42" x14ac:dyDescent="0.3">
      <c r="Y159" s="119">
        <v>2.4509722223156132</v>
      </c>
      <c r="Z159" s="121">
        <v>1777.8037577042085</v>
      </c>
      <c r="AB159" s="108"/>
      <c r="AC159" s="95">
        <f t="shared" si="33"/>
        <v>2871.4700320067332</v>
      </c>
      <c r="AL159" s="119">
        <v>5.784444444521796</v>
      </c>
      <c r="AM159" s="119">
        <v>0</v>
      </c>
      <c r="AP159" s="95">
        <f t="shared" si="32"/>
        <v>0</v>
      </c>
    </row>
    <row r="160" spans="13:42" ht="15.6" x14ac:dyDescent="0.3">
      <c r="M160" s="116" t="s">
        <v>156</v>
      </c>
      <c r="Y160" s="119">
        <v>3.6791666665230878</v>
      </c>
      <c r="Z160" s="119">
        <v>0</v>
      </c>
      <c r="AB160" s="108"/>
      <c r="AC160" s="95">
        <f t="shared" si="33"/>
        <v>1091.7443490517401</v>
      </c>
      <c r="AL160" s="95">
        <v>24.102500000211876</v>
      </c>
      <c r="AM160" s="95">
        <v>13668.618935777733</v>
      </c>
      <c r="AP160" s="95">
        <f t="shared" si="32"/>
        <v>125191.26051756696</v>
      </c>
    </row>
    <row r="161" spans="13:42" ht="15.6" x14ac:dyDescent="0.3">
      <c r="M161" s="118"/>
      <c r="O161" s="108" t="s">
        <v>142</v>
      </c>
      <c r="P161" s="107"/>
      <c r="Y161" s="119">
        <v>4.7030555555247702</v>
      </c>
      <c r="Z161" s="119">
        <v>0</v>
      </c>
      <c r="AB161" s="108"/>
      <c r="AC161" s="95">
        <f t="shared" si="33"/>
        <v>0</v>
      </c>
      <c r="AL161" s="95">
        <v>72.18902777787298</v>
      </c>
      <c r="AM161" s="95">
        <v>15409.276362663675</v>
      </c>
      <c r="AP161" s="95">
        <f t="shared" si="32"/>
        <v>699127.50999221194</v>
      </c>
    </row>
    <row r="162" spans="13:42" x14ac:dyDescent="0.3">
      <c r="M162" s="107"/>
      <c r="N162" s="108" t="s">
        <v>143</v>
      </c>
      <c r="O162" s="108" t="s">
        <v>144</v>
      </c>
      <c r="P162" s="108"/>
      <c r="Q162" s="109" t="s">
        <v>145</v>
      </c>
      <c r="Y162" s="119">
        <v>5.7769444443401881</v>
      </c>
      <c r="Z162" s="119">
        <v>0</v>
      </c>
      <c r="AB162" s="108"/>
      <c r="AC162" s="95">
        <f t="shared" si="33"/>
        <v>0</v>
      </c>
      <c r="AL162" s="95">
        <v>96.397222222352866</v>
      </c>
      <c r="AM162" s="95">
        <v>0</v>
      </c>
      <c r="AP162" s="95">
        <f t="shared" si="32"/>
        <v>186515.37921804501</v>
      </c>
    </row>
    <row r="163" spans="13:42" x14ac:dyDescent="0.3">
      <c r="M163" s="108" t="s">
        <v>146</v>
      </c>
      <c r="N163" s="108" t="s">
        <v>147</v>
      </c>
      <c r="O163" s="108" t="s">
        <v>148</v>
      </c>
      <c r="P163" s="108" t="s">
        <v>147</v>
      </c>
      <c r="Q163" s="109" t="s">
        <v>149</v>
      </c>
      <c r="Y163" s="119">
        <v>6.9502777777961455</v>
      </c>
      <c r="Z163" s="119">
        <v>0</v>
      </c>
      <c r="AB163" s="108"/>
      <c r="AC163" s="95">
        <f t="shared" si="33"/>
        <v>0</v>
      </c>
      <c r="AL163" s="95">
        <v>168.29472222231561</v>
      </c>
      <c r="AM163" s="95">
        <v>0</v>
      </c>
      <c r="AP163" s="95">
        <f t="shared" si="32"/>
        <v>0</v>
      </c>
    </row>
    <row r="164" spans="13:42" x14ac:dyDescent="0.3">
      <c r="M164" s="119">
        <v>0</v>
      </c>
      <c r="N164" s="108">
        <v>0</v>
      </c>
      <c r="Y164" s="119">
        <v>48.246666666702367</v>
      </c>
      <c r="Z164" s="119">
        <v>0</v>
      </c>
      <c r="AB164" s="108"/>
      <c r="AC164" s="95">
        <f t="shared" si="33"/>
        <v>0</v>
      </c>
    </row>
    <row r="165" spans="13:42" x14ac:dyDescent="0.3">
      <c r="M165" s="95">
        <v>0.10902777768205851</v>
      </c>
      <c r="N165" s="133">
        <v>815146.57517522608</v>
      </c>
      <c r="Q165" s="95">
        <f t="shared" ref="Q165:Q176" si="34">+($N165+$N164)/2*($M165-$M164)</f>
        <v>44436.809788247971</v>
      </c>
      <c r="Y165" s="119">
        <v>72.191388888924848</v>
      </c>
      <c r="Z165" s="121">
        <v>945.05481872087989</v>
      </c>
      <c r="AB165" s="108"/>
      <c r="AC165" s="95">
        <f t="shared" si="33"/>
        <v>11314.537559522145</v>
      </c>
    </row>
    <row r="166" spans="13:42" x14ac:dyDescent="0.3">
      <c r="M166" s="95">
        <v>1.0820833333418705</v>
      </c>
      <c r="N166" s="95">
        <v>88282.378173231962</v>
      </c>
      <c r="Q166" s="95">
        <f t="shared" si="34"/>
        <v>439543.28109982307</v>
      </c>
      <c r="Y166" s="119">
        <v>96.344722222303972</v>
      </c>
      <c r="Z166" s="119">
        <v>0</v>
      </c>
      <c r="AB166" s="108"/>
      <c r="AC166" s="95">
        <f t="shared" si="33"/>
        <v>11413.112027440797</v>
      </c>
    </row>
    <row r="167" spans="13:42" x14ac:dyDescent="0.3">
      <c r="M167" s="95">
        <v>2.1151388888829388</v>
      </c>
      <c r="N167" s="133">
        <v>122460.90856023403</v>
      </c>
      <c r="Q167" s="95">
        <f t="shared" si="34"/>
        <v>108854.76157649569</v>
      </c>
      <c r="Y167" s="119">
        <v>168.29944444441935</v>
      </c>
      <c r="Z167" s="121">
        <v>1172.0842278432845</v>
      </c>
      <c r="AB167" s="108"/>
      <c r="AC167" s="95">
        <f t="shared" si="33"/>
        <v>42168.49751769306</v>
      </c>
      <c r="AL167" s="102" t="s">
        <v>160</v>
      </c>
    </row>
    <row r="168" spans="13:42" x14ac:dyDescent="0.3">
      <c r="M168" s="95">
        <v>3.1488888887688518</v>
      </c>
      <c r="N168" s="86">
        <v>0</v>
      </c>
      <c r="Q168" s="95">
        <f t="shared" si="34"/>
        <v>63296.982105085364</v>
      </c>
      <c r="AC168" s="95"/>
      <c r="AL168" s="102"/>
    </row>
    <row r="169" spans="13:42" ht="15.6" x14ac:dyDescent="0.3">
      <c r="M169" s="119">
        <v>4.1686111110029742</v>
      </c>
      <c r="N169" s="108">
        <v>0</v>
      </c>
      <c r="Q169" s="95">
        <f t="shared" si="34"/>
        <v>0</v>
      </c>
      <c r="Y169" s="116" t="s">
        <v>159</v>
      </c>
      <c r="AL169" s="123" t="s">
        <v>140</v>
      </c>
      <c r="AM169" s="86" t="s">
        <v>161</v>
      </c>
    </row>
    <row r="170" spans="13:42" ht="15.6" x14ac:dyDescent="0.3">
      <c r="M170" s="95">
        <v>5.248749999969732</v>
      </c>
      <c r="N170" s="86">
        <v>0</v>
      </c>
      <c r="Q170" s="95">
        <f t="shared" si="34"/>
        <v>0</v>
      </c>
      <c r="Y170" s="118"/>
      <c r="AA170" s="108" t="s">
        <v>142</v>
      </c>
      <c r="AB170" s="107"/>
      <c r="AC170" s="107"/>
      <c r="AN170" s="108" t="s">
        <v>142</v>
      </c>
    </row>
    <row r="171" spans="13:42" x14ac:dyDescent="0.3">
      <c r="M171" s="95">
        <v>6.339444444514811</v>
      </c>
      <c r="N171" s="86">
        <v>0</v>
      </c>
      <c r="Q171" s="95">
        <f t="shared" si="34"/>
        <v>0</v>
      </c>
      <c r="Y171" s="107"/>
      <c r="Z171" s="108" t="s">
        <v>143</v>
      </c>
      <c r="AA171" s="108" t="s">
        <v>144</v>
      </c>
      <c r="AB171" s="108"/>
      <c r="AC171" s="109" t="s">
        <v>145</v>
      </c>
      <c r="AL171" s="107"/>
      <c r="AM171" s="108" t="s">
        <v>143</v>
      </c>
      <c r="AN171" s="108" t="s">
        <v>144</v>
      </c>
      <c r="AO171" s="108"/>
      <c r="AP171" s="109" t="s">
        <v>145</v>
      </c>
    </row>
    <row r="172" spans="13:42" x14ac:dyDescent="0.3">
      <c r="M172" s="95">
        <v>24.679166666697711</v>
      </c>
      <c r="N172" s="86">
        <v>0</v>
      </c>
      <c r="Q172" s="95">
        <f t="shared" si="34"/>
        <v>0</v>
      </c>
      <c r="Y172" s="108" t="s">
        <v>146</v>
      </c>
      <c r="Z172" s="108" t="s">
        <v>147</v>
      </c>
      <c r="AA172" s="108" t="s">
        <v>148</v>
      </c>
      <c r="AB172" s="108" t="s">
        <v>147</v>
      </c>
      <c r="AC172" s="109" t="s">
        <v>149</v>
      </c>
      <c r="AL172" s="108" t="s">
        <v>146</v>
      </c>
      <c r="AM172" s="108" t="s">
        <v>162</v>
      </c>
      <c r="AN172" s="108" t="s">
        <v>148</v>
      </c>
      <c r="AO172" s="108" t="s">
        <v>147</v>
      </c>
      <c r="AP172" s="109" t="s">
        <v>149</v>
      </c>
    </row>
    <row r="173" spans="13:42" x14ac:dyDescent="0.3">
      <c r="M173" s="95">
        <v>48.534027777670417</v>
      </c>
      <c r="N173" s="86">
        <v>0</v>
      </c>
      <c r="Q173" s="95">
        <f t="shared" si="34"/>
        <v>0</v>
      </c>
      <c r="Y173" s="119">
        <v>0</v>
      </c>
      <c r="Z173" s="119">
        <v>30.739468301620636</v>
      </c>
      <c r="AB173" s="108"/>
      <c r="AC173" s="109"/>
      <c r="AL173" s="86">
        <v>0</v>
      </c>
      <c r="AM173" s="86">
        <v>0</v>
      </c>
      <c r="AP173" s="95"/>
    </row>
    <row r="174" spans="13:42" x14ac:dyDescent="0.3">
      <c r="M174" s="95">
        <v>72.635138888843358</v>
      </c>
      <c r="N174" s="86">
        <v>0</v>
      </c>
      <c r="Q174" s="95">
        <f t="shared" si="34"/>
        <v>0</v>
      </c>
      <c r="Y174" s="119">
        <v>0.31402777775656432</v>
      </c>
      <c r="Z174" s="119">
        <v>71624.8519345198</v>
      </c>
      <c r="AB174" s="108"/>
      <c r="AC174" s="95">
        <f>+($Z174+$Z173)/2*($Y174-$Y173)</f>
        <v>11250.923066030193</v>
      </c>
      <c r="AL174" s="86">
        <v>0.1</v>
      </c>
      <c r="AM174" s="142">
        <v>1660.1196937673515</v>
      </c>
      <c r="AP174" s="95">
        <f t="shared" ref="AP174:AP185" si="35">+($AM174+$AM173)/2*($AL174-$AL173)</f>
        <v>83.005984688367576</v>
      </c>
    </row>
    <row r="175" spans="13:42" x14ac:dyDescent="0.3">
      <c r="M175" s="95">
        <v>96.680138888885267</v>
      </c>
      <c r="N175" s="86">
        <v>0</v>
      </c>
      <c r="Q175" s="95">
        <f t="shared" si="34"/>
        <v>0</v>
      </c>
      <c r="Y175" s="119">
        <v>1.3222222222248092</v>
      </c>
      <c r="Z175" s="119">
        <v>41539.789952251813</v>
      </c>
      <c r="AB175" s="108"/>
      <c r="AC175" s="95">
        <f t="shared" ref="AC175:AC184" si="36">+($Z175+$Z174)/2*($Y175-$Y174)</f>
        <v>57045.981630240793</v>
      </c>
      <c r="AL175" s="125">
        <v>0.99722222222222223</v>
      </c>
      <c r="AM175" s="142">
        <v>2060.4069992628606</v>
      </c>
      <c r="AP175" s="95">
        <f t="shared" si="35"/>
        <v>1669.0696136788315</v>
      </c>
    </row>
    <row r="176" spans="13:42" x14ac:dyDescent="0.3">
      <c r="M176" s="95">
        <v>167.99166666663999</v>
      </c>
      <c r="N176" s="86">
        <v>0</v>
      </c>
      <c r="Q176" s="95">
        <f t="shared" si="34"/>
        <v>0</v>
      </c>
      <c r="Y176" s="119">
        <v>2.4509722223156132</v>
      </c>
      <c r="Z176" s="119">
        <v>3756.9660615863154</v>
      </c>
      <c r="AB176" s="108"/>
      <c r="AC176" s="95">
        <f t="shared" si="36"/>
        <v>25564.356677366457</v>
      </c>
      <c r="AL176" s="125">
        <v>2.1783333333333332</v>
      </c>
      <c r="AM176" s="142">
        <v>5333.1926900282015</v>
      </c>
      <c r="AP176" s="95">
        <f t="shared" si="35"/>
        <v>4366.3313720646656</v>
      </c>
    </row>
    <row r="177" spans="13:42" x14ac:dyDescent="0.3">
      <c r="Y177" s="119">
        <v>3.6791666665230878</v>
      </c>
      <c r="Z177" s="119">
        <v>0</v>
      </c>
      <c r="AB177" s="108"/>
      <c r="AC177" s="95">
        <f t="shared" si="36"/>
        <v>2307.1424219581745</v>
      </c>
      <c r="AL177" s="125">
        <v>3.3541666666666665</v>
      </c>
      <c r="AM177" s="142">
        <v>3623.8643432680424</v>
      </c>
      <c r="AP177" s="95">
        <f t="shared" si="35"/>
        <v>5266.0031141587497</v>
      </c>
    </row>
    <row r="178" spans="13:42" ht="15.6" x14ac:dyDescent="0.3">
      <c r="M178" s="116" t="s">
        <v>167</v>
      </c>
      <c r="Y178" s="119">
        <v>4.7030555555247702</v>
      </c>
      <c r="Z178" s="121">
        <v>336.99900638849749</v>
      </c>
      <c r="AB178" s="108"/>
      <c r="AC178" s="95">
        <f t="shared" si="36"/>
        <v>172.52476912289478</v>
      </c>
      <c r="AL178" s="125">
        <v>4.3902777777777775</v>
      </c>
      <c r="AM178" s="142">
        <v>2458.4196860226275</v>
      </c>
      <c r="AP178" s="95">
        <f t="shared" si="35"/>
        <v>3150.9610318408604</v>
      </c>
    </row>
    <row r="179" spans="13:42" ht="15.6" x14ac:dyDescent="0.3">
      <c r="M179" s="118"/>
      <c r="O179" s="108" t="s">
        <v>142</v>
      </c>
      <c r="P179" s="107"/>
      <c r="Y179" s="119">
        <v>5.7769444443401881</v>
      </c>
      <c r="Z179" s="119">
        <v>0</v>
      </c>
      <c r="AB179" s="108"/>
      <c r="AC179" s="95">
        <f t="shared" si="36"/>
        <v>180.94974425122174</v>
      </c>
      <c r="AL179" s="125">
        <v>5.4672222222222224</v>
      </c>
      <c r="AM179" s="142">
        <v>3073.2058877172844</v>
      </c>
      <c r="AP179" s="95">
        <f t="shared" si="35"/>
        <v>2978.6267151930065</v>
      </c>
    </row>
    <row r="180" spans="13:42" x14ac:dyDescent="0.3">
      <c r="M180" s="107"/>
      <c r="N180" s="108" t="s">
        <v>143</v>
      </c>
      <c r="O180" s="108" t="s">
        <v>144</v>
      </c>
      <c r="P180" s="108"/>
      <c r="Q180" s="109" t="s">
        <v>145</v>
      </c>
      <c r="Y180" s="119">
        <v>6.9502777777961455</v>
      </c>
      <c r="Z180" s="119">
        <v>0</v>
      </c>
      <c r="AB180" s="108"/>
      <c r="AC180" s="95">
        <f t="shared" si="36"/>
        <v>0</v>
      </c>
      <c r="AL180" s="125">
        <v>6.6483333333333334</v>
      </c>
      <c r="AM180" s="142">
        <v>492.88005164677588</v>
      </c>
      <c r="AP180" s="95">
        <f t="shared" si="35"/>
        <v>2105.9718630799975</v>
      </c>
    </row>
    <row r="181" spans="13:42" x14ac:dyDescent="0.3">
      <c r="M181" s="108" t="s">
        <v>146</v>
      </c>
      <c r="N181" s="108" t="s">
        <v>147</v>
      </c>
      <c r="O181" s="108" t="s">
        <v>148</v>
      </c>
      <c r="P181" s="108" t="s">
        <v>147</v>
      </c>
      <c r="Q181" s="109" t="s">
        <v>149</v>
      </c>
      <c r="Y181" s="119">
        <v>48.246666666702367</v>
      </c>
      <c r="Z181" s="119">
        <v>0</v>
      </c>
      <c r="AB181" s="108"/>
      <c r="AC181" s="95">
        <f t="shared" si="36"/>
        <v>0</v>
      </c>
      <c r="AL181" s="125">
        <v>24.337777777777777</v>
      </c>
      <c r="AM181" s="142">
        <v>9379.8389789813245</v>
      </c>
      <c r="AP181" s="95">
        <f t="shared" si="35"/>
        <v>87321.457403952591</v>
      </c>
    </row>
    <row r="182" spans="13:42" x14ac:dyDescent="0.3">
      <c r="M182" s="119">
        <v>0</v>
      </c>
      <c r="N182" s="119">
        <v>37321.093018026331</v>
      </c>
      <c r="Y182" s="119">
        <v>72.191388888924848</v>
      </c>
      <c r="Z182" s="119">
        <v>0</v>
      </c>
      <c r="AB182" s="108"/>
      <c r="AC182" s="95">
        <f t="shared" si="36"/>
        <v>0</v>
      </c>
      <c r="AL182" s="125">
        <v>48.573333333333331</v>
      </c>
      <c r="AM182" s="142">
        <v>7875.9713824809878</v>
      </c>
      <c r="AP182" s="95">
        <f t="shared" si="35"/>
        <v>209102.0753356755</v>
      </c>
    </row>
    <row r="183" spans="13:42" x14ac:dyDescent="0.3">
      <c r="M183" s="95">
        <v>0.10902777768205851</v>
      </c>
      <c r="N183" s="95">
        <v>75324598.675647229</v>
      </c>
      <c r="Q183" s="95">
        <f t="shared" ref="Q183:Q194" si="37">+($N183+$N182)/2*($M183-$M182)</f>
        <v>4108271.317115583</v>
      </c>
      <c r="Y183" s="119">
        <v>96.344722222303972</v>
      </c>
      <c r="Z183" s="119">
        <v>0</v>
      </c>
      <c r="AB183" s="108"/>
      <c r="AC183" s="95">
        <f t="shared" si="36"/>
        <v>0</v>
      </c>
      <c r="AL183" s="125">
        <v>72.424166666666665</v>
      </c>
      <c r="AM183" s="142">
        <v>8347.6902822845877</v>
      </c>
      <c r="AP183" s="95">
        <f t="shared" si="35"/>
        <v>193473.92521135649</v>
      </c>
    </row>
    <row r="184" spans="13:42" x14ac:dyDescent="0.3">
      <c r="M184" s="95">
        <v>1.0820833333418705</v>
      </c>
      <c r="N184" s="95">
        <v>80734129.624285728</v>
      </c>
      <c r="Q184" s="95">
        <f t="shared" si="37"/>
        <v>75926906.290727437</v>
      </c>
      <c r="Y184" s="119">
        <v>168.29944444441935</v>
      </c>
      <c r="Z184" s="119">
        <v>0</v>
      </c>
      <c r="AB184" s="108"/>
      <c r="AC184" s="95">
        <f t="shared" si="36"/>
        <v>0</v>
      </c>
      <c r="AL184" s="125">
        <v>96.613055555555562</v>
      </c>
      <c r="AM184" s="142">
        <v>3509.5856759851272</v>
      </c>
      <c r="AP184" s="95">
        <f>+($AM184+$AM183)/2*($AL184-$AL183)</f>
        <v>143407.16533973988</v>
      </c>
    </row>
    <row r="185" spans="13:42" x14ac:dyDescent="0.3">
      <c r="M185" s="95">
        <v>2.1151388888829388</v>
      </c>
      <c r="N185" s="95">
        <v>47385132.612279661</v>
      </c>
      <c r="Q185" s="95">
        <f t="shared" si="37"/>
        <v>66177157.81265343</v>
      </c>
      <c r="AL185" s="125">
        <v>168.55722222222221</v>
      </c>
      <c r="AM185" s="142">
        <v>3421.6214170478888</v>
      </c>
      <c r="AP185" s="95">
        <f t="shared" si="35"/>
        <v>249329.95915117464</v>
      </c>
    </row>
    <row r="186" spans="13:42" x14ac:dyDescent="0.3">
      <c r="M186" s="95">
        <v>3.1488888887688518</v>
      </c>
      <c r="N186" s="95">
        <v>26793497.45471951</v>
      </c>
      <c r="Q186" s="95">
        <f t="shared" si="37"/>
        <v>38341079.411648788</v>
      </c>
      <c r="Y186" s="102" t="s">
        <v>160</v>
      </c>
    </row>
    <row r="187" spans="13:42" x14ac:dyDescent="0.3">
      <c r="M187" s="119">
        <v>4.1686111110029742</v>
      </c>
      <c r="N187" s="119">
        <v>625072.62574989931</v>
      </c>
      <c r="Q187" s="95">
        <f t="shared" si="37"/>
        <v>13979662.606469145</v>
      </c>
      <c r="Y187" s="102"/>
    </row>
    <row r="188" spans="13:42" x14ac:dyDescent="0.3">
      <c r="M188" s="95">
        <v>5.248749999969732</v>
      </c>
      <c r="N188" s="95">
        <v>370438.87365695724</v>
      </c>
      <c r="Q188" s="95">
        <f t="shared" si="37"/>
        <v>537645.34246147657</v>
      </c>
      <c r="Y188" s="123" t="s">
        <v>140</v>
      </c>
      <c r="Z188" s="86" t="s">
        <v>161</v>
      </c>
    </row>
    <row r="189" spans="13:42" x14ac:dyDescent="0.3">
      <c r="M189" s="95">
        <v>6.339444444514811</v>
      </c>
      <c r="N189" s="95">
        <v>406657.60653927323</v>
      </c>
      <c r="Q189" s="95">
        <f t="shared" si="37"/>
        <v>423787.40691278176</v>
      </c>
      <c r="AA189" s="108" t="s">
        <v>142</v>
      </c>
    </row>
    <row r="190" spans="13:42" x14ac:dyDescent="0.3">
      <c r="M190" s="95">
        <v>24.679166666697711</v>
      </c>
      <c r="N190" s="95">
        <v>147774.1586071373</v>
      </c>
      <c r="Q190" s="95">
        <f t="shared" si="37"/>
        <v>5084062.2819698583</v>
      </c>
      <c r="Y190" s="107"/>
      <c r="Z190" s="108" t="s">
        <v>143</v>
      </c>
      <c r="AA190" s="108" t="s">
        <v>144</v>
      </c>
      <c r="AB190" s="108"/>
      <c r="AC190" s="109" t="s">
        <v>145</v>
      </c>
    </row>
    <row r="191" spans="13:42" x14ac:dyDescent="0.3">
      <c r="M191" s="95">
        <v>48.534027777670417</v>
      </c>
      <c r="N191" s="95">
        <v>60453.846275709308</v>
      </c>
      <c r="Q191" s="95">
        <f t="shared" si="37"/>
        <v>2483625.0679476261</v>
      </c>
      <c r="Y191" s="108" t="s">
        <v>146</v>
      </c>
      <c r="Z191" s="108" t="s">
        <v>162</v>
      </c>
      <c r="AA191" s="108" t="s">
        <v>148</v>
      </c>
      <c r="AB191" s="108" t="s">
        <v>147</v>
      </c>
      <c r="AC191" s="109" t="s">
        <v>149</v>
      </c>
    </row>
    <row r="192" spans="13:42" x14ac:dyDescent="0.3">
      <c r="M192" s="95">
        <v>72.635138888843358</v>
      </c>
      <c r="N192" s="95">
        <v>98000.217251540394</v>
      </c>
      <c r="Q192" s="95">
        <f t="shared" si="37"/>
        <v>1909459.4955435505</v>
      </c>
      <c r="Y192" s="86">
        <v>0</v>
      </c>
      <c r="Z192" s="124">
        <v>0</v>
      </c>
      <c r="AC192" s="95"/>
    </row>
    <row r="193" spans="13:42" x14ac:dyDescent="0.3">
      <c r="M193" s="95">
        <v>96.680138888885267</v>
      </c>
      <c r="N193" s="95">
        <v>108488.61425325008</v>
      </c>
      <c r="Q193" s="95">
        <f t="shared" si="37"/>
        <v>2482511.9767706702</v>
      </c>
      <c r="Y193" s="86">
        <v>0.1</v>
      </c>
      <c r="Z193" s="125">
        <v>82821.5</v>
      </c>
      <c r="AC193" s="95">
        <f>+($Z193+$Z192)/2*($Y193-$Y192)</f>
        <v>4141.0749999999998</v>
      </c>
    </row>
    <row r="194" spans="13:42" x14ac:dyDescent="0.3">
      <c r="M194" s="95">
        <v>167.99166666663999</v>
      </c>
      <c r="N194" s="95">
        <v>24108.084123219218</v>
      </c>
      <c r="Q194" s="95">
        <f t="shared" si="37"/>
        <v>4727836.5697560776</v>
      </c>
      <c r="Y194" s="126">
        <v>0.99722222222222223</v>
      </c>
      <c r="Z194" s="127">
        <v>144415.71523286626</v>
      </c>
      <c r="AC194" s="95">
        <f t="shared" ref="AC194:AC203" si="38">+($Z194+$Z193)/2*($Y194-$Y193)</f>
        <v>101941.13961141084</v>
      </c>
    </row>
    <row r="195" spans="13:42" x14ac:dyDescent="0.3">
      <c r="Y195" s="95">
        <v>2.1288888888888891</v>
      </c>
      <c r="Z195" s="125">
        <v>195956.59641114032</v>
      </c>
      <c r="AC195" s="95">
        <f t="shared" si="38"/>
        <v>192593.99967190041</v>
      </c>
    </row>
    <row r="196" spans="13:42" ht="15.6" x14ac:dyDescent="0.3">
      <c r="M196" s="116" t="s">
        <v>170</v>
      </c>
      <c r="Y196" s="95">
        <v>3.339722222222222</v>
      </c>
      <c r="Z196" s="125">
        <v>288551.0937378268</v>
      </c>
      <c r="AC196" s="95">
        <f t="shared" si="38"/>
        <v>293329.03074435372</v>
      </c>
    </row>
    <row r="197" spans="13:42" ht="15.6" x14ac:dyDescent="0.3">
      <c r="M197" s="118"/>
      <c r="O197" s="108" t="s">
        <v>142</v>
      </c>
      <c r="P197" s="107"/>
      <c r="Y197" s="95">
        <v>4.3736111111111109</v>
      </c>
      <c r="Z197" s="127">
        <v>86272.670378814379</v>
      </c>
      <c r="AC197" s="95">
        <f t="shared" si="38"/>
        <v>193763.06250585258</v>
      </c>
    </row>
    <row r="198" spans="13:42" x14ac:dyDescent="0.3">
      <c r="M198" s="107"/>
      <c r="N198" s="108" t="s">
        <v>143</v>
      </c>
      <c r="O198" s="108" t="s">
        <v>144</v>
      </c>
      <c r="P198" s="108"/>
      <c r="Q198" s="109" t="s">
        <v>145</v>
      </c>
      <c r="Y198" s="95">
        <v>5.4625000000000004</v>
      </c>
      <c r="Z198" s="127">
        <v>72812.276532965174</v>
      </c>
      <c r="AC198" s="95">
        <f t="shared" si="38"/>
        <v>86612.915540857808</v>
      </c>
    </row>
    <row r="199" spans="13:42" x14ac:dyDescent="0.3">
      <c r="M199" s="108" t="s">
        <v>146</v>
      </c>
      <c r="N199" s="108" t="s">
        <v>147</v>
      </c>
      <c r="O199" s="108" t="s">
        <v>148</v>
      </c>
      <c r="P199" s="108" t="s">
        <v>147</v>
      </c>
      <c r="Q199" s="109" t="s">
        <v>149</v>
      </c>
      <c r="Y199" s="95">
        <v>6.6330555555555559</v>
      </c>
      <c r="Z199" s="127">
        <v>62786.573529679641</v>
      </c>
      <c r="AC199" s="95">
        <f t="shared" si="38"/>
        <v>79362.993633886843</v>
      </c>
    </row>
    <row r="200" spans="13:42" x14ac:dyDescent="0.3">
      <c r="M200" s="119">
        <v>0</v>
      </c>
      <c r="N200" s="119">
        <v>19935.690131649091</v>
      </c>
      <c r="Y200" s="95">
        <v>24.33111111111111</v>
      </c>
      <c r="Z200" s="128">
        <v>10813.474172701268</v>
      </c>
      <c r="AC200" s="95">
        <f t="shared" si="38"/>
        <v>651288.86656413821</v>
      </c>
    </row>
    <row r="201" spans="13:42" x14ac:dyDescent="0.3">
      <c r="M201" s="95">
        <v>0.10902777768205851</v>
      </c>
      <c r="N201" s="95">
        <v>57132219.866178468</v>
      </c>
      <c r="Q201" s="95">
        <f t="shared" ref="Q201:Q212" si="39">+($N201+$N200)/2*($M201-$M200)</f>
        <v>3115586.2550219023</v>
      </c>
      <c r="Y201" s="95">
        <v>48.563055555555557</v>
      </c>
      <c r="Z201" s="125">
        <v>8926.271590860315</v>
      </c>
      <c r="AC201" s="95">
        <f t="shared" si="38"/>
        <v>239166.21134504097</v>
      </c>
    </row>
    <row r="202" spans="13:42" x14ac:dyDescent="0.3">
      <c r="M202" s="95">
        <v>1.0820833333418705</v>
      </c>
      <c r="N202" s="95">
        <v>46271393.097553104</v>
      </c>
      <c r="Q202" s="95">
        <f t="shared" si="39"/>
        <v>50308730.034827977</v>
      </c>
      <c r="Y202" s="95">
        <v>72.413888888888891</v>
      </c>
      <c r="Z202" s="125">
        <v>9144.1000120403696</v>
      </c>
      <c r="AC202" s="95">
        <f t="shared" si="38"/>
        <v>215496.71068609186</v>
      </c>
    </row>
    <row r="203" spans="13:42" x14ac:dyDescent="0.3">
      <c r="M203" s="95">
        <v>2.1151388888829388</v>
      </c>
      <c r="N203" s="95">
        <v>30623806.072975427</v>
      </c>
      <c r="Q203" s="95">
        <f t="shared" si="39"/>
        <v>39718506.348775722</v>
      </c>
      <c r="Y203" s="95">
        <v>96.575555555555553</v>
      </c>
      <c r="Z203" s="125">
        <v>10266.558984085741</v>
      </c>
      <c r="AC203" s="95">
        <f t="shared" si="38"/>
        <v>234496.93622236684</v>
      </c>
    </row>
    <row r="204" spans="13:42" x14ac:dyDescent="0.3">
      <c r="M204" s="95">
        <v>3.1488888887688518</v>
      </c>
      <c r="N204" s="131">
        <v>68977806.319121465</v>
      </c>
      <c r="Q204" s="95">
        <f t="shared" si="39"/>
        <v>51481583.399483457</v>
      </c>
      <c r="Y204" s="95">
        <v>168.52055555555555</v>
      </c>
      <c r="Z204" s="125">
        <v>7931.7868647734513</v>
      </c>
      <c r="AC204" s="95">
        <f>+($Z204+$Z203)/2*($Y204-$Y203)</f>
        <v>654639.99604808725</v>
      </c>
    </row>
    <row r="205" spans="13:42" x14ac:dyDescent="0.3">
      <c r="M205" s="119">
        <v>4.1686111110029742</v>
      </c>
      <c r="N205" s="121">
        <v>1233766.6802105599</v>
      </c>
      <c r="Q205" s="95">
        <f t="shared" si="39"/>
        <v>35798150.622716084</v>
      </c>
    </row>
    <row r="206" spans="13:42" x14ac:dyDescent="0.3">
      <c r="M206" s="95">
        <v>5.248749999969732</v>
      </c>
      <c r="N206" s="131">
        <v>3395277.9478191491</v>
      </c>
      <c r="Q206" s="95">
        <f t="shared" si="39"/>
        <v>2500005.5607487741</v>
      </c>
      <c r="AC206" s="95"/>
    </row>
    <row r="207" spans="13:42" x14ac:dyDescent="0.3">
      <c r="M207" s="95">
        <v>6.339444444514811</v>
      </c>
      <c r="N207" s="133">
        <v>635433.76746240293</v>
      </c>
      <c r="Q207" s="95">
        <f t="shared" si="39"/>
        <v>2198137.4377101776</v>
      </c>
      <c r="AB207" s="86" t="s">
        <v>13</v>
      </c>
      <c r="AC207" s="95"/>
      <c r="AE207" s="28"/>
      <c r="AF207"/>
      <c r="AG207"/>
      <c r="AH207"/>
      <c r="AI207" s="28"/>
      <c r="AJ207" s="28"/>
      <c r="AK207" s="28"/>
      <c r="AL207"/>
      <c r="AM207"/>
      <c r="AN207"/>
      <c r="AO207"/>
      <c r="AP207"/>
    </row>
    <row r="208" spans="13:42" x14ac:dyDescent="0.3">
      <c r="M208" s="95">
        <v>24.679166666697711</v>
      </c>
      <c r="N208" s="95">
        <v>88115.443938842873</v>
      </c>
      <c r="Q208" s="95">
        <f t="shared" si="39"/>
        <v>6634845.7755891699</v>
      </c>
      <c r="Z208" s="3"/>
    </row>
    <row r="209" spans="13:26" x14ac:dyDescent="0.3">
      <c r="M209" s="95">
        <v>48.534027777670417</v>
      </c>
      <c r="N209" s="95">
        <v>6150.2184512991844</v>
      </c>
      <c r="Q209" s="95">
        <f t="shared" si="39"/>
        <v>1124347.141925341</v>
      </c>
      <c r="Z209"/>
    </row>
    <row r="210" spans="13:26" x14ac:dyDescent="0.3">
      <c r="M210" s="95">
        <v>72.635138888843358</v>
      </c>
      <c r="N210" s="95">
        <v>39056.362693354269</v>
      </c>
      <c r="Q210" s="95">
        <f t="shared" si="39"/>
        <v>544764.41756177426</v>
      </c>
      <c r="Z210"/>
    </row>
    <row r="211" spans="13:26" x14ac:dyDescent="0.3">
      <c r="M211" s="95">
        <v>96.680138888885267</v>
      </c>
      <c r="N211" s="95">
        <v>66731.995565351666</v>
      </c>
      <c r="Q211" s="95">
        <f t="shared" si="39"/>
        <v>1271840.5371675089</v>
      </c>
      <c r="Z211"/>
    </row>
    <row r="212" spans="13:26" x14ac:dyDescent="0.3">
      <c r="M212" s="95">
        <v>167.99166666663999</v>
      </c>
      <c r="N212" s="95">
        <v>0</v>
      </c>
      <c r="Q212" s="95">
        <f t="shared" si="39"/>
        <v>2379380.2777117901</v>
      </c>
      <c r="Z212"/>
    </row>
    <row r="213" spans="13:26" x14ac:dyDescent="0.3">
      <c r="Z213"/>
    </row>
    <row r="214" spans="13:26" ht="15.6" x14ac:dyDescent="0.3">
      <c r="M214" s="116" t="s">
        <v>164</v>
      </c>
      <c r="Z214"/>
    </row>
    <row r="215" spans="13:26" ht="15.6" x14ac:dyDescent="0.3">
      <c r="M215" s="118"/>
      <c r="O215" s="108" t="s">
        <v>142</v>
      </c>
      <c r="P215" s="107"/>
      <c r="Z215"/>
    </row>
    <row r="216" spans="13:26" x14ac:dyDescent="0.3">
      <c r="M216" s="107"/>
      <c r="N216" s="108" t="s">
        <v>143</v>
      </c>
      <c r="O216" s="108" t="s">
        <v>144</v>
      </c>
      <c r="P216" s="108"/>
      <c r="Q216" s="109" t="s">
        <v>145</v>
      </c>
      <c r="Z216"/>
    </row>
    <row r="217" spans="13:26" x14ac:dyDescent="0.3">
      <c r="M217" s="108" t="s">
        <v>146</v>
      </c>
      <c r="N217" s="108" t="s">
        <v>147</v>
      </c>
      <c r="O217" s="108" t="s">
        <v>148</v>
      </c>
      <c r="P217" s="108" t="s">
        <v>147</v>
      </c>
      <c r="Q217" s="109" t="s">
        <v>149</v>
      </c>
      <c r="Z217"/>
    </row>
    <row r="218" spans="13:26" x14ac:dyDescent="0.3">
      <c r="M218" s="119">
        <v>0</v>
      </c>
      <c r="N218" s="119">
        <v>0</v>
      </c>
      <c r="Z218"/>
    </row>
    <row r="219" spans="13:26" x14ac:dyDescent="0.3">
      <c r="M219" s="95">
        <v>0.10902777768205851</v>
      </c>
      <c r="N219" s="95">
        <v>691220.54393564118</v>
      </c>
      <c r="Q219" s="95">
        <f t="shared" ref="Q219:Q230" si="40">+($N219+$N218)/2*($M219-$M218)</f>
        <v>37681.119896743323</v>
      </c>
    </row>
    <row r="220" spans="13:26" x14ac:dyDescent="0.3">
      <c r="M220" s="95">
        <v>1.0820833333418705</v>
      </c>
      <c r="N220" s="95">
        <v>26085.367946872972</v>
      </c>
      <c r="Q220" s="95">
        <f t="shared" si="40"/>
        <v>348989.25133245392</v>
      </c>
    </row>
    <row r="221" spans="13:26" x14ac:dyDescent="0.3">
      <c r="M221" s="95">
        <v>2.1151388888829388</v>
      </c>
      <c r="N221" s="95">
        <v>26972.582487917967</v>
      </c>
      <c r="Q221" s="95">
        <f t="shared" si="40"/>
        <v>27405.905231141711</v>
      </c>
    </row>
    <row r="222" spans="13:26" x14ac:dyDescent="0.3">
      <c r="M222" s="95">
        <v>3.1488888887688518</v>
      </c>
      <c r="N222" s="95">
        <v>0</v>
      </c>
      <c r="Q222" s="95">
        <f t="shared" si="40"/>
        <v>13941.453571903989</v>
      </c>
    </row>
    <row r="223" spans="13:26" x14ac:dyDescent="0.3">
      <c r="M223" s="119">
        <v>4.1686111110029742</v>
      </c>
      <c r="N223" s="119">
        <v>0</v>
      </c>
      <c r="Q223" s="95">
        <f t="shared" si="40"/>
        <v>0</v>
      </c>
    </row>
    <row r="224" spans="13:26" x14ac:dyDescent="0.3">
      <c r="M224" s="95">
        <v>5.248749999969732</v>
      </c>
      <c r="N224" s="95">
        <v>0</v>
      </c>
      <c r="Q224" s="95">
        <f t="shared" si="40"/>
        <v>0</v>
      </c>
    </row>
    <row r="225" spans="13:17" x14ac:dyDescent="0.3">
      <c r="M225" s="95">
        <v>6.339444444514811</v>
      </c>
      <c r="N225" s="95">
        <v>0</v>
      </c>
      <c r="Q225" s="95">
        <f t="shared" si="40"/>
        <v>0</v>
      </c>
    </row>
    <row r="226" spans="13:17" x14ac:dyDescent="0.3">
      <c r="M226" s="95">
        <v>24.679166666697711</v>
      </c>
      <c r="N226" s="95">
        <v>0</v>
      </c>
      <c r="Q226" s="95">
        <f t="shared" si="40"/>
        <v>0</v>
      </c>
    </row>
    <row r="227" spans="13:17" x14ac:dyDescent="0.3">
      <c r="M227" s="95">
        <v>48.534027777670417</v>
      </c>
      <c r="N227" s="95">
        <v>0</v>
      </c>
      <c r="Q227" s="95">
        <f t="shared" si="40"/>
        <v>0</v>
      </c>
    </row>
    <row r="228" spans="13:17" x14ac:dyDescent="0.3">
      <c r="M228" s="95">
        <v>72.635138888843358</v>
      </c>
      <c r="N228" s="95">
        <v>0</v>
      </c>
      <c r="Q228" s="95">
        <f t="shared" si="40"/>
        <v>0</v>
      </c>
    </row>
    <row r="229" spans="13:17" x14ac:dyDescent="0.3">
      <c r="M229" s="95">
        <v>96.680138888885267</v>
      </c>
      <c r="N229" s="95">
        <v>0</v>
      </c>
      <c r="Q229" s="95">
        <f t="shared" si="40"/>
        <v>0</v>
      </c>
    </row>
    <row r="230" spans="13:17" x14ac:dyDescent="0.3">
      <c r="M230" s="95">
        <v>167.99166666663999</v>
      </c>
      <c r="N230" s="95">
        <v>0</v>
      </c>
      <c r="Q230" s="95">
        <f t="shared" si="40"/>
        <v>0</v>
      </c>
    </row>
    <row r="232" spans="13:17" ht="15.6" x14ac:dyDescent="0.3">
      <c r="M232" s="116" t="s">
        <v>159</v>
      </c>
    </row>
    <row r="233" spans="13:17" ht="15.6" x14ac:dyDescent="0.3">
      <c r="M233" s="118"/>
      <c r="O233" s="108" t="s">
        <v>142</v>
      </c>
      <c r="P233" s="107"/>
    </row>
    <row r="234" spans="13:17" x14ac:dyDescent="0.3">
      <c r="M234" s="107"/>
      <c r="N234" s="108" t="s">
        <v>143</v>
      </c>
      <c r="O234" s="108" t="s">
        <v>144</v>
      </c>
      <c r="P234" s="108"/>
      <c r="Q234" s="109" t="s">
        <v>145</v>
      </c>
    </row>
    <row r="235" spans="13:17" x14ac:dyDescent="0.3">
      <c r="M235" s="108" t="s">
        <v>146</v>
      </c>
      <c r="N235" s="108" t="s">
        <v>147</v>
      </c>
      <c r="O235" s="108" t="s">
        <v>148</v>
      </c>
      <c r="P235" s="108" t="s">
        <v>147</v>
      </c>
      <c r="Q235" s="109" t="s">
        <v>149</v>
      </c>
    </row>
    <row r="236" spans="13:17" x14ac:dyDescent="0.3">
      <c r="M236" s="119">
        <v>0</v>
      </c>
      <c r="N236" s="108">
        <v>0</v>
      </c>
    </row>
    <row r="237" spans="13:17" x14ac:dyDescent="0.3">
      <c r="M237" s="95">
        <v>0.10902777768205851</v>
      </c>
      <c r="N237" s="95">
        <v>72481.591748958803</v>
      </c>
      <c r="Q237" s="95">
        <f t="shared" ref="Q237:Q248" si="41">+($N237+$N236)/2*($M237-$M236)</f>
        <v>3951.2534356236033</v>
      </c>
    </row>
    <row r="238" spans="13:17" x14ac:dyDescent="0.3">
      <c r="M238" s="95">
        <v>1.0820833333418705</v>
      </c>
      <c r="N238" s="95">
        <v>61166.602657938347</v>
      </c>
      <c r="Q238" s="95">
        <f t="shared" si="41"/>
        <v>65023.559035766935</v>
      </c>
    </row>
    <row r="239" spans="13:17" x14ac:dyDescent="0.3">
      <c r="M239" s="95">
        <v>2.1151388888829388</v>
      </c>
      <c r="N239" s="95">
        <v>17420.537847269166</v>
      </c>
      <c r="Q239" s="95">
        <f t="shared" si="41"/>
        <v>40592.441046495573</v>
      </c>
    </row>
    <row r="240" spans="13:17" x14ac:dyDescent="0.3">
      <c r="M240" s="95">
        <v>3.1488888887688518</v>
      </c>
      <c r="N240" s="134">
        <v>23684.279000261857</v>
      </c>
      <c r="Q240" s="95">
        <f t="shared" si="41"/>
        <v>21246.052205722834</v>
      </c>
    </row>
    <row r="241" spans="13:17" x14ac:dyDescent="0.3">
      <c r="M241" s="119">
        <v>4.1686111110029742</v>
      </c>
      <c r="N241" s="135">
        <v>643.31001129469212</v>
      </c>
      <c r="Q241" s="95">
        <f t="shared" si="41"/>
        <v>12403.691564231431</v>
      </c>
    </row>
    <row r="242" spans="13:17" x14ac:dyDescent="0.3">
      <c r="M242" s="95">
        <v>5.248749999969732</v>
      </c>
      <c r="N242" s="86">
        <v>0</v>
      </c>
      <c r="Q242" s="95">
        <f t="shared" si="41"/>
        <v>347.43208043052056</v>
      </c>
    </row>
    <row r="243" spans="13:17" x14ac:dyDescent="0.3">
      <c r="M243" s="95">
        <v>6.339444444514811</v>
      </c>
      <c r="N243" s="86">
        <v>0</v>
      </c>
      <c r="Q243" s="95">
        <f t="shared" si="41"/>
        <v>0</v>
      </c>
    </row>
    <row r="244" spans="13:17" x14ac:dyDescent="0.3">
      <c r="M244" s="95">
        <v>24.679166666697711</v>
      </c>
      <c r="N244" s="86">
        <v>0</v>
      </c>
      <c r="Q244" s="95">
        <f t="shared" si="41"/>
        <v>0</v>
      </c>
    </row>
    <row r="245" spans="13:17" x14ac:dyDescent="0.3">
      <c r="M245" s="95">
        <v>48.534027777670417</v>
      </c>
      <c r="N245" s="86">
        <v>0</v>
      </c>
      <c r="Q245" s="95">
        <f t="shared" si="41"/>
        <v>0</v>
      </c>
    </row>
    <row r="246" spans="13:17" x14ac:dyDescent="0.3">
      <c r="M246" s="95">
        <v>72.635138888843358</v>
      </c>
      <c r="N246" s="86">
        <v>0</v>
      </c>
      <c r="Q246" s="95">
        <f t="shared" si="41"/>
        <v>0</v>
      </c>
    </row>
    <row r="247" spans="13:17" x14ac:dyDescent="0.3">
      <c r="M247" s="95">
        <v>96.680138888885267</v>
      </c>
      <c r="N247" s="86">
        <v>0</v>
      </c>
      <c r="Q247" s="95">
        <f t="shared" si="41"/>
        <v>0</v>
      </c>
    </row>
    <row r="248" spans="13:17" x14ac:dyDescent="0.3">
      <c r="M248" s="95">
        <v>167.99166666663999</v>
      </c>
      <c r="N248" s="86">
        <v>0</v>
      </c>
      <c r="Q248" s="95">
        <f t="shared" si="41"/>
        <v>0</v>
      </c>
    </row>
    <row r="250" spans="13:17" ht="15.6" x14ac:dyDescent="0.3">
      <c r="M250" s="116" t="s">
        <v>166</v>
      </c>
    </row>
    <row r="251" spans="13:17" ht="15.6" x14ac:dyDescent="0.3">
      <c r="M251" s="118"/>
      <c r="O251" s="108" t="s">
        <v>142</v>
      </c>
      <c r="P251" s="107"/>
    </row>
    <row r="252" spans="13:17" x14ac:dyDescent="0.3">
      <c r="M252" s="107"/>
      <c r="N252" s="108" t="s">
        <v>143</v>
      </c>
      <c r="O252" s="108" t="s">
        <v>144</v>
      </c>
      <c r="P252" s="108"/>
      <c r="Q252" s="109" t="s">
        <v>145</v>
      </c>
    </row>
    <row r="253" spans="13:17" x14ac:dyDescent="0.3">
      <c r="M253" s="108" t="s">
        <v>146</v>
      </c>
      <c r="N253" s="108" t="s">
        <v>147</v>
      </c>
      <c r="O253" s="108" t="s">
        <v>148</v>
      </c>
      <c r="P253" s="108" t="s">
        <v>147</v>
      </c>
      <c r="Q253" s="109" t="s">
        <v>149</v>
      </c>
    </row>
    <row r="254" spans="13:17" x14ac:dyDescent="0.3">
      <c r="M254" s="119">
        <v>0</v>
      </c>
      <c r="N254" s="119">
        <v>0</v>
      </c>
    </row>
    <row r="255" spans="13:17" x14ac:dyDescent="0.3">
      <c r="M255" s="95">
        <v>0.10902777768205851</v>
      </c>
      <c r="N255" s="133">
        <v>1420345.3961909583</v>
      </c>
    </row>
    <row r="256" spans="13:17" x14ac:dyDescent="0.3">
      <c r="M256" s="95">
        <v>1.0820833333418705</v>
      </c>
      <c r="N256" s="95">
        <v>387376.7817712854</v>
      </c>
      <c r="Q256" s="95">
        <f t="shared" ref="Q256:Q266" si="42">+($N256+$N255)/2*($M256-$M255)</f>
        <v>879507.05417780834</v>
      </c>
    </row>
    <row r="257" spans="13:17" x14ac:dyDescent="0.3">
      <c r="M257" s="95">
        <v>2.1151388888829388</v>
      </c>
      <c r="N257" s="95">
        <v>242259.34775321328</v>
      </c>
      <c r="Q257" s="95">
        <f t="shared" si="42"/>
        <v>325224.55078732956</v>
      </c>
    </row>
    <row r="258" spans="13:17" x14ac:dyDescent="0.3">
      <c r="M258" s="95">
        <v>3.1488888887688518</v>
      </c>
      <c r="N258" s="131">
        <v>80577.695043547268</v>
      </c>
      <c r="Q258" s="95">
        <f t="shared" si="42"/>
        <v>166866.39647715987</v>
      </c>
    </row>
    <row r="259" spans="13:17" x14ac:dyDescent="0.3">
      <c r="M259" s="119">
        <v>4.1686111110029742</v>
      </c>
      <c r="N259" s="119">
        <v>5120.8498509716947</v>
      </c>
      <c r="Q259" s="95">
        <f t="shared" si="42"/>
        <v>43694.355321034789</v>
      </c>
    </row>
    <row r="260" spans="13:17" x14ac:dyDescent="0.3">
      <c r="M260" s="95">
        <v>5.248749999969732</v>
      </c>
      <c r="N260" s="95">
        <v>0</v>
      </c>
      <c r="Q260" s="95">
        <f t="shared" si="42"/>
        <v>2765.6145342970767</v>
      </c>
    </row>
    <row r="261" spans="13:17" x14ac:dyDescent="0.3">
      <c r="M261" s="95">
        <v>6.339444444514811</v>
      </c>
      <c r="N261" s="131">
        <v>1655.4329919616227</v>
      </c>
      <c r="Q261" s="95">
        <f t="shared" si="42"/>
        <v>902.78578382459023</v>
      </c>
    </row>
    <row r="262" spans="13:17" x14ac:dyDescent="0.3">
      <c r="M262" s="95">
        <v>24.679166666697711</v>
      </c>
      <c r="N262" s="95">
        <v>0</v>
      </c>
      <c r="Q262" s="95">
        <f t="shared" si="42"/>
        <v>15180.090615006649</v>
      </c>
    </row>
    <row r="263" spans="13:17" x14ac:dyDescent="0.3">
      <c r="M263" s="95">
        <v>48.534027777670417</v>
      </c>
      <c r="N263" s="95">
        <v>0</v>
      </c>
      <c r="Q263" s="95">
        <f t="shared" si="42"/>
        <v>0</v>
      </c>
    </row>
    <row r="264" spans="13:17" x14ac:dyDescent="0.3">
      <c r="M264" s="95">
        <v>72.635138888843358</v>
      </c>
      <c r="N264" s="95">
        <v>0</v>
      </c>
      <c r="Q264" s="95">
        <f t="shared" si="42"/>
        <v>0</v>
      </c>
    </row>
    <row r="265" spans="13:17" x14ac:dyDescent="0.3">
      <c r="M265" s="95">
        <v>96.680138888885267</v>
      </c>
      <c r="N265" s="95">
        <v>0</v>
      </c>
      <c r="Q265" s="95">
        <f t="shared" si="42"/>
        <v>0</v>
      </c>
    </row>
    <row r="266" spans="13:17" x14ac:dyDescent="0.3">
      <c r="M266" s="95">
        <v>167.99166666663999</v>
      </c>
      <c r="N266" s="95">
        <v>0</v>
      </c>
      <c r="Q266" s="95">
        <f t="shared" si="42"/>
        <v>0</v>
      </c>
    </row>
    <row r="267" spans="13:17" x14ac:dyDescent="0.3">
      <c r="Q267" s="95"/>
    </row>
    <row r="268" spans="13:17" ht="15.6" x14ac:dyDescent="0.3">
      <c r="M268" s="116" t="s">
        <v>171</v>
      </c>
    </row>
    <row r="269" spans="13:17" ht="15.6" x14ac:dyDescent="0.3">
      <c r="M269" s="118"/>
      <c r="O269" s="108" t="s">
        <v>142</v>
      </c>
      <c r="P269" s="107"/>
    </row>
    <row r="270" spans="13:17" x14ac:dyDescent="0.3">
      <c r="M270" s="107"/>
      <c r="N270" s="108" t="s">
        <v>143</v>
      </c>
      <c r="O270" s="108" t="s">
        <v>144</v>
      </c>
      <c r="P270" s="108"/>
      <c r="Q270" s="109" t="s">
        <v>145</v>
      </c>
    </row>
    <row r="271" spans="13:17" x14ac:dyDescent="0.3">
      <c r="M271" s="108" t="s">
        <v>146</v>
      </c>
      <c r="N271" s="108" t="s">
        <v>147</v>
      </c>
      <c r="O271" s="108" t="s">
        <v>148</v>
      </c>
      <c r="P271" s="108" t="s">
        <v>147</v>
      </c>
      <c r="Q271" s="109" t="s">
        <v>149</v>
      </c>
    </row>
    <row r="272" spans="13:17" x14ac:dyDescent="0.3">
      <c r="M272" s="119">
        <v>0</v>
      </c>
      <c r="N272" s="119">
        <v>487.477420386174</v>
      </c>
    </row>
    <row r="273" spans="13:17" x14ac:dyDescent="0.3">
      <c r="M273" s="95">
        <v>0.10902777768205851</v>
      </c>
      <c r="N273" s="95">
        <v>3395296.9192242408</v>
      </c>
      <c r="Q273" s="95">
        <f t="shared" ref="Q273:Q284" si="43">+($N273+$N272)/2*($M273-$M272)</f>
        <v>185117.41312678682</v>
      </c>
    </row>
    <row r="274" spans="13:17" x14ac:dyDescent="0.3">
      <c r="M274" s="95">
        <v>1.0820833333418705</v>
      </c>
      <c r="N274" s="95">
        <v>455940.57804379566</v>
      </c>
      <c r="Q274" s="95">
        <f t="shared" si="43"/>
        <v>1873734.0214410264</v>
      </c>
    </row>
    <row r="275" spans="13:17" x14ac:dyDescent="0.3">
      <c r="M275" s="95">
        <v>2.1151388888829388</v>
      </c>
      <c r="N275" s="95">
        <v>433118.56793704804</v>
      </c>
      <c r="Q275" s="95">
        <f t="shared" si="43"/>
        <v>459223.74498005409</v>
      </c>
    </row>
    <row r="276" spans="13:17" x14ac:dyDescent="0.3">
      <c r="M276" s="95">
        <v>3.1488888887688518</v>
      </c>
      <c r="N276" s="95">
        <v>169000.4417839846</v>
      </c>
      <c r="Q276" s="95">
        <f t="shared" si="43"/>
        <v>311220.26311521174</v>
      </c>
    </row>
    <row r="277" spans="13:17" x14ac:dyDescent="0.3">
      <c r="M277" s="119">
        <v>4.1686111110029742</v>
      </c>
      <c r="N277" s="119">
        <v>18271.190428076221</v>
      </c>
      <c r="Q277" s="95">
        <f t="shared" si="43"/>
        <v>95482.522480346961</v>
      </c>
    </row>
    <row r="278" spans="13:17" x14ac:dyDescent="0.3">
      <c r="M278" s="95">
        <v>5.248749999969732</v>
      </c>
      <c r="N278" s="95">
        <v>816.90700637601003</v>
      </c>
      <c r="Q278" s="95">
        <f t="shared" si="43"/>
        <v>10308.898177669227</v>
      </c>
    </row>
    <row r="279" spans="13:17" x14ac:dyDescent="0.3">
      <c r="M279" s="95">
        <v>6.339444444514811</v>
      </c>
      <c r="N279" s="95">
        <v>6961.659046834091</v>
      </c>
      <c r="Q279" s="95">
        <f t="shared" si="43"/>
        <v>4242.0193903815998</v>
      </c>
    </row>
    <row r="280" spans="13:17" x14ac:dyDescent="0.3">
      <c r="M280" s="95">
        <v>24.679166666697711</v>
      </c>
      <c r="N280" s="95">
        <v>1324.8608228637368</v>
      </c>
      <c r="Q280" s="95">
        <f t="shared" si="43"/>
        <v>75986.236299428696</v>
      </c>
    </row>
    <row r="281" spans="13:17" x14ac:dyDescent="0.3">
      <c r="M281" s="95">
        <v>48.534027777670417</v>
      </c>
      <c r="N281" s="95">
        <v>0</v>
      </c>
      <c r="Q281" s="95">
        <f t="shared" si="43"/>
        <v>15802.185460391727</v>
      </c>
    </row>
    <row r="282" spans="13:17" x14ac:dyDescent="0.3">
      <c r="M282" s="95">
        <v>72.635138888843358</v>
      </c>
      <c r="N282" s="95">
        <v>689.08476123578885</v>
      </c>
      <c r="Q282" s="95">
        <f t="shared" si="43"/>
        <v>8303.8541977799123</v>
      </c>
    </row>
    <row r="283" spans="13:17" x14ac:dyDescent="0.3">
      <c r="M283" s="95">
        <v>96.680138888885267</v>
      </c>
      <c r="N283" s="95">
        <v>879.93383614697609</v>
      </c>
      <c r="Q283" s="95">
        <f t="shared" si="43"/>
        <v>18863.52608706717</v>
      </c>
    </row>
    <row r="284" spans="13:17" x14ac:dyDescent="0.3">
      <c r="M284" s="95">
        <v>167.99166666663999</v>
      </c>
      <c r="N284" s="95">
        <v>0</v>
      </c>
      <c r="Q284" s="95">
        <f t="shared" si="43"/>
        <v>31374.713099490677</v>
      </c>
    </row>
    <row r="286" spans="13:17" ht="15.6" x14ac:dyDescent="0.3">
      <c r="M286" s="116" t="s">
        <v>163</v>
      </c>
    </row>
    <row r="287" spans="13:17" ht="15.6" x14ac:dyDescent="0.3">
      <c r="M287" s="118"/>
      <c r="O287" s="108" t="s">
        <v>142</v>
      </c>
      <c r="P287" s="107"/>
    </row>
    <row r="288" spans="13:17" x14ac:dyDescent="0.3">
      <c r="M288" s="107"/>
      <c r="N288" s="108" t="s">
        <v>143</v>
      </c>
      <c r="O288" s="108" t="s">
        <v>144</v>
      </c>
      <c r="P288" s="108"/>
      <c r="Q288" s="109" t="s">
        <v>145</v>
      </c>
    </row>
    <row r="289" spans="13:23" x14ac:dyDescent="0.3">
      <c r="M289" s="108" t="s">
        <v>146</v>
      </c>
      <c r="N289" s="108" t="s">
        <v>147</v>
      </c>
      <c r="O289" s="108" t="s">
        <v>148</v>
      </c>
      <c r="P289" s="108" t="s">
        <v>147</v>
      </c>
      <c r="Q289" s="109" t="s">
        <v>149</v>
      </c>
    </row>
    <row r="290" spans="13:23" x14ac:dyDescent="0.3">
      <c r="M290" s="119">
        <v>0</v>
      </c>
      <c r="N290" s="119">
        <v>0</v>
      </c>
    </row>
    <row r="291" spans="13:23" x14ac:dyDescent="0.3">
      <c r="M291" s="95">
        <v>0.10902777768205851</v>
      </c>
      <c r="N291" s="95">
        <v>1225.1467700239189</v>
      </c>
      <c r="Q291" s="95">
        <f t="shared" ref="Q291:Q302" si="44">+($N291+$N290)/2*($M291-$M290)</f>
        <v>66.787514835029953</v>
      </c>
    </row>
    <row r="292" spans="13:23" x14ac:dyDescent="0.3">
      <c r="M292" s="95">
        <v>1.0820833333418705</v>
      </c>
      <c r="N292" s="95">
        <v>894.90395310319582</v>
      </c>
      <c r="Q292" s="95">
        <f t="shared" si="44"/>
        <v>1031.4635672097204</v>
      </c>
      <c r="W292" s="9"/>
    </row>
    <row r="293" spans="13:23" x14ac:dyDescent="0.3">
      <c r="M293" s="95">
        <v>2.1151388888829388</v>
      </c>
      <c r="N293" s="95">
        <v>519.90188183373732</v>
      </c>
      <c r="Q293" s="95">
        <f t="shared" si="44"/>
        <v>730.78651389675917</v>
      </c>
    </row>
    <row r="294" spans="13:23" x14ac:dyDescent="0.3">
      <c r="M294" s="95">
        <v>3.1488888887688518</v>
      </c>
      <c r="N294" s="95">
        <v>0</v>
      </c>
      <c r="Q294" s="95">
        <f t="shared" si="44"/>
        <v>268.72428514315595</v>
      </c>
    </row>
    <row r="295" spans="13:23" x14ac:dyDescent="0.3">
      <c r="M295" s="119">
        <v>4.1686111110029742</v>
      </c>
      <c r="N295" s="95">
        <v>0</v>
      </c>
      <c r="Q295" s="95">
        <f t="shared" si="44"/>
        <v>0</v>
      </c>
    </row>
    <row r="296" spans="13:23" x14ac:dyDescent="0.3">
      <c r="M296" s="95">
        <v>5.248749999969732</v>
      </c>
      <c r="N296" s="95">
        <v>0</v>
      </c>
      <c r="Q296" s="95">
        <f t="shared" si="44"/>
        <v>0</v>
      </c>
    </row>
    <row r="297" spans="13:23" x14ac:dyDescent="0.3">
      <c r="M297" s="95">
        <v>6.339444444514811</v>
      </c>
      <c r="N297" s="95">
        <v>0</v>
      </c>
      <c r="Q297" s="95">
        <f t="shared" si="44"/>
        <v>0</v>
      </c>
    </row>
    <row r="298" spans="13:23" x14ac:dyDescent="0.3">
      <c r="M298" s="95">
        <v>24.679166666697711</v>
      </c>
      <c r="N298" s="95">
        <v>0</v>
      </c>
      <c r="Q298" s="95">
        <f t="shared" si="44"/>
        <v>0</v>
      </c>
    </row>
    <row r="299" spans="13:23" x14ac:dyDescent="0.3">
      <c r="M299" s="95">
        <v>48.534027777670417</v>
      </c>
      <c r="N299" s="95">
        <v>0</v>
      </c>
      <c r="Q299" s="95">
        <f t="shared" si="44"/>
        <v>0</v>
      </c>
    </row>
    <row r="300" spans="13:23" x14ac:dyDescent="0.3">
      <c r="M300" s="95">
        <v>72.635138888843358</v>
      </c>
      <c r="N300" s="95">
        <v>0</v>
      </c>
      <c r="Q300" s="95">
        <f t="shared" si="44"/>
        <v>0</v>
      </c>
    </row>
    <row r="301" spans="13:23" x14ac:dyDescent="0.3">
      <c r="M301" s="95">
        <v>96.680138888885267</v>
      </c>
      <c r="N301" s="95">
        <v>0</v>
      </c>
      <c r="Q301" s="95">
        <f t="shared" si="44"/>
        <v>0</v>
      </c>
    </row>
    <row r="302" spans="13:23" x14ac:dyDescent="0.3">
      <c r="M302" s="95">
        <v>167.99166666663999</v>
      </c>
      <c r="N302" s="95">
        <v>0</v>
      </c>
      <c r="Q302" s="95">
        <f t="shared" si="44"/>
        <v>0</v>
      </c>
    </row>
    <row r="306" spans="13:17" x14ac:dyDescent="0.3">
      <c r="M306" s="102" t="s">
        <v>160</v>
      </c>
    </row>
    <row r="307" spans="13:17" x14ac:dyDescent="0.3">
      <c r="M307" s="102"/>
    </row>
    <row r="308" spans="13:17" x14ac:dyDescent="0.3">
      <c r="M308" s="123" t="s">
        <v>51</v>
      </c>
    </row>
    <row r="309" spans="13:17" x14ac:dyDescent="0.3">
      <c r="O309" s="108" t="s">
        <v>142</v>
      </c>
    </row>
    <row r="310" spans="13:17" x14ac:dyDescent="0.3">
      <c r="M310" s="107"/>
      <c r="N310" s="108" t="s">
        <v>143</v>
      </c>
      <c r="O310" s="108" t="s">
        <v>144</v>
      </c>
      <c r="P310" s="108"/>
      <c r="Q310" s="109" t="s">
        <v>145</v>
      </c>
    </row>
    <row r="311" spans="13:17" x14ac:dyDescent="0.3">
      <c r="M311" s="108" t="s">
        <v>146</v>
      </c>
      <c r="N311" s="108" t="s">
        <v>162</v>
      </c>
      <c r="O311" s="108" t="s">
        <v>148</v>
      </c>
      <c r="P311" s="108" t="s">
        <v>147</v>
      </c>
      <c r="Q311" s="109" t="s">
        <v>149</v>
      </c>
    </row>
    <row r="312" spans="13:17" x14ac:dyDescent="0.3">
      <c r="M312" s="86">
        <v>0</v>
      </c>
      <c r="N312" s="86">
        <v>0</v>
      </c>
      <c r="O312" s="136"/>
    </row>
    <row r="313" spans="13:17" x14ac:dyDescent="0.3">
      <c r="M313" s="86">
        <v>0.1</v>
      </c>
      <c r="N313" s="86">
        <v>50812.365479293403</v>
      </c>
      <c r="Q313" s="95">
        <f t="shared" ref="Q313:Q323" si="45">+($N313+$N312)/2*($M313-$M312)</f>
        <v>2540.6182739646702</v>
      </c>
    </row>
    <row r="314" spans="13:17" x14ac:dyDescent="0.3">
      <c r="M314" s="95">
        <v>0.80722222222222217</v>
      </c>
      <c r="N314" s="86">
        <v>6387.4167930668154</v>
      </c>
      <c r="Q314" s="95">
        <f t="shared" si="45"/>
        <v>20226.47856464293</v>
      </c>
    </row>
    <row r="315" spans="13:17" x14ac:dyDescent="0.3">
      <c r="M315" s="95">
        <v>1.8291666666666666</v>
      </c>
      <c r="N315" s="86">
        <v>2834.9924563094719</v>
      </c>
      <c r="Q315" s="95">
        <f t="shared" si="45"/>
        <v>4712.3949483965771</v>
      </c>
    </row>
    <row r="316" spans="13:17" x14ac:dyDescent="0.3">
      <c r="M316" s="95">
        <v>2.8580555555555556</v>
      </c>
      <c r="N316" s="86">
        <v>1474.646533093583</v>
      </c>
      <c r="Q316" s="95">
        <f t="shared" si="45"/>
        <v>2217.0698356595717</v>
      </c>
    </row>
    <row r="317" spans="13:17" x14ac:dyDescent="0.3">
      <c r="M317" s="95">
        <v>3.8711111111111109</v>
      </c>
      <c r="N317" s="86">
        <v>1655.5049446226087</v>
      </c>
      <c r="Q317" s="95">
        <f t="shared" si="45"/>
        <v>1585.5086721154098</v>
      </c>
    </row>
    <row r="318" spans="13:17" x14ac:dyDescent="0.3">
      <c r="M318" s="95">
        <v>4.9749999999999996</v>
      </c>
      <c r="N318" s="86">
        <v>1093.0047266411261</v>
      </c>
      <c r="Q318" s="95">
        <f t="shared" si="45"/>
        <v>1517.0246435558447</v>
      </c>
    </row>
    <row r="319" spans="13:17" x14ac:dyDescent="0.3">
      <c r="M319" s="95">
        <v>6.052777777777778</v>
      </c>
      <c r="N319" s="86">
        <v>927.60273495460513</v>
      </c>
      <c r="Q319" s="95">
        <f t="shared" si="45"/>
        <v>1088.8829098599226</v>
      </c>
    </row>
    <row r="320" spans="13:17" x14ac:dyDescent="0.3">
      <c r="M320" s="95">
        <v>24.97388888888889</v>
      </c>
      <c r="N320" s="86">
        <v>185.89724487680604</v>
      </c>
      <c r="Q320" s="95">
        <f t="shared" si="45"/>
        <v>10534.328420305057</v>
      </c>
    </row>
    <row r="321" spans="13:19" x14ac:dyDescent="0.3">
      <c r="M321" s="95">
        <v>48.914722222222224</v>
      </c>
      <c r="N321" s="86">
        <v>105.02667511109466</v>
      </c>
      <c r="Q321" s="95">
        <f t="shared" si="45"/>
        <v>3482.4805405551665</v>
      </c>
    </row>
    <row r="322" spans="13:19" x14ac:dyDescent="0.3">
      <c r="M322" s="95">
        <v>72.958888888888893</v>
      </c>
      <c r="N322" s="86">
        <v>76.758403655181084</v>
      </c>
      <c r="Q322" s="95">
        <f t="shared" si="45"/>
        <v>2185.4353656847311</v>
      </c>
    </row>
    <row r="323" spans="13:19" x14ac:dyDescent="0.3">
      <c r="M323" s="95">
        <v>96.963055555555556</v>
      </c>
      <c r="N323" s="86">
        <v>49.455165462977938</v>
      </c>
      <c r="Q323" s="95">
        <f t="shared" si="45"/>
        <v>1514.825774353571</v>
      </c>
    </row>
    <row r="324" spans="13:19" x14ac:dyDescent="0.3">
      <c r="M324" s="95">
        <v>168.29166666666666</v>
      </c>
      <c r="N324" s="86">
        <v>35.411471521925982</v>
      </c>
      <c r="Q324" s="95">
        <f>+($N324+$N323)/2*($M324-$M323)</f>
        <v>3026.709672902025</v>
      </c>
      <c r="R324" s="95"/>
    </row>
    <row r="325" spans="13:19" x14ac:dyDescent="0.3">
      <c r="S325" s="95"/>
    </row>
    <row r="326" spans="13:19" x14ac:dyDescent="0.3">
      <c r="M326" s="123" t="s">
        <v>58</v>
      </c>
    </row>
    <row r="327" spans="13:19" x14ac:dyDescent="0.3">
      <c r="O327" s="108" t="s">
        <v>142</v>
      </c>
    </row>
    <row r="328" spans="13:19" x14ac:dyDescent="0.3">
      <c r="M328" s="107"/>
      <c r="N328" s="108" t="s">
        <v>143</v>
      </c>
      <c r="O328" s="108" t="s">
        <v>144</v>
      </c>
      <c r="P328" s="108"/>
      <c r="Q328" s="109" t="s">
        <v>145</v>
      </c>
    </row>
    <row r="329" spans="13:19" x14ac:dyDescent="0.3">
      <c r="M329" s="108" t="s">
        <v>146</v>
      </c>
      <c r="N329" s="108" t="s">
        <v>162</v>
      </c>
      <c r="O329" s="108" t="s">
        <v>148</v>
      </c>
      <c r="P329" s="108" t="s">
        <v>147</v>
      </c>
      <c r="Q329" s="109" t="s">
        <v>149</v>
      </c>
    </row>
    <row r="330" spans="13:19" x14ac:dyDescent="0.3">
      <c r="M330" s="86">
        <v>0</v>
      </c>
      <c r="N330" s="86">
        <v>0</v>
      </c>
    </row>
    <row r="331" spans="13:19" x14ac:dyDescent="0.3">
      <c r="M331" s="86">
        <v>0.1</v>
      </c>
      <c r="N331" s="86">
        <v>24016.338128069212</v>
      </c>
      <c r="Q331" s="95">
        <f>+($N331+$N330)/2*($M331-$M330)</f>
        <v>1200.8169064034607</v>
      </c>
    </row>
    <row r="332" spans="13:19" x14ac:dyDescent="0.3">
      <c r="M332" s="95">
        <v>0.80722222222222217</v>
      </c>
      <c r="N332" s="86">
        <v>6524.4377111752547</v>
      </c>
      <c r="Q332" s="95">
        <f t="shared" ref="Q332:Q342" si="46">+($N332+$N331)/2*($M332-$M331)</f>
        <v>10799.557678710613</v>
      </c>
    </row>
    <row r="333" spans="13:19" x14ac:dyDescent="0.3">
      <c r="M333" s="95">
        <v>1.8291666666666666</v>
      </c>
      <c r="N333" s="86">
        <v>3916.1628533214111</v>
      </c>
      <c r="Q333" s="95">
        <f t="shared" si="46"/>
        <v>5334.8568717754488</v>
      </c>
    </row>
    <row r="334" spans="13:19" x14ac:dyDescent="0.3">
      <c r="M334" s="95">
        <v>2.8580555555555556</v>
      </c>
      <c r="N334" s="86">
        <v>3488.7609564951417</v>
      </c>
      <c r="Q334" s="95">
        <f t="shared" si="46"/>
        <v>3809.4219154945163</v>
      </c>
    </row>
    <row r="335" spans="13:19" x14ac:dyDescent="0.3">
      <c r="M335" s="95">
        <v>3.8711111111111109</v>
      </c>
      <c r="N335" s="86">
        <v>2157.8806906956252</v>
      </c>
      <c r="Q335" s="95">
        <f t="shared" si="46"/>
        <v>2860.1808454589896</v>
      </c>
    </row>
    <row r="336" spans="13:19" x14ac:dyDescent="0.3">
      <c r="M336" s="95">
        <v>4.9749999999999996</v>
      </c>
      <c r="N336" s="86">
        <v>1960.4627634187141</v>
      </c>
      <c r="Q336" s="95">
        <f t="shared" si="46"/>
        <v>2273.0967898125532</v>
      </c>
    </row>
    <row r="337" spans="13:19" x14ac:dyDescent="0.3">
      <c r="M337" s="95">
        <v>6.052777777777778</v>
      </c>
      <c r="N337" s="86">
        <v>1996.7813998647482</v>
      </c>
      <c r="Q337" s="95">
        <f t="shared" si="46"/>
        <v>2132.5149102138671</v>
      </c>
    </row>
    <row r="338" spans="13:19" x14ac:dyDescent="0.3">
      <c r="M338" s="95">
        <v>24.97388888888889</v>
      </c>
      <c r="N338" s="86">
        <v>708.77332428915417</v>
      </c>
      <c r="Q338" s="95">
        <f t="shared" si="46"/>
        <v>25596.050776453783</v>
      </c>
    </row>
    <row r="339" spans="13:19" x14ac:dyDescent="0.3">
      <c r="M339" s="95">
        <v>48.914722222222224</v>
      </c>
      <c r="N339" s="86">
        <v>463.76182694506622</v>
      </c>
      <c r="Q339" s="95">
        <f t="shared" si="46"/>
        <v>14035.734316586633</v>
      </c>
    </row>
    <row r="340" spans="13:19" x14ac:dyDescent="0.3">
      <c r="M340" s="95">
        <v>72.958888888888893</v>
      </c>
      <c r="N340" s="86">
        <v>416.08170043326766</v>
      </c>
      <c r="Q340" s="95">
        <f t="shared" si="46"/>
        <v>10577.552206436279</v>
      </c>
    </row>
    <row r="341" spans="13:19" x14ac:dyDescent="0.3">
      <c r="M341" s="95">
        <v>96.963055555555556</v>
      </c>
      <c r="N341" s="86">
        <v>334.78863217196647</v>
      </c>
      <c r="Q341" s="95">
        <f t="shared" si="46"/>
        <v>9012.0083044557359</v>
      </c>
    </row>
    <row r="342" spans="13:19" x14ac:dyDescent="0.3">
      <c r="M342" s="95">
        <v>168.29166666666666</v>
      </c>
      <c r="N342" s="86">
        <v>242.37978146333054</v>
      </c>
      <c r="Q342" s="95">
        <f t="shared" si="46"/>
        <v>20584.31066090451</v>
      </c>
    </row>
    <row r="343" spans="13:19" x14ac:dyDescent="0.3">
      <c r="R343" s="95"/>
    </row>
    <row r="344" spans="13:19" x14ac:dyDescent="0.3">
      <c r="M344" s="123" t="s">
        <v>49</v>
      </c>
      <c r="S344" s="95"/>
    </row>
    <row r="345" spans="13:19" x14ac:dyDescent="0.3">
      <c r="O345" s="108" t="s">
        <v>142</v>
      </c>
    </row>
    <row r="346" spans="13:19" x14ac:dyDescent="0.3">
      <c r="M346" s="107"/>
      <c r="N346" s="108" t="s">
        <v>143</v>
      </c>
      <c r="O346" s="108" t="s">
        <v>144</v>
      </c>
      <c r="P346" s="108"/>
      <c r="Q346" s="109" t="s">
        <v>145</v>
      </c>
    </row>
    <row r="347" spans="13:19" x14ac:dyDescent="0.3">
      <c r="M347" s="108" t="s">
        <v>146</v>
      </c>
      <c r="N347" s="108" t="s">
        <v>162</v>
      </c>
      <c r="O347" s="108" t="s">
        <v>148</v>
      </c>
      <c r="P347" s="108" t="s">
        <v>147</v>
      </c>
      <c r="Q347" s="109" t="s">
        <v>149</v>
      </c>
    </row>
    <row r="348" spans="13:19" x14ac:dyDescent="0.3">
      <c r="M348" s="86">
        <v>0</v>
      </c>
      <c r="N348" s="86">
        <v>0</v>
      </c>
    </row>
    <row r="349" spans="13:19" x14ac:dyDescent="0.3">
      <c r="M349" s="86">
        <v>0.1</v>
      </c>
      <c r="N349" s="125">
        <v>8298990.5338297803</v>
      </c>
      <c r="Q349" s="95">
        <f>+($N349+$N348)/2*($M349-$M348)</f>
        <v>414949.52669148904</v>
      </c>
    </row>
    <row r="350" spans="13:19" x14ac:dyDescent="0.3">
      <c r="M350" s="95">
        <v>0.80722222222222217</v>
      </c>
      <c r="N350" s="125">
        <v>682749.68841943063</v>
      </c>
      <c r="Q350" s="95">
        <f t="shared" ref="Q350:Q360" si="47">+($N350+$N349)/2*($M350-$M349)</f>
        <v>3176043.1397009017</v>
      </c>
    </row>
    <row r="351" spans="13:19" x14ac:dyDescent="0.3">
      <c r="M351" s="95">
        <v>1.8291666666666666</v>
      </c>
      <c r="N351" s="125">
        <v>256667.18534857288</v>
      </c>
      <c r="Q351" s="95">
        <f t="shared" si="47"/>
        <v>480015.92758228956</v>
      </c>
    </row>
    <row r="352" spans="13:19" x14ac:dyDescent="0.3">
      <c r="M352" s="95">
        <v>2.8580555555555556</v>
      </c>
      <c r="N352" s="125">
        <v>192224.19297161076</v>
      </c>
      <c r="Q352" s="95">
        <f t="shared" si="47"/>
        <v>230929.6757358278</v>
      </c>
    </row>
    <row r="353" spans="13:17" x14ac:dyDescent="0.3">
      <c r="M353" s="95">
        <v>3.8711111111111109</v>
      </c>
      <c r="N353" s="125">
        <v>107989.22039411459</v>
      </c>
      <c r="Q353" s="95">
        <f t="shared" si="47"/>
        <v>152066.43313122223</v>
      </c>
    </row>
    <row r="354" spans="13:17" x14ac:dyDescent="0.3">
      <c r="M354" s="95">
        <v>4.9749999999999996</v>
      </c>
      <c r="N354" s="125">
        <v>88200.541267359324</v>
      </c>
      <c r="Q354" s="95">
        <f t="shared" si="47"/>
        <v>108285.84900593015</v>
      </c>
    </row>
    <row r="355" spans="13:17" x14ac:dyDescent="0.3">
      <c r="M355" s="95">
        <v>6.052777777777778</v>
      </c>
      <c r="N355" s="125">
        <v>55847.297446481658</v>
      </c>
      <c r="Q355" s="95">
        <f t="shared" si="47"/>
        <v>77625.779751347683</v>
      </c>
    </row>
    <row r="356" spans="13:17" x14ac:dyDescent="0.3">
      <c r="M356" s="95">
        <v>24.97388888888889</v>
      </c>
      <c r="N356" s="125">
        <v>6049.1959839153324</v>
      </c>
      <c r="Q356" s="95">
        <f t="shared" si="47"/>
        <v>585575.21479235031</v>
      </c>
    </row>
    <row r="357" spans="13:17" x14ac:dyDescent="0.3">
      <c r="M357" s="95">
        <v>48.914722222222224</v>
      </c>
      <c r="N357" s="125">
        <v>2981.7514546822349</v>
      </c>
      <c r="Q357" s="95">
        <f t="shared" si="47"/>
        <v>108104.20373477896</v>
      </c>
    </row>
    <row r="358" spans="13:17" x14ac:dyDescent="0.3">
      <c r="M358" s="95">
        <v>72.958888888888893</v>
      </c>
      <c r="N358" s="125">
        <v>6982.4781903727326</v>
      </c>
      <c r="Q358" s="95">
        <f t="shared" si="47"/>
        <v>119790.79914532125</v>
      </c>
    </row>
    <row r="359" spans="13:17" x14ac:dyDescent="0.3">
      <c r="M359" s="95">
        <v>96.963055555555556</v>
      </c>
      <c r="N359" s="125">
        <v>1823.9817421681701</v>
      </c>
      <c r="Q359" s="95">
        <f t="shared" si="47"/>
        <v>105695.86598201696</v>
      </c>
    </row>
    <row r="360" spans="13:17" x14ac:dyDescent="0.3">
      <c r="M360" s="95">
        <v>168.29166666666666</v>
      </c>
      <c r="N360" s="125">
        <v>1429.4753313554925</v>
      </c>
      <c r="Q360" s="95">
        <f t="shared" si="47"/>
        <v>116032.28718203146</v>
      </c>
    </row>
    <row r="361" spans="13:17" x14ac:dyDescent="0.3">
      <c r="Q361" s="95">
        <f>SUM(Q349:Q360)</f>
        <v>5675114.7024355065</v>
      </c>
    </row>
    <row r="363" spans="13:17" x14ac:dyDescent="0.3">
      <c r="M363" s="123" t="s">
        <v>172</v>
      </c>
    </row>
    <row r="364" spans="13:17" x14ac:dyDescent="0.3">
      <c r="O364" s="108" t="s">
        <v>142</v>
      </c>
    </row>
    <row r="365" spans="13:17" x14ac:dyDescent="0.3">
      <c r="M365" s="107"/>
      <c r="N365" s="108" t="s">
        <v>143</v>
      </c>
      <c r="O365" s="108" t="s">
        <v>144</v>
      </c>
      <c r="P365" s="108"/>
      <c r="Q365" s="109" t="s">
        <v>145</v>
      </c>
    </row>
    <row r="366" spans="13:17" x14ac:dyDescent="0.3">
      <c r="M366" s="108" t="s">
        <v>146</v>
      </c>
      <c r="N366" s="108" t="s">
        <v>162</v>
      </c>
      <c r="O366" s="108" t="s">
        <v>148</v>
      </c>
      <c r="P366" s="108" t="s">
        <v>147</v>
      </c>
      <c r="Q366" s="109" t="s">
        <v>149</v>
      </c>
    </row>
    <row r="367" spans="13:17" x14ac:dyDescent="0.3">
      <c r="M367" s="86">
        <v>0</v>
      </c>
      <c r="N367" s="86">
        <v>0</v>
      </c>
    </row>
    <row r="368" spans="13:17" x14ac:dyDescent="0.3">
      <c r="M368" s="86">
        <v>0.1</v>
      </c>
      <c r="N368" s="125">
        <v>932252.9580192978</v>
      </c>
      <c r="Q368" s="95">
        <f>+($N368+$N367)/2*($M368-$M367)</f>
        <v>46612.64790096489</v>
      </c>
    </row>
    <row r="369" spans="13:17" x14ac:dyDescent="0.3">
      <c r="M369" s="95">
        <v>0.80722222222222217</v>
      </c>
      <c r="N369" s="125">
        <v>123987.64939537615</v>
      </c>
      <c r="Q369" s="95">
        <f t="shared" ref="Q369:Q379" si="48">+($N369+$N368)/2*($M369-$M368)</f>
        <v>373498.41478857776</v>
      </c>
    </row>
    <row r="370" spans="13:17" x14ac:dyDescent="0.3">
      <c r="M370" s="95">
        <v>1.8291666666666666</v>
      </c>
      <c r="N370" s="125">
        <v>56259.659969357548</v>
      </c>
      <c r="Q370" s="95">
        <f t="shared" si="48"/>
        <v>92101.368215674331</v>
      </c>
    </row>
    <row r="371" spans="13:17" x14ac:dyDescent="0.3">
      <c r="M371" s="95">
        <v>2.8580555555555556</v>
      </c>
      <c r="N371" s="125">
        <v>46933.656967932126</v>
      </c>
      <c r="Q371" s="95">
        <f t="shared" si="48"/>
        <v>53087.228602183466</v>
      </c>
    </row>
    <row r="372" spans="13:17" x14ac:dyDescent="0.3">
      <c r="M372" s="95">
        <v>3.8711111111111109</v>
      </c>
      <c r="N372" s="125">
        <v>26546.376849193046</v>
      </c>
      <c r="Q372" s="95">
        <f t="shared" si="48"/>
        <v>37219.678240424364</v>
      </c>
    </row>
    <row r="373" spans="13:17" x14ac:dyDescent="0.3">
      <c r="M373" s="95">
        <v>4.9749999999999996</v>
      </c>
      <c r="N373" s="125">
        <v>16357.204743060944</v>
      </c>
      <c r="Q373" s="95">
        <f t="shared" si="48"/>
        <v>23680.39350661352</v>
      </c>
    </row>
    <row r="374" spans="13:17" x14ac:dyDescent="0.3">
      <c r="M374" s="95">
        <v>6.052777777777778</v>
      </c>
      <c r="N374" s="125">
        <v>19601.449094677584</v>
      </c>
      <c r="Q374" s="95">
        <f t="shared" si="48"/>
        <v>19377.719012559108</v>
      </c>
    </row>
    <row r="375" spans="13:17" x14ac:dyDescent="0.3">
      <c r="M375" s="95">
        <v>24.97388888888889</v>
      </c>
      <c r="N375" s="125">
        <v>4149.9973134132761</v>
      </c>
      <c r="Q375" s="95">
        <f t="shared" si="48"/>
        <v>224701.87826854404</v>
      </c>
    </row>
    <row r="376" spans="13:17" x14ac:dyDescent="0.3">
      <c r="M376" s="95">
        <v>48.914722222222224</v>
      </c>
      <c r="N376" s="125">
        <v>2100.6865846736487</v>
      </c>
      <c r="Q376" s="95">
        <f t="shared" si="48"/>
        <v>74823.290711724694</v>
      </c>
    </row>
    <row r="377" spans="13:17" x14ac:dyDescent="0.3">
      <c r="M377" s="95">
        <v>72.958888888888893</v>
      </c>
      <c r="N377" s="125">
        <v>1631.4313203921299</v>
      </c>
      <c r="Q377" s="95">
        <f t="shared" si="48"/>
        <v>44867.832464526211</v>
      </c>
    </row>
    <row r="378" spans="13:17" x14ac:dyDescent="0.3">
      <c r="M378" s="95">
        <v>96.963055555555556</v>
      </c>
      <c r="N378" s="125">
        <v>1169.014150066369</v>
      </c>
      <c r="Q378" s="95">
        <f t="shared" si="48"/>
        <v>33611.179906898768</v>
      </c>
    </row>
    <row r="379" spans="13:17" x14ac:dyDescent="0.3">
      <c r="M379" s="95">
        <v>168.29166666666666</v>
      </c>
      <c r="N379" s="125">
        <v>839.45965592881748</v>
      </c>
      <c r="Q379" s="95">
        <f t="shared" si="48"/>
        <v>71630.823517341923</v>
      </c>
    </row>
    <row r="380" spans="13:17" x14ac:dyDescent="0.3">
      <c r="Q380" s="95">
        <f>SUM(Q368:Q379)</f>
        <v>1095212.4551360332</v>
      </c>
    </row>
  </sheetData>
  <mergeCells count="3">
    <mergeCell ref="Y1:AJ1"/>
    <mergeCell ref="M1:W1"/>
    <mergeCell ref="AL1:AS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69D43-3C94-4D1B-BD89-C2842FF99346}">
  <dimension ref="R1:BY239"/>
  <sheetViews>
    <sheetView tabSelected="1" topLeftCell="P1" zoomScale="85" zoomScaleNormal="85" workbookViewId="0">
      <selection activeCell="AF210" sqref="AF210"/>
    </sheetView>
  </sheetViews>
  <sheetFormatPr defaultRowHeight="14.4" x14ac:dyDescent="0.3"/>
  <cols>
    <col min="21" max="21" width="9" customWidth="1"/>
    <col min="22" max="22" width="14.33203125" customWidth="1"/>
  </cols>
  <sheetData>
    <row r="1" spans="18:36" x14ac:dyDescent="0.3">
      <c r="R1" s="160" t="s">
        <v>33</v>
      </c>
      <c r="S1" s="156"/>
      <c r="T1" s="156"/>
      <c r="U1" s="156"/>
      <c r="V1" s="156"/>
      <c r="W1" s="156"/>
      <c r="X1" s="156"/>
      <c r="Y1" s="156"/>
      <c r="Z1" s="156"/>
      <c r="AA1" s="156"/>
      <c r="AB1" s="156"/>
      <c r="AC1" s="156"/>
      <c r="AD1" s="156"/>
      <c r="AE1" s="156"/>
      <c r="AF1" s="156"/>
      <c r="AG1" s="156"/>
      <c r="AH1" s="156"/>
      <c r="AI1" s="156"/>
      <c r="AJ1" s="156"/>
    </row>
    <row r="2" spans="18:36" ht="15" thickBot="1" x14ac:dyDescent="0.35">
      <c r="R2" s="161"/>
      <c r="S2" s="161"/>
      <c r="T2" s="161"/>
      <c r="U2" s="161"/>
      <c r="V2" s="161"/>
      <c r="W2" s="161"/>
      <c r="X2" s="161"/>
      <c r="Y2" s="161"/>
      <c r="Z2" s="161"/>
      <c r="AA2" s="161"/>
      <c r="AB2" s="161"/>
      <c r="AC2" s="161"/>
      <c r="AD2" s="161"/>
      <c r="AE2" s="161"/>
      <c r="AF2" s="161"/>
      <c r="AG2" s="161"/>
      <c r="AH2" s="161"/>
      <c r="AI2" s="161"/>
      <c r="AJ2" s="161"/>
    </row>
    <row r="3" spans="18:36" ht="15" thickBot="1" x14ac:dyDescent="0.35">
      <c r="R3" s="157" t="s">
        <v>12</v>
      </c>
      <c r="S3" s="158"/>
      <c r="T3" s="158"/>
      <c r="U3" s="158"/>
      <c r="V3" s="158"/>
      <c r="W3" s="158"/>
      <c r="X3" s="158"/>
      <c r="Y3" s="158"/>
      <c r="Z3" s="158"/>
      <c r="AA3" s="158"/>
      <c r="AB3" s="158"/>
      <c r="AC3" s="158"/>
      <c r="AD3" s="158"/>
      <c r="AE3" s="158"/>
      <c r="AF3" s="158"/>
      <c r="AG3" s="158"/>
      <c r="AH3" s="158"/>
      <c r="AI3" s="158"/>
      <c r="AJ3" s="159"/>
    </row>
    <row r="4" spans="18:36" x14ac:dyDescent="0.3">
      <c r="Y4" s="156"/>
      <c r="Z4" s="156"/>
      <c r="AA4" s="156"/>
      <c r="AB4" s="156"/>
      <c r="AC4" s="156"/>
    </row>
    <row r="5" spans="18:36" x14ac:dyDescent="0.3">
      <c r="S5" t="s">
        <v>19</v>
      </c>
      <c r="T5" t="s">
        <v>20</v>
      </c>
      <c r="U5" t="s">
        <v>21</v>
      </c>
      <c r="V5" t="s">
        <v>22</v>
      </c>
      <c r="W5" t="s">
        <v>23</v>
      </c>
    </row>
    <row r="6" spans="18:36" x14ac:dyDescent="0.3">
      <c r="S6" s="1" t="s">
        <v>5</v>
      </c>
      <c r="T6" s="1" t="s">
        <v>5</v>
      </c>
      <c r="U6" s="1" t="s">
        <v>5</v>
      </c>
      <c r="V6" s="1" t="s">
        <v>5</v>
      </c>
      <c r="W6" s="1" t="s">
        <v>5</v>
      </c>
      <c r="Y6" s="1"/>
      <c r="Z6" s="1"/>
      <c r="AA6" s="1"/>
      <c r="AB6" s="1"/>
      <c r="AC6" s="1"/>
    </row>
    <row r="7" spans="18:36" x14ac:dyDescent="0.3">
      <c r="R7" t="s">
        <v>6</v>
      </c>
      <c r="S7">
        <v>3304591</v>
      </c>
      <c r="T7">
        <v>2801717</v>
      </c>
      <c r="U7">
        <v>3461630</v>
      </c>
      <c r="V7">
        <v>3022817</v>
      </c>
      <c r="W7">
        <v>3494542</v>
      </c>
    </row>
    <row r="8" spans="18:36" x14ac:dyDescent="0.3">
      <c r="R8" t="s">
        <v>7</v>
      </c>
      <c r="S8">
        <v>1170132</v>
      </c>
      <c r="T8">
        <v>1133517</v>
      </c>
      <c r="U8">
        <v>2761167</v>
      </c>
      <c r="V8">
        <v>4556324</v>
      </c>
      <c r="W8">
        <v>7061804</v>
      </c>
    </row>
    <row r="9" spans="18:36" x14ac:dyDescent="0.3">
      <c r="R9" s="156" t="s">
        <v>24</v>
      </c>
      <c r="S9" s="156"/>
      <c r="T9" s="156"/>
      <c r="U9" s="156"/>
      <c r="V9" s="156"/>
      <c r="W9" s="156"/>
    </row>
    <row r="10" spans="18:36" x14ac:dyDescent="0.3">
      <c r="R10" t="s">
        <v>6</v>
      </c>
      <c r="S10">
        <v>8.5</v>
      </c>
      <c r="T10">
        <v>8.5</v>
      </c>
      <c r="U10">
        <v>8.5</v>
      </c>
      <c r="V10">
        <v>8.5</v>
      </c>
      <c r="W10">
        <v>8.5</v>
      </c>
    </row>
    <row r="11" spans="18:36" x14ac:dyDescent="0.3">
      <c r="R11" t="s">
        <v>7</v>
      </c>
      <c r="S11" s="2">
        <v>1.25</v>
      </c>
      <c r="T11" s="2">
        <v>3.13</v>
      </c>
      <c r="U11" s="2">
        <v>6.25</v>
      </c>
      <c r="V11" s="2">
        <v>12.5</v>
      </c>
      <c r="W11" s="2">
        <v>23.75</v>
      </c>
    </row>
    <row r="12" spans="18:36" x14ac:dyDescent="0.3">
      <c r="S12" t="s">
        <v>8</v>
      </c>
      <c r="T12" t="s">
        <v>9</v>
      </c>
      <c r="V12" t="s">
        <v>10</v>
      </c>
    </row>
    <row r="13" spans="18:36" x14ac:dyDescent="0.3">
      <c r="R13" t="s">
        <v>0</v>
      </c>
      <c r="S13">
        <f>S11/S10</f>
        <v>0.14705882352941177</v>
      </c>
      <c r="T13">
        <f>S8/S7</f>
        <v>0.35409283629956023</v>
      </c>
      <c r="V13" cm="1">
        <f t="array" ref="V13:W13">LINEST(T13:T17,S13:S17, TRUE, FALSE)</f>
        <v>0.66365485956306713</v>
      </c>
      <c r="W13">
        <v>0.28483800629661904</v>
      </c>
    </row>
    <row r="14" spans="18:36" x14ac:dyDescent="0.3">
      <c r="R14" t="s">
        <v>1</v>
      </c>
      <c r="S14">
        <f>T11/T10</f>
        <v>0.36823529411764705</v>
      </c>
      <c r="T14">
        <f>T8/T7</f>
        <v>0.40457940612845622</v>
      </c>
      <c r="V14" t="s">
        <v>11</v>
      </c>
    </row>
    <row r="15" spans="18:36" x14ac:dyDescent="0.3">
      <c r="R15" t="s">
        <v>2</v>
      </c>
      <c r="S15">
        <v>0.73529411764705888</v>
      </c>
      <c r="T15">
        <f>U8/U7</f>
        <v>0.79764937327212904</v>
      </c>
      <c r="V15" cm="1">
        <f t="array" ref="V15:X15">LINEST(T13:T17,S13:S17^{1,2})</f>
        <v>-0.1669767762422685</v>
      </c>
      <c r="W15">
        <v>1.1618970365608468</v>
      </c>
      <c r="X15">
        <v>9.1496007018954939E-2</v>
      </c>
    </row>
    <row r="16" spans="18:36" x14ac:dyDescent="0.3">
      <c r="R16" t="s">
        <v>3</v>
      </c>
      <c r="S16">
        <v>1.4705882352941178</v>
      </c>
      <c r="T16">
        <f>V8/V7</f>
        <v>1.5073105649465384</v>
      </c>
    </row>
    <row r="17" spans="18:36" x14ac:dyDescent="0.3">
      <c r="R17" t="s">
        <v>4</v>
      </c>
      <c r="S17">
        <v>2.7941176470588234</v>
      </c>
      <c r="T17">
        <f>W8/W7</f>
        <v>2.0208095939324808</v>
      </c>
    </row>
    <row r="18" spans="18:36" ht="15" thickBot="1" x14ac:dyDescent="0.35"/>
    <row r="19" spans="18:36" ht="15" thickBot="1" x14ac:dyDescent="0.35">
      <c r="R19" s="157" t="s">
        <v>14</v>
      </c>
      <c r="S19" s="158"/>
      <c r="T19" s="158"/>
      <c r="U19" s="158"/>
      <c r="V19" s="158"/>
      <c r="W19" s="158"/>
      <c r="X19" s="158"/>
      <c r="Y19" s="158"/>
      <c r="Z19" s="158"/>
      <c r="AA19" s="158"/>
      <c r="AB19" s="158"/>
      <c r="AC19" s="158"/>
      <c r="AD19" s="158"/>
      <c r="AE19" s="158"/>
      <c r="AF19" s="158"/>
      <c r="AG19" s="158"/>
      <c r="AH19" s="158"/>
      <c r="AI19" s="158"/>
      <c r="AJ19" s="159"/>
    </row>
    <row r="21" spans="18:36" x14ac:dyDescent="0.3">
      <c r="R21" s="1" t="s">
        <v>15</v>
      </c>
      <c r="S21" t="s">
        <v>16</v>
      </c>
    </row>
    <row r="22" spans="18:36" x14ac:dyDescent="0.3">
      <c r="R22">
        <v>250</v>
      </c>
      <c r="S22" s="1">
        <v>14891089</v>
      </c>
      <c r="T22" s="5"/>
    </row>
    <row r="23" spans="18:36" x14ac:dyDescent="0.3">
      <c r="R23">
        <v>500</v>
      </c>
      <c r="S23" s="1">
        <v>31906315</v>
      </c>
      <c r="T23" s="5"/>
    </row>
    <row r="24" spans="18:36" x14ac:dyDescent="0.3">
      <c r="R24">
        <v>1000</v>
      </c>
      <c r="S24" s="1">
        <v>81096369</v>
      </c>
      <c r="T24" s="5"/>
    </row>
    <row r="26" spans="18:36" x14ac:dyDescent="0.3">
      <c r="R26" t="s">
        <v>17</v>
      </c>
      <c r="S26" cm="1">
        <f t="array" ref="S26:T26">LINEST(R22:R24,S22:S24)</f>
        <v>1.1068706840277212E-5</v>
      </c>
      <c r="T26">
        <v>111.46043998867975</v>
      </c>
    </row>
    <row r="27" spans="18:36" x14ac:dyDescent="0.3">
      <c r="R27" t="s">
        <v>18</v>
      </c>
      <c r="S27" cm="1">
        <f t="array" ref="S27:U27">LINEST(R22:R24,S22:S24^{1,2})</f>
        <v>-6.8394339577685688E-14</v>
      </c>
      <c r="T27">
        <v>1.7893400399456622E-5</v>
      </c>
      <c r="U27">
        <v>-1.2861470667939159</v>
      </c>
    </row>
    <row r="33" spans="18:36" ht="15" thickBot="1" x14ac:dyDescent="0.35"/>
    <row r="34" spans="18:36" ht="15" thickBot="1" x14ac:dyDescent="0.35">
      <c r="R34" s="157" t="s">
        <v>25</v>
      </c>
      <c r="S34" s="158"/>
      <c r="T34" s="158"/>
      <c r="U34" s="158"/>
      <c r="V34" s="158"/>
      <c r="W34" s="158"/>
      <c r="X34" s="158"/>
      <c r="Y34" s="158"/>
      <c r="Z34" s="158"/>
      <c r="AA34" s="158"/>
      <c r="AB34" s="158"/>
      <c r="AC34" s="158"/>
      <c r="AD34" s="158"/>
      <c r="AE34" s="158"/>
      <c r="AF34" s="158"/>
      <c r="AG34" s="158"/>
      <c r="AH34" s="158"/>
      <c r="AI34" s="158"/>
      <c r="AJ34" s="159"/>
    </row>
    <row r="35" spans="18:36" x14ac:dyDescent="0.3">
      <c r="S35" s="162" t="s">
        <v>29</v>
      </c>
      <c r="T35" s="162"/>
      <c r="U35" s="162"/>
      <c r="V35" s="162"/>
      <c r="W35" s="162"/>
    </row>
    <row r="36" spans="18:36" x14ac:dyDescent="0.3">
      <c r="S36" t="s">
        <v>19</v>
      </c>
      <c r="T36" t="s">
        <v>20</v>
      </c>
      <c r="U36" t="s">
        <v>21</v>
      </c>
      <c r="V36" t="s">
        <v>22</v>
      </c>
      <c r="W36" t="s">
        <v>23</v>
      </c>
    </row>
    <row r="37" spans="18:36" x14ac:dyDescent="0.3">
      <c r="S37" s="1" t="s">
        <v>5</v>
      </c>
      <c r="T37" s="1" t="s">
        <v>5</v>
      </c>
      <c r="U37" s="1" t="s">
        <v>5</v>
      </c>
      <c r="V37" s="1" t="s">
        <v>5</v>
      </c>
      <c r="W37" s="1" t="s">
        <v>5</v>
      </c>
    </row>
    <row r="38" spans="18:36" x14ac:dyDescent="0.3">
      <c r="R38" t="s">
        <v>26</v>
      </c>
      <c r="S38">
        <v>3328424</v>
      </c>
      <c r="T38">
        <v>2944529</v>
      </c>
      <c r="U38">
        <v>3425682</v>
      </c>
      <c r="V38">
        <v>3139371</v>
      </c>
      <c r="W38">
        <v>3669665</v>
      </c>
    </row>
    <row r="39" spans="18:36" x14ac:dyDescent="0.3">
      <c r="R39" t="s">
        <v>27</v>
      </c>
      <c r="S39">
        <v>1198115</v>
      </c>
      <c r="T39">
        <v>1913051</v>
      </c>
      <c r="U39">
        <v>2784777</v>
      </c>
      <c r="V39">
        <v>5181060</v>
      </c>
      <c r="W39">
        <v>8926491</v>
      </c>
    </row>
    <row r="40" spans="18:36" x14ac:dyDescent="0.3">
      <c r="R40" s="156" t="s">
        <v>24</v>
      </c>
      <c r="S40" s="156"/>
      <c r="T40" s="156"/>
      <c r="U40" s="156"/>
      <c r="V40" s="156"/>
      <c r="W40" s="156"/>
    </row>
    <row r="41" spans="18:36" x14ac:dyDescent="0.3">
      <c r="R41" t="s">
        <v>26</v>
      </c>
      <c r="S41">
        <v>1.9</v>
      </c>
      <c r="T41">
        <v>1.9</v>
      </c>
      <c r="U41">
        <v>1.9</v>
      </c>
      <c r="V41">
        <v>1.9</v>
      </c>
      <c r="W41">
        <v>1.9</v>
      </c>
    </row>
    <row r="42" spans="18:36" x14ac:dyDescent="0.3">
      <c r="R42" t="s">
        <v>27</v>
      </c>
      <c r="S42">
        <v>1</v>
      </c>
      <c r="T42">
        <v>2.5</v>
      </c>
      <c r="U42">
        <v>5</v>
      </c>
      <c r="V42">
        <v>10</v>
      </c>
      <c r="W42">
        <v>19</v>
      </c>
    </row>
    <row r="43" spans="18:36" x14ac:dyDescent="0.3">
      <c r="T43" t="s">
        <v>8</v>
      </c>
      <c r="U43" t="s">
        <v>9</v>
      </c>
      <c r="W43" t="s">
        <v>10</v>
      </c>
    </row>
    <row r="44" spans="18:36" x14ac:dyDescent="0.3">
      <c r="S44" t="s">
        <v>0</v>
      </c>
      <c r="T44">
        <v>0.52631578947368418</v>
      </c>
      <c r="U44">
        <f>S39/S38</f>
        <v>0.35996465594527621</v>
      </c>
      <c r="W44" cm="1">
        <f t="array" ref="W44:X44">LINEST(U44:U48,T44:T48, TRUE, FALSE)</f>
        <v>0.21938894584944307</v>
      </c>
      <c r="X44">
        <v>0.3150772551676666</v>
      </c>
    </row>
    <row r="45" spans="18:36" x14ac:dyDescent="0.3">
      <c r="S45" t="s">
        <v>1</v>
      </c>
      <c r="T45">
        <v>1.3157894736842106</v>
      </c>
      <c r="U45">
        <f>T39/T38</f>
        <v>0.64969677663218806</v>
      </c>
      <c r="W45" t="s">
        <v>11</v>
      </c>
    </row>
    <row r="46" spans="18:36" x14ac:dyDescent="0.3">
      <c r="S46" t="s">
        <v>2</v>
      </c>
      <c r="T46">
        <v>2.6315789473684212</v>
      </c>
      <c r="U46">
        <f>U39/U38</f>
        <v>0.81291170634051846</v>
      </c>
      <c r="W46" cm="1">
        <f t="array" ref="W46:Y46">LINEST(U44:U48,T44:T48^{1,2}, TRUE, FALSE)</f>
        <v>-8.0723813530368411E-3</v>
      </c>
      <c r="X46">
        <v>0.30558887210254565</v>
      </c>
      <c r="Y46">
        <v>0.19540730263868403</v>
      </c>
    </row>
    <row r="47" spans="18:36" x14ac:dyDescent="0.3">
      <c r="S47" t="s">
        <v>3</v>
      </c>
      <c r="T47">
        <v>5.2631578947368425</v>
      </c>
      <c r="U47">
        <f>V39/V38</f>
        <v>1.6503497038100945</v>
      </c>
    </row>
    <row r="48" spans="18:36" x14ac:dyDescent="0.3">
      <c r="S48" t="s">
        <v>4</v>
      </c>
      <c r="T48">
        <v>10</v>
      </c>
      <c r="U48">
        <f>W39/W38</f>
        <v>2.4325084169808417</v>
      </c>
    </row>
    <row r="49" spans="18:36" ht="15" thickBot="1" x14ac:dyDescent="0.35"/>
    <row r="50" spans="18:36" ht="15" thickBot="1" x14ac:dyDescent="0.35">
      <c r="R50" s="157" t="s">
        <v>28</v>
      </c>
      <c r="S50" s="158"/>
      <c r="T50" s="158"/>
      <c r="U50" s="158"/>
      <c r="V50" s="158"/>
      <c r="W50" s="158"/>
      <c r="X50" s="158"/>
      <c r="Y50" s="158"/>
      <c r="Z50" s="158"/>
      <c r="AA50" s="158"/>
      <c r="AB50" s="158"/>
      <c r="AC50" s="158"/>
      <c r="AD50" s="158"/>
      <c r="AE50" s="158"/>
      <c r="AF50" s="158"/>
      <c r="AG50" s="158"/>
      <c r="AH50" s="158"/>
      <c r="AI50" s="158"/>
      <c r="AJ50" s="159"/>
    </row>
    <row r="51" spans="18:36" x14ac:dyDescent="0.3">
      <c r="S51" s="156" t="s">
        <v>29</v>
      </c>
      <c r="T51" s="156"/>
      <c r="U51" s="156"/>
    </row>
    <row r="52" spans="18:36" x14ac:dyDescent="0.3">
      <c r="R52" s="1" t="s">
        <v>15</v>
      </c>
      <c r="S52" s="1" t="s">
        <v>30</v>
      </c>
      <c r="T52" s="1" t="s">
        <v>31</v>
      </c>
      <c r="U52" s="1" t="s">
        <v>32</v>
      </c>
    </row>
    <row r="53" spans="18:36" x14ac:dyDescent="0.3">
      <c r="R53" s="1">
        <v>1</v>
      </c>
      <c r="S53" s="1">
        <v>217767</v>
      </c>
      <c r="T53" s="1">
        <v>155638</v>
      </c>
      <c r="U53" s="6">
        <v>186702.5</v>
      </c>
    </row>
    <row r="54" spans="18:36" x14ac:dyDescent="0.3">
      <c r="R54" s="1">
        <v>10</v>
      </c>
      <c r="S54" s="1">
        <v>5191832</v>
      </c>
      <c r="T54" s="1">
        <v>3274205</v>
      </c>
      <c r="U54" s="6">
        <v>4233018.5</v>
      </c>
    </row>
    <row r="55" spans="18:36" x14ac:dyDescent="0.3">
      <c r="R55" s="1">
        <v>50</v>
      </c>
      <c r="S55" s="1">
        <v>26410626</v>
      </c>
      <c r="T55" s="1">
        <v>19619247</v>
      </c>
      <c r="U55" s="6">
        <v>23014936.5</v>
      </c>
    </row>
    <row r="56" spans="18:36" x14ac:dyDescent="0.3">
      <c r="R56" s="1">
        <v>100</v>
      </c>
      <c r="S56" s="1">
        <v>50152611</v>
      </c>
      <c r="T56" s="1">
        <v>38464112</v>
      </c>
      <c r="U56" s="6">
        <v>44308361.5</v>
      </c>
    </row>
    <row r="58" spans="18:36" x14ac:dyDescent="0.3">
      <c r="R58" t="s">
        <v>17</v>
      </c>
      <c r="S58" cm="1">
        <f t="array" ref="S58:T58">LINEST(R53:R56,U53:U56)</f>
        <v>2.2354621687397041E-6</v>
      </c>
      <c r="T58">
        <v>0.15529878858154689</v>
      </c>
    </row>
    <row r="59" spans="18:36" x14ac:dyDescent="0.3">
      <c r="R59" t="s">
        <v>18</v>
      </c>
      <c r="S59" cm="1">
        <f t="array" ref="S59:U59">LINEST(R53:R56,U53:U56^{1,2})</f>
        <v>4.5589268381002319E-15</v>
      </c>
      <c r="T59">
        <v>2.0335321203269722E-6</v>
      </c>
      <c r="U59">
        <v>0.9153467415076002</v>
      </c>
    </row>
    <row r="67" spans="18:36" x14ac:dyDescent="0.3">
      <c r="R67" s="160" t="s">
        <v>37</v>
      </c>
      <c r="S67" s="160"/>
      <c r="T67" s="160"/>
      <c r="U67" s="160"/>
      <c r="V67" s="160"/>
      <c r="W67" s="160"/>
      <c r="X67" s="160"/>
      <c r="Y67" s="160"/>
      <c r="Z67" s="160"/>
      <c r="AA67" s="160"/>
      <c r="AB67" s="160"/>
      <c r="AC67" s="160"/>
      <c r="AD67" s="160"/>
      <c r="AE67" s="160"/>
      <c r="AF67" s="160"/>
      <c r="AG67" s="160"/>
      <c r="AH67" s="160"/>
      <c r="AI67" s="160"/>
      <c r="AJ67" s="160"/>
    </row>
    <row r="68" spans="18:36" x14ac:dyDescent="0.3">
      <c r="R68" s="160"/>
      <c r="S68" s="160"/>
      <c r="T68" s="160"/>
      <c r="U68" s="160"/>
      <c r="V68" s="160"/>
      <c r="W68" s="160"/>
      <c r="X68" s="160"/>
      <c r="Y68" s="160"/>
      <c r="Z68" s="160"/>
      <c r="AA68" s="160"/>
      <c r="AB68" s="160"/>
      <c r="AC68" s="160"/>
      <c r="AD68" s="160"/>
      <c r="AE68" s="160"/>
      <c r="AF68" s="160"/>
      <c r="AG68" s="160"/>
      <c r="AH68" s="160"/>
      <c r="AI68" s="160"/>
      <c r="AJ68" s="160"/>
    </row>
    <row r="69" spans="18:36" x14ac:dyDescent="0.3">
      <c r="R69" s="156" t="s">
        <v>38</v>
      </c>
      <c r="S69" s="156"/>
      <c r="T69" s="156"/>
      <c r="U69" s="156"/>
      <c r="V69" s="156"/>
      <c r="W69" s="156"/>
      <c r="X69" s="156"/>
    </row>
    <row r="70" spans="18:36" x14ac:dyDescent="0.3">
      <c r="S70" s="156" t="s">
        <v>39</v>
      </c>
      <c r="T70" s="156"/>
      <c r="U70" s="4" t="s">
        <v>40</v>
      </c>
      <c r="V70" s="4"/>
      <c r="W70" s="4"/>
    </row>
    <row r="71" spans="18:36" x14ac:dyDescent="0.3">
      <c r="R71" t="s">
        <v>41</v>
      </c>
      <c r="S71" t="s">
        <v>34</v>
      </c>
      <c r="T71" t="s">
        <v>35</v>
      </c>
      <c r="U71" t="s">
        <v>34</v>
      </c>
      <c r="W71" t="s">
        <v>35</v>
      </c>
    </row>
    <row r="72" spans="18:36" x14ac:dyDescent="0.3">
      <c r="R72">
        <v>63</v>
      </c>
      <c r="S72" s="1" t="s">
        <v>36</v>
      </c>
      <c r="T72" s="1" t="s">
        <v>36</v>
      </c>
    </row>
    <row r="73" spans="18:36" x14ac:dyDescent="0.3">
      <c r="R73">
        <f>R72+1</f>
        <v>64</v>
      </c>
      <c r="S73" s="1" t="s">
        <v>36</v>
      </c>
      <c r="T73">
        <v>243388</v>
      </c>
    </row>
    <row r="74" spans="18:36" x14ac:dyDescent="0.3">
      <c r="R74">
        <f t="shared" ref="R74:R82" si="0">R73+1</f>
        <v>65</v>
      </c>
      <c r="S74" s="1" t="s">
        <v>36</v>
      </c>
      <c r="T74">
        <v>537775</v>
      </c>
    </row>
    <row r="75" spans="18:36" x14ac:dyDescent="0.3">
      <c r="R75">
        <f t="shared" si="0"/>
        <v>66</v>
      </c>
      <c r="S75" s="7">
        <v>1058662</v>
      </c>
      <c r="T75" s="8">
        <v>1157599</v>
      </c>
      <c r="U75" s="156">
        <v>3686465</v>
      </c>
      <c r="V75" s="156"/>
      <c r="W75" s="156">
        <v>7842778</v>
      </c>
      <c r="X75" s="156"/>
    </row>
    <row r="76" spans="18:36" x14ac:dyDescent="0.3">
      <c r="R76">
        <f t="shared" si="0"/>
        <v>67</v>
      </c>
      <c r="S76" s="7">
        <v>1100250</v>
      </c>
      <c r="T76" s="8">
        <v>1198553</v>
      </c>
      <c r="U76" s="156">
        <v>3039552</v>
      </c>
      <c r="V76" s="156"/>
      <c r="W76" s="156">
        <v>11548181</v>
      </c>
      <c r="X76" s="156"/>
    </row>
    <row r="77" spans="18:36" x14ac:dyDescent="0.3">
      <c r="R77">
        <f t="shared" si="0"/>
        <v>68</v>
      </c>
      <c r="S77" s="1" t="s">
        <v>36</v>
      </c>
      <c r="T77">
        <v>720781</v>
      </c>
    </row>
    <row r="78" spans="18:36" x14ac:dyDescent="0.3">
      <c r="R78">
        <f t="shared" si="0"/>
        <v>69</v>
      </c>
      <c r="S78" s="7">
        <v>1193397</v>
      </c>
      <c r="T78" s="8">
        <v>1350468</v>
      </c>
      <c r="U78" s="156">
        <v>1818794</v>
      </c>
      <c r="V78" s="156"/>
      <c r="W78" s="156">
        <v>9458213</v>
      </c>
      <c r="X78" s="156"/>
    </row>
    <row r="79" spans="18:36" x14ac:dyDescent="0.3">
      <c r="R79">
        <f t="shared" si="0"/>
        <v>70</v>
      </c>
      <c r="S79" s="7">
        <v>1338301</v>
      </c>
      <c r="T79" s="8">
        <v>1490730</v>
      </c>
      <c r="U79" s="156">
        <v>2052651</v>
      </c>
      <c r="V79" s="156"/>
      <c r="W79" s="156">
        <v>10628989</v>
      </c>
      <c r="X79" s="156"/>
    </row>
    <row r="80" spans="18:36" x14ac:dyDescent="0.3">
      <c r="R80">
        <f t="shared" si="0"/>
        <v>71</v>
      </c>
      <c r="S80" s="1" t="s">
        <v>36</v>
      </c>
      <c r="T80">
        <v>609208</v>
      </c>
    </row>
    <row r="81" spans="18:39" x14ac:dyDescent="0.3">
      <c r="R81">
        <f t="shared" si="0"/>
        <v>72</v>
      </c>
      <c r="S81" s="1" t="s">
        <v>36</v>
      </c>
      <c r="T81">
        <v>685180</v>
      </c>
    </row>
    <row r="82" spans="18:39" x14ac:dyDescent="0.3">
      <c r="R82">
        <f t="shared" si="0"/>
        <v>73</v>
      </c>
      <c r="S82" s="1" t="s">
        <v>36</v>
      </c>
      <c r="T82">
        <v>658644</v>
      </c>
    </row>
    <row r="83" spans="18:39" ht="15" thickBot="1" x14ac:dyDescent="0.35">
      <c r="S83">
        <f>AVERAGE(S75:S76,S78:S79)</f>
        <v>1172652.5</v>
      </c>
      <c r="T83">
        <f>AVERAGE(T75:T76,T78:T79)</f>
        <v>1299337.5</v>
      </c>
      <c r="U83" s="156">
        <f>AVERAGE(U75:U76,U78:U79)</f>
        <v>2649365.5</v>
      </c>
      <c r="V83" s="156"/>
      <c r="W83" s="156">
        <f>AVERAGE(W75:W76,W78:W79)</f>
        <v>9869540.25</v>
      </c>
      <c r="X83" s="156"/>
    </row>
    <row r="84" spans="18:39" ht="15" thickBot="1" x14ac:dyDescent="0.35">
      <c r="R84" s="157" t="s">
        <v>72</v>
      </c>
      <c r="S84" s="158"/>
      <c r="T84" s="158"/>
      <c r="U84" s="158"/>
      <c r="V84" s="158"/>
      <c r="W84" s="158"/>
      <c r="X84" s="158"/>
      <c r="Y84" s="158"/>
      <c r="Z84" s="158"/>
      <c r="AA84" s="158"/>
      <c r="AB84" s="158"/>
      <c r="AC84" s="158"/>
      <c r="AD84" s="158"/>
      <c r="AE84" s="158"/>
      <c r="AF84" s="158"/>
      <c r="AG84" s="158"/>
      <c r="AH84" s="158"/>
      <c r="AI84" s="158"/>
      <c r="AJ84" s="158"/>
      <c r="AK84" s="158"/>
      <c r="AL84" s="158"/>
      <c r="AM84" s="159"/>
    </row>
    <row r="85" spans="18:39" x14ac:dyDescent="0.3">
      <c r="V85" t="s">
        <v>42</v>
      </c>
      <c r="W85">
        <v>73</v>
      </c>
      <c r="X85">
        <v>72</v>
      </c>
      <c r="Y85">
        <v>71</v>
      </c>
      <c r="Z85">
        <v>70</v>
      </c>
      <c r="AA85">
        <v>69</v>
      </c>
      <c r="AB85">
        <v>68</v>
      </c>
      <c r="AC85">
        <v>67</v>
      </c>
      <c r="AD85">
        <v>66</v>
      </c>
      <c r="AE85">
        <v>65</v>
      </c>
      <c r="AF85">
        <v>64</v>
      </c>
      <c r="AG85">
        <v>63</v>
      </c>
      <c r="AH85">
        <v>62</v>
      </c>
    </row>
    <row r="86" spans="18:39" x14ac:dyDescent="0.3">
      <c r="V86" t="s">
        <v>43</v>
      </c>
      <c r="W86" s="2">
        <v>168.29166666666666</v>
      </c>
      <c r="X86" s="2">
        <v>96.963055555555556</v>
      </c>
      <c r="Y86" s="2">
        <v>72.958888888888893</v>
      </c>
      <c r="Z86" s="2">
        <v>48.914722222222224</v>
      </c>
      <c r="AA86" s="2">
        <v>24.97388888888889</v>
      </c>
      <c r="AB86" s="2">
        <v>6.052777777777778</v>
      </c>
      <c r="AC86" s="2">
        <v>4.9749999999999996</v>
      </c>
      <c r="AD86" s="2">
        <v>3.8711111111111109</v>
      </c>
      <c r="AE86" s="2">
        <v>2.8580555555555556</v>
      </c>
      <c r="AF86" s="2">
        <v>1.8291666666666666</v>
      </c>
    </row>
    <row r="87" spans="18:39" x14ac:dyDescent="0.3">
      <c r="S87" t="s">
        <v>44</v>
      </c>
      <c r="T87" t="s">
        <v>45</v>
      </c>
      <c r="U87" t="s">
        <v>46</v>
      </c>
      <c r="V87" t="s">
        <v>47</v>
      </c>
    </row>
    <row r="88" spans="18:39" x14ac:dyDescent="0.3">
      <c r="S88">
        <v>1</v>
      </c>
      <c r="T88" t="s">
        <v>48</v>
      </c>
      <c r="U88">
        <v>5.5529999999999999</v>
      </c>
      <c r="V88" t="s">
        <v>49</v>
      </c>
      <c r="W88">
        <v>605538221</v>
      </c>
      <c r="X88">
        <v>615937711</v>
      </c>
      <c r="Y88">
        <v>812114951</v>
      </c>
      <c r="Z88">
        <v>1190951567</v>
      </c>
      <c r="AA88">
        <v>1641912286</v>
      </c>
      <c r="AB88">
        <v>11628667388</v>
      </c>
      <c r="AC88">
        <v>17422503670</v>
      </c>
      <c r="AD88">
        <v>23562138265</v>
      </c>
      <c r="AE88">
        <v>34142712130</v>
      </c>
      <c r="AF88">
        <v>51867177944</v>
      </c>
    </row>
    <row r="89" spans="18:39" x14ac:dyDescent="0.3">
      <c r="S89">
        <v>2</v>
      </c>
      <c r="T89" t="s">
        <v>50</v>
      </c>
      <c r="U89">
        <v>6.5720000000000001</v>
      </c>
      <c r="V89" t="s">
        <v>51</v>
      </c>
      <c r="W89">
        <v>244614924</v>
      </c>
      <c r="X89">
        <v>201839076</v>
      </c>
      <c r="Y89">
        <v>361847085</v>
      </c>
      <c r="Z89">
        <v>582629379</v>
      </c>
      <c r="AA89">
        <v>792610701</v>
      </c>
      <c r="AB89">
        <v>1467528371</v>
      </c>
      <c r="AC89">
        <v>1895213902</v>
      </c>
      <c r="AD89">
        <v>2627087257</v>
      </c>
    </row>
    <row r="90" spans="18:39" x14ac:dyDescent="0.3">
      <c r="S90">
        <v>3</v>
      </c>
      <c r="T90" t="s">
        <v>52</v>
      </c>
      <c r="U90">
        <v>7.4550000000000001</v>
      </c>
      <c r="V90" t="s">
        <v>53</v>
      </c>
      <c r="W90">
        <v>236164786</v>
      </c>
      <c r="X90">
        <v>311545644</v>
      </c>
      <c r="Y90">
        <v>432728141</v>
      </c>
      <c r="Z90">
        <v>678444094</v>
      </c>
      <c r="AA90">
        <v>1106920383</v>
      </c>
      <c r="AB90">
        <v>3171232860</v>
      </c>
      <c r="AC90">
        <v>3753430007</v>
      </c>
      <c r="AD90">
        <v>5471786088</v>
      </c>
      <c r="AE90">
        <v>6168207654</v>
      </c>
      <c r="AF90">
        <v>18763786572</v>
      </c>
    </row>
    <row r="91" spans="18:39" x14ac:dyDescent="0.3">
      <c r="S91">
        <v>4</v>
      </c>
      <c r="T91" t="s">
        <v>54</v>
      </c>
      <c r="U91">
        <v>7.8280000000000003</v>
      </c>
      <c r="V91" t="s">
        <v>53</v>
      </c>
      <c r="W91">
        <v>2220179345</v>
      </c>
      <c r="X91">
        <v>1892663437</v>
      </c>
      <c r="Y91">
        <v>2344219561</v>
      </c>
      <c r="Z91">
        <v>3363927897</v>
      </c>
      <c r="AA91">
        <v>3734338813</v>
      </c>
      <c r="AB91">
        <v>6111163403</v>
      </c>
      <c r="AC91">
        <v>4590224089</v>
      </c>
      <c r="AD91">
        <v>5848058645</v>
      </c>
      <c r="AE91">
        <v>12471358222</v>
      </c>
      <c r="AF91">
        <v>9412923237</v>
      </c>
    </row>
    <row r="92" spans="18:39" x14ac:dyDescent="0.3">
      <c r="S92">
        <v>5</v>
      </c>
      <c r="T92" t="s">
        <v>55</v>
      </c>
      <c r="U92">
        <v>8.7119999999999997</v>
      </c>
      <c r="V92" t="s">
        <v>53</v>
      </c>
      <c r="W92">
        <v>573623377</v>
      </c>
      <c r="X92">
        <v>889491031</v>
      </c>
      <c r="Y92">
        <v>1199450780</v>
      </c>
      <c r="Z92">
        <v>1259631733</v>
      </c>
      <c r="AA92">
        <v>1816651769</v>
      </c>
      <c r="AB92">
        <v>3859666166</v>
      </c>
      <c r="AC92">
        <v>1422883953</v>
      </c>
      <c r="AD92">
        <v>3708485430</v>
      </c>
      <c r="AE92">
        <v>6117312213</v>
      </c>
    </row>
    <row r="93" spans="18:39" x14ac:dyDescent="0.3">
      <c r="S93">
        <v>6</v>
      </c>
      <c r="T93" t="s">
        <v>56</v>
      </c>
      <c r="U93">
        <v>9.44</v>
      </c>
      <c r="V93" t="s">
        <v>53</v>
      </c>
      <c r="W93">
        <v>1269140334</v>
      </c>
      <c r="X93">
        <v>1410031947</v>
      </c>
      <c r="Y93">
        <v>1843759440</v>
      </c>
      <c r="Z93">
        <v>2724128485</v>
      </c>
      <c r="AA93">
        <v>3311020571</v>
      </c>
      <c r="AB93">
        <v>6069296842</v>
      </c>
      <c r="AC93">
        <v>6620545661</v>
      </c>
      <c r="AD93">
        <v>2260368363</v>
      </c>
      <c r="AE93">
        <v>7485196701</v>
      </c>
    </row>
    <row r="94" spans="18:39" x14ac:dyDescent="0.3">
      <c r="S94">
        <v>7</v>
      </c>
      <c r="T94" t="s">
        <v>56</v>
      </c>
      <c r="U94">
        <v>11.010999999999999</v>
      </c>
      <c r="V94" t="s">
        <v>53</v>
      </c>
      <c r="W94">
        <v>111767114</v>
      </c>
      <c r="X94">
        <v>144125348</v>
      </c>
      <c r="Y94">
        <v>188305551</v>
      </c>
      <c r="Z94">
        <v>317241816</v>
      </c>
      <c r="AA94">
        <v>400290712</v>
      </c>
      <c r="AB94">
        <v>960096204</v>
      </c>
      <c r="AC94">
        <v>1185883820</v>
      </c>
      <c r="AD94">
        <v>9336502223</v>
      </c>
      <c r="AE94">
        <v>2442879391</v>
      </c>
    </row>
    <row r="95" spans="18:39" x14ac:dyDescent="0.3">
      <c r="S95">
        <v>8</v>
      </c>
      <c r="T95" t="s">
        <v>57</v>
      </c>
      <c r="U95">
        <v>11.583</v>
      </c>
      <c r="V95" t="s">
        <v>58</v>
      </c>
      <c r="W95">
        <v>103195375</v>
      </c>
      <c r="X95">
        <v>131143414</v>
      </c>
      <c r="Y95">
        <v>159621627</v>
      </c>
      <c r="Z95">
        <v>276027180</v>
      </c>
      <c r="AA95">
        <v>338413316</v>
      </c>
      <c r="AB95">
        <v>699803847</v>
      </c>
      <c r="AC95">
        <v>918134221</v>
      </c>
      <c r="AD95">
        <v>1148104552</v>
      </c>
      <c r="AE95">
        <v>1508095330</v>
      </c>
    </row>
    <row r="96" spans="18:39" x14ac:dyDescent="0.3">
      <c r="S96">
        <v>9</v>
      </c>
      <c r="T96" t="s">
        <v>59</v>
      </c>
      <c r="U96">
        <v>12.252000000000001</v>
      </c>
      <c r="V96" t="s">
        <v>53</v>
      </c>
      <c r="W96">
        <v>58525273</v>
      </c>
      <c r="X96">
        <v>143722065</v>
      </c>
      <c r="Y96">
        <v>253297726</v>
      </c>
      <c r="Z96">
        <v>308179175</v>
      </c>
      <c r="AA96">
        <v>776345811</v>
      </c>
      <c r="AB96">
        <v>1365850572</v>
      </c>
      <c r="AC96">
        <v>1889285813</v>
      </c>
      <c r="AD96">
        <v>2805892718</v>
      </c>
      <c r="AE96">
        <v>7914079062</v>
      </c>
    </row>
    <row r="97" spans="18:48" x14ac:dyDescent="0.3">
      <c r="S97">
        <v>10</v>
      </c>
      <c r="T97" t="s">
        <v>60</v>
      </c>
      <c r="U97">
        <v>12.411</v>
      </c>
      <c r="V97" t="s">
        <v>53</v>
      </c>
      <c r="W97">
        <v>51528871</v>
      </c>
    </row>
    <row r="98" spans="18:48" x14ac:dyDescent="0.3">
      <c r="S98">
        <v>11</v>
      </c>
      <c r="T98" t="s">
        <v>61</v>
      </c>
      <c r="U98">
        <v>14.845000000000001</v>
      </c>
      <c r="V98" t="s">
        <v>62</v>
      </c>
      <c r="W98">
        <v>142649473</v>
      </c>
      <c r="X98">
        <v>170631566</v>
      </c>
      <c r="Y98">
        <v>189728981</v>
      </c>
      <c r="Z98">
        <v>262860768</v>
      </c>
      <c r="AA98">
        <v>296806103</v>
      </c>
      <c r="AB98">
        <v>220390347</v>
      </c>
      <c r="AC98">
        <v>339410301</v>
      </c>
      <c r="AD98">
        <v>270641237</v>
      </c>
      <c r="AE98">
        <v>412981712</v>
      </c>
    </row>
    <row r="99" spans="18:48" x14ac:dyDescent="0.3">
      <c r="S99">
        <v>12</v>
      </c>
      <c r="T99" t="s">
        <v>63</v>
      </c>
      <c r="U99">
        <v>15.16</v>
      </c>
      <c r="V99" t="s">
        <v>49</v>
      </c>
      <c r="W99">
        <v>90979842</v>
      </c>
      <c r="X99">
        <v>76148433</v>
      </c>
      <c r="Y99">
        <v>3670917239</v>
      </c>
    </row>
    <row r="100" spans="18:48" x14ac:dyDescent="0.3">
      <c r="S100">
        <v>13</v>
      </c>
      <c r="T100" t="s">
        <v>63</v>
      </c>
      <c r="U100">
        <v>15.275</v>
      </c>
      <c r="V100" t="s">
        <v>49</v>
      </c>
      <c r="W100">
        <v>311771802</v>
      </c>
      <c r="X100">
        <v>174026282</v>
      </c>
      <c r="Y100">
        <v>257291500</v>
      </c>
      <c r="Z100">
        <v>445044322</v>
      </c>
      <c r="AA100">
        <v>267859690</v>
      </c>
      <c r="AB100">
        <v>224468502</v>
      </c>
      <c r="AC100">
        <v>131569531</v>
      </c>
      <c r="AD100">
        <v>270115532</v>
      </c>
      <c r="AE100">
        <v>386091492</v>
      </c>
    </row>
    <row r="101" spans="18:48" x14ac:dyDescent="0.3">
      <c r="S101">
        <v>14</v>
      </c>
      <c r="T101" t="s">
        <v>64</v>
      </c>
      <c r="U101">
        <v>15.843</v>
      </c>
      <c r="V101" t="s">
        <v>58</v>
      </c>
      <c r="W101">
        <v>26736178</v>
      </c>
      <c r="X101">
        <v>28946851</v>
      </c>
      <c r="Y101">
        <v>39763356</v>
      </c>
      <c r="Z101">
        <v>81631198</v>
      </c>
      <c r="AA101">
        <v>99177630</v>
      </c>
      <c r="AB101">
        <v>560948859</v>
      </c>
      <c r="AC101">
        <v>217120122</v>
      </c>
      <c r="AD101">
        <v>256122488</v>
      </c>
      <c r="AE101">
        <v>248801569</v>
      </c>
    </row>
    <row r="102" spans="18:48" x14ac:dyDescent="0.3">
      <c r="S102">
        <v>15</v>
      </c>
      <c r="T102" t="s">
        <v>65</v>
      </c>
      <c r="U102">
        <v>16.010999999999999</v>
      </c>
      <c r="V102" t="s">
        <v>51</v>
      </c>
      <c r="W102">
        <v>21554228</v>
      </c>
      <c r="X102">
        <v>25000324</v>
      </c>
      <c r="Y102">
        <v>36287626</v>
      </c>
      <c r="Z102">
        <v>52715697</v>
      </c>
      <c r="AA102">
        <v>75719832</v>
      </c>
      <c r="AB102">
        <v>304531250</v>
      </c>
      <c r="AC102">
        <v>365254681</v>
      </c>
      <c r="AD102">
        <v>559715220</v>
      </c>
      <c r="AE102">
        <v>2308470514</v>
      </c>
    </row>
    <row r="103" spans="18:48" x14ac:dyDescent="0.3">
      <c r="S103">
        <v>16</v>
      </c>
      <c r="T103" t="s">
        <v>66</v>
      </c>
      <c r="U103">
        <v>16.315000000000001</v>
      </c>
      <c r="V103" t="s">
        <v>53</v>
      </c>
      <c r="W103">
        <v>16292882</v>
      </c>
      <c r="X103">
        <v>18925916</v>
      </c>
      <c r="Y103">
        <v>23178831</v>
      </c>
      <c r="Z103">
        <v>29016315</v>
      </c>
      <c r="AA103">
        <v>34185843</v>
      </c>
      <c r="AB103">
        <v>131102188</v>
      </c>
      <c r="AC103">
        <v>126445152</v>
      </c>
      <c r="AD103">
        <v>180943933</v>
      </c>
    </row>
    <row r="104" spans="18:48" x14ac:dyDescent="0.3">
      <c r="S104">
        <v>17</v>
      </c>
      <c r="T104" t="s">
        <v>67</v>
      </c>
      <c r="U104">
        <v>17.943999999999999</v>
      </c>
      <c r="V104" t="s">
        <v>49</v>
      </c>
      <c r="W104">
        <v>277864148</v>
      </c>
      <c r="X104">
        <v>330689654</v>
      </c>
      <c r="Y104">
        <v>338911871</v>
      </c>
      <c r="Z104">
        <v>356833566</v>
      </c>
      <c r="AA104">
        <v>321012538</v>
      </c>
      <c r="AB104">
        <v>270267166</v>
      </c>
      <c r="AC104">
        <v>205571425</v>
      </c>
      <c r="AD104">
        <v>185643585</v>
      </c>
      <c r="AE104">
        <v>254866799</v>
      </c>
      <c r="AF104">
        <v>1731566416</v>
      </c>
    </row>
    <row r="105" spans="18:48" x14ac:dyDescent="0.3">
      <c r="S105">
        <v>18</v>
      </c>
      <c r="T105" t="s">
        <v>67</v>
      </c>
      <c r="U105">
        <v>18.164000000000001</v>
      </c>
      <c r="V105" t="s">
        <v>49</v>
      </c>
      <c r="W105">
        <v>21724396</v>
      </c>
      <c r="X105">
        <v>29499992</v>
      </c>
      <c r="Y105">
        <v>19983176</v>
      </c>
      <c r="Z105">
        <v>99474507</v>
      </c>
      <c r="AA105">
        <v>664530230</v>
      </c>
    </row>
    <row r="106" spans="18:48" x14ac:dyDescent="0.3">
      <c r="S106">
        <v>19</v>
      </c>
      <c r="T106" t="s">
        <v>67</v>
      </c>
      <c r="U106">
        <v>18.242999999999999</v>
      </c>
      <c r="V106" t="s">
        <v>49</v>
      </c>
      <c r="W106">
        <v>39579053</v>
      </c>
      <c r="X106">
        <v>48600181</v>
      </c>
      <c r="Y106">
        <v>73641588</v>
      </c>
      <c r="Z106">
        <v>73004983</v>
      </c>
      <c r="AA106">
        <v>38789817</v>
      </c>
      <c r="AB106">
        <v>74557303</v>
      </c>
      <c r="AC106">
        <v>3183449819</v>
      </c>
    </row>
    <row r="107" spans="18:48" x14ac:dyDescent="0.3">
      <c r="S107">
        <v>20</v>
      </c>
      <c r="T107" t="s">
        <v>68</v>
      </c>
      <c r="U107">
        <v>20.498999999999999</v>
      </c>
      <c r="V107" t="s">
        <v>51</v>
      </c>
      <c r="W107">
        <v>72007039</v>
      </c>
      <c r="X107">
        <v>132196025</v>
      </c>
      <c r="Y107">
        <v>119723040</v>
      </c>
      <c r="Z107">
        <v>120738870</v>
      </c>
    </row>
    <row r="108" spans="18:48" x14ac:dyDescent="0.3">
      <c r="S108">
        <v>21</v>
      </c>
      <c r="T108" t="s">
        <v>69</v>
      </c>
      <c r="U108">
        <v>21.178999999999998</v>
      </c>
      <c r="V108" t="s">
        <v>58</v>
      </c>
      <c r="W108">
        <v>768577072</v>
      </c>
      <c r="X108">
        <v>784641732</v>
      </c>
      <c r="Y108">
        <v>899382648</v>
      </c>
      <c r="Z108">
        <v>955465389</v>
      </c>
      <c r="AA108">
        <v>870726427</v>
      </c>
      <c r="AB108">
        <v>251308296</v>
      </c>
      <c r="AC108">
        <v>472845682</v>
      </c>
      <c r="AD108">
        <v>244421653</v>
      </c>
      <c r="AE108">
        <v>411122149</v>
      </c>
      <c r="AF108">
        <v>420577701</v>
      </c>
    </row>
    <row r="109" spans="18:48" x14ac:dyDescent="0.3">
      <c r="S109">
        <v>22</v>
      </c>
      <c r="T109" t="s">
        <v>70</v>
      </c>
      <c r="U109">
        <v>22.050999999999998</v>
      </c>
      <c r="X109">
        <v>60849380</v>
      </c>
      <c r="Y109">
        <v>71948493</v>
      </c>
    </row>
    <row r="110" spans="18:48" x14ac:dyDescent="0.3">
      <c r="S110">
        <v>23</v>
      </c>
      <c r="T110" t="s">
        <v>71</v>
      </c>
      <c r="U110">
        <v>25.882999999999999</v>
      </c>
      <c r="X110">
        <v>213112527</v>
      </c>
      <c r="Y110">
        <v>3540542068</v>
      </c>
    </row>
    <row r="112" spans="18:48" x14ac:dyDescent="0.3">
      <c r="R112" s="156" t="s">
        <v>82</v>
      </c>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c r="AO112" s="156"/>
      <c r="AP112" s="156"/>
      <c r="AQ112" s="156"/>
      <c r="AR112" s="156"/>
      <c r="AS112" s="156"/>
      <c r="AT112" s="156"/>
      <c r="AU112" s="156"/>
      <c r="AV112" s="156"/>
    </row>
    <row r="113" spans="18:48" x14ac:dyDescent="0.3">
      <c r="V113" t="s">
        <v>42</v>
      </c>
      <c r="W113">
        <v>73</v>
      </c>
      <c r="X113">
        <v>72</v>
      </c>
      <c r="Y113">
        <v>71</v>
      </c>
      <c r="Z113">
        <v>70</v>
      </c>
      <c r="AA113">
        <v>69</v>
      </c>
      <c r="AB113">
        <v>68</v>
      </c>
      <c r="AC113">
        <v>67</v>
      </c>
      <c r="AD113">
        <v>66</v>
      </c>
      <c r="AE113">
        <v>65</v>
      </c>
      <c r="AF113">
        <v>64</v>
      </c>
      <c r="AG113" s="156" t="s">
        <v>73</v>
      </c>
      <c r="AH113" s="156"/>
      <c r="AI113" s="1" t="s">
        <v>74</v>
      </c>
      <c r="AJ113" s="1" t="s">
        <v>75</v>
      </c>
      <c r="AK113">
        <v>73</v>
      </c>
      <c r="AL113">
        <v>72</v>
      </c>
      <c r="AM113">
        <v>71</v>
      </c>
      <c r="AN113">
        <v>70</v>
      </c>
      <c r="AO113">
        <v>69</v>
      </c>
      <c r="AP113">
        <v>68</v>
      </c>
      <c r="AQ113">
        <v>67</v>
      </c>
      <c r="AR113">
        <v>66</v>
      </c>
      <c r="AS113">
        <v>65</v>
      </c>
      <c r="AT113">
        <v>64</v>
      </c>
      <c r="AU113" s="175" t="s">
        <v>76</v>
      </c>
      <c r="AV113" s="167" t="s">
        <v>77</v>
      </c>
    </row>
    <row r="114" spans="18:48" x14ac:dyDescent="0.3">
      <c r="V114" t="s">
        <v>43</v>
      </c>
      <c r="W114" s="2">
        <v>168.29166666666666</v>
      </c>
      <c r="X114" s="2">
        <v>96.963055555555556</v>
      </c>
      <c r="Y114" s="2">
        <v>72.958888888888893</v>
      </c>
      <c r="Z114" s="2">
        <v>48.914722222222224</v>
      </c>
      <c r="AA114" s="2">
        <v>24.97388888888889</v>
      </c>
      <c r="AB114" s="2">
        <v>6.052777777777778</v>
      </c>
      <c r="AC114" s="2">
        <v>4.9749999999999996</v>
      </c>
      <c r="AD114" s="2">
        <v>3.8711111111111109</v>
      </c>
      <c r="AE114" s="2">
        <v>2.8580555555555556</v>
      </c>
      <c r="AF114" s="2">
        <v>1.8291666666666666</v>
      </c>
      <c r="AG114" s="9"/>
      <c r="AH114" s="9"/>
      <c r="AI114" s="9"/>
      <c r="AJ114" s="9"/>
      <c r="AK114" s="2">
        <v>168.29166666666666</v>
      </c>
      <c r="AL114" s="2">
        <v>96.963055555555556</v>
      </c>
      <c r="AM114" s="2">
        <v>72.958888888888893</v>
      </c>
      <c r="AN114" s="2">
        <v>48.914722222222224</v>
      </c>
      <c r="AO114" s="2">
        <v>24.97388888888889</v>
      </c>
      <c r="AP114" s="2">
        <v>6.052777777777778</v>
      </c>
      <c r="AQ114" s="2">
        <v>4.9749999999999996</v>
      </c>
      <c r="AR114" s="2">
        <v>3.8711111111111109</v>
      </c>
      <c r="AS114" s="2">
        <v>2.8580555555555556</v>
      </c>
      <c r="AT114" s="2">
        <v>1.8291666666666666</v>
      </c>
      <c r="AU114" s="175"/>
      <c r="AV114" s="167"/>
    </row>
    <row r="115" spans="18:48" x14ac:dyDescent="0.3">
      <c r="S115" t="s">
        <v>44</v>
      </c>
      <c r="T115" t="s">
        <v>45</v>
      </c>
      <c r="U115" t="s">
        <v>46</v>
      </c>
      <c r="V115" t="s">
        <v>47</v>
      </c>
      <c r="W115" s="156" t="s">
        <v>78</v>
      </c>
      <c r="X115" s="156"/>
      <c r="Y115" s="156"/>
      <c r="Z115" s="156"/>
      <c r="AA115" s="156"/>
      <c r="AB115" s="156"/>
      <c r="AC115" s="156"/>
      <c r="AD115" s="156"/>
      <c r="AE115" s="156"/>
      <c r="AF115" s="156"/>
      <c r="AG115" s="1"/>
      <c r="AH115" s="1"/>
      <c r="AI115" s="1"/>
      <c r="AJ115" s="10"/>
      <c r="AK115" s="156" t="s">
        <v>79</v>
      </c>
      <c r="AL115" s="156"/>
      <c r="AM115" s="156"/>
      <c r="AN115" s="156"/>
      <c r="AO115" s="156"/>
      <c r="AP115" s="156"/>
      <c r="AQ115" s="156"/>
      <c r="AR115" s="156"/>
      <c r="AS115" s="156"/>
      <c r="AT115" s="156"/>
      <c r="AU115" s="156"/>
      <c r="AV115" s="11"/>
    </row>
    <row r="116" spans="18:48" x14ac:dyDescent="0.3">
      <c r="R116" s="166" t="s">
        <v>80</v>
      </c>
      <c r="S116" s="12">
        <v>2</v>
      </c>
      <c r="T116" s="12" t="s">
        <v>50</v>
      </c>
      <c r="U116" s="12">
        <v>6.5720000000000001</v>
      </c>
      <c r="V116" s="12" t="s">
        <v>51</v>
      </c>
      <c r="W116" s="12">
        <v>244614924</v>
      </c>
      <c r="X116" s="12">
        <v>201839076</v>
      </c>
      <c r="Y116" s="12">
        <v>361847085</v>
      </c>
      <c r="Z116" s="12">
        <v>582629379</v>
      </c>
      <c r="AA116" s="12">
        <v>792610701</v>
      </c>
      <c r="AB116" s="12">
        <v>1467528371</v>
      </c>
      <c r="AC116" s="12">
        <v>1895213902</v>
      </c>
      <c r="AD116" s="12">
        <v>2627087257</v>
      </c>
      <c r="AE116" s="12"/>
      <c r="AF116" s="12"/>
      <c r="AG116" s="20">
        <v>0.66365485956306713</v>
      </c>
      <c r="AH116" s="21">
        <v>0.28483800629661904</v>
      </c>
      <c r="AI116" s="20">
        <v>9869540.25</v>
      </c>
      <c r="AJ116" s="21">
        <v>8.5</v>
      </c>
      <c r="AK116" s="13">
        <f t="shared" ref="AK116:AT118" si="1">(((W116/$AI116)-$AH116)/$AG116)*$AJ116</f>
        <v>313.79258237532002</v>
      </c>
      <c r="AL116" s="13">
        <f t="shared" si="1"/>
        <v>258.28167168830663</v>
      </c>
      <c r="AM116" s="13">
        <f t="shared" si="1"/>
        <v>465.92665623205744</v>
      </c>
      <c r="AN116" s="13">
        <f t="shared" si="1"/>
        <v>752.43941463506872</v>
      </c>
      <c r="AO116" s="13">
        <f t="shared" si="1"/>
        <v>1024.9355767563432</v>
      </c>
      <c r="AP116" s="13">
        <f t="shared" si="1"/>
        <v>1900.7871671317616</v>
      </c>
      <c r="AQ116" s="13">
        <f t="shared" si="1"/>
        <v>2455.8016069032165</v>
      </c>
      <c r="AR116" s="13">
        <f t="shared" si="1"/>
        <v>3405.5655120772253</v>
      </c>
      <c r="AS116" s="13">
        <f t="shared" si="1"/>
        <v>-3.6481659384145328</v>
      </c>
      <c r="AT116" s="13">
        <f t="shared" si="1"/>
        <v>-3.6481659384145328</v>
      </c>
      <c r="AU116" s="13">
        <f>SUM(AK116:AT116)</f>
        <v>10570.23385592247</v>
      </c>
      <c r="AV116" s="169">
        <f>SUM(AU116:AU118)</f>
        <v>15939.781102690838</v>
      </c>
    </row>
    <row r="117" spans="18:48" x14ac:dyDescent="0.3">
      <c r="R117" s="167"/>
      <c r="S117">
        <v>15</v>
      </c>
      <c r="T117" t="s">
        <v>65</v>
      </c>
      <c r="U117">
        <v>16.010999999999999</v>
      </c>
      <c r="V117" t="s">
        <v>51</v>
      </c>
      <c r="W117">
        <v>21554228</v>
      </c>
      <c r="X117">
        <v>25000324</v>
      </c>
      <c r="Y117">
        <v>36287626</v>
      </c>
      <c r="Z117">
        <v>52715697</v>
      </c>
      <c r="AA117">
        <v>75719832</v>
      </c>
      <c r="AB117">
        <v>304531250</v>
      </c>
      <c r="AC117">
        <v>365254681</v>
      </c>
      <c r="AD117">
        <v>559715220</v>
      </c>
      <c r="AE117">
        <v>2308470514</v>
      </c>
      <c r="AG117" s="22">
        <v>0.66365485956306713</v>
      </c>
      <c r="AH117" s="23">
        <v>0.28483800629661904</v>
      </c>
      <c r="AI117" s="22">
        <v>9869540.25</v>
      </c>
      <c r="AJ117" s="23">
        <v>8.5</v>
      </c>
      <c r="AK117" s="18">
        <f t="shared" si="1"/>
        <v>24.323104799117619</v>
      </c>
      <c r="AL117" s="18">
        <f t="shared" si="1"/>
        <v>28.795159386436939</v>
      </c>
      <c r="AM117" s="18">
        <f t="shared" si="1"/>
        <v>43.442873985089605</v>
      </c>
      <c r="AN117" s="18">
        <f t="shared" si="1"/>
        <v>64.761847767699706</v>
      </c>
      <c r="AO117" s="18">
        <f t="shared" si="1"/>
        <v>94.61468629978441</v>
      </c>
      <c r="AP117" s="18">
        <f t="shared" si="1"/>
        <v>391.5469689459843</v>
      </c>
      <c r="AQ117" s="18">
        <f t="shared" si="1"/>
        <v>470.34874874588502</v>
      </c>
      <c r="AR117" s="18">
        <f t="shared" si="1"/>
        <v>722.70333941530851</v>
      </c>
      <c r="AS117" s="18">
        <f t="shared" si="1"/>
        <v>2992.091404817912</v>
      </c>
      <c r="AT117" s="18">
        <f t="shared" si="1"/>
        <v>-3.6481659384145328</v>
      </c>
      <c r="AU117" s="15">
        <f>SUM(AK117:AT117)</f>
        <v>4828.979968224804</v>
      </c>
      <c r="AV117" s="170"/>
    </row>
    <row r="118" spans="18:48" x14ac:dyDescent="0.3">
      <c r="R118" s="167"/>
      <c r="S118">
        <v>20</v>
      </c>
      <c r="T118" t="s">
        <v>68</v>
      </c>
      <c r="U118">
        <v>20.498999999999999</v>
      </c>
      <c r="V118" t="s">
        <v>51</v>
      </c>
      <c r="W118">
        <v>72007039</v>
      </c>
      <c r="X118">
        <v>132196025</v>
      </c>
      <c r="Y118">
        <v>119723040</v>
      </c>
      <c r="Z118">
        <v>120738870</v>
      </c>
      <c r="AG118" s="22">
        <v>0.66365485956306713</v>
      </c>
      <c r="AH118" s="23">
        <v>0.28483800629661904</v>
      </c>
      <c r="AI118" s="22">
        <v>9869540.25</v>
      </c>
      <c r="AJ118" s="25">
        <v>8.5</v>
      </c>
      <c r="AK118" s="18">
        <f t="shared" si="1"/>
        <v>89.79653469651592</v>
      </c>
      <c r="AL118" s="18">
        <f t="shared" si="1"/>
        <v>167.90475656479776</v>
      </c>
      <c r="AM118" s="18">
        <f t="shared" si="1"/>
        <v>151.71836193539244</v>
      </c>
      <c r="AN118" s="18">
        <f t="shared" si="1"/>
        <v>153.03662097734502</v>
      </c>
      <c r="AO118" s="18">
        <f t="shared" si="1"/>
        <v>-3.6481659384145328</v>
      </c>
      <c r="AP118" s="18">
        <f t="shared" si="1"/>
        <v>-3.6481659384145328</v>
      </c>
      <c r="AQ118" s="18">
        <f t="shared" si="1"/>
        <v>-3.6481659384145328</v>
      </c>
      <c r="AR118" s="18">
        <f t="shared" si="1"/>
        <v>-3.6481659384145328</v>
      </c>
      <c r="AS118" s="18">
        <f t="shared" si="1"/>
        <v>-3.6481659384145328</v>
      </c>
      <c r="AT118" s="18">
        <f t="shared" si="1"/>
        <v>-3.6481659384145328</v>
      </c>
      <c r="AU118" s="15">
        <f>SUM(AK118:AT118)</f>
        <v>540.56727854356393</v>
      </c>
      <c r="AV118" s="171"/>
    </row>
    <row r="119" spans="18:48" x14ac:dyDescent="0.3">
      <c r="R119" s="167"/>
      <c r="S119" s="12">
        <v>1</v>
      </c>
      <c r="T119" s="12" t="s">
        <v>48</v>
      </c>
      <c r="U119" s="12">
        <v>5.5529999999999999</v>
      </c>
      <c r="V119" s="12" t="s">
        <v>49</v>
      </c>
      <c r="W119" s="12">
        <v>605538221</v>
      </c>
      <c r="X119" s="12">
        <v>615937711</v>
      </c>
      <c r="Y119" s="12">
        <v>812114951</v>
      </c>
      <c r="Z119" s="12">
        <v>1190951567</v>
      </c>
      <c r="AA119" s="12">
        <v>1641912286</v>
      </c>
      <c r="AB119" s="12">
        <v>11628667388</v>
      </c>
      <c r="AC119" s="12">
        <v>17422503670</v>
      </c>
      <c r="AD119" s="12">
        <v>23562138265</v>
      </c>
      <c r="AE119" s="12">
        <v>34142712130</v>
      </c>
      <c r="AF119" s="12">
        <v>51867177944</v>
      </c>
      <c r="AG119" s="20">
        <v>1.1068706840277212E-5</v>
      </c>
      <c r="AH119" s="21">
        <v>111.46043998867975</v>
      </c>
      <c r="AI119" s="20"/>
      <c r="AJ119" s="23"/>
      <c r="AK119" s="14">
        <f t="shared" ref="AK119:AT125" si="2">IF(W119&gt;0, ($AG119*W119)+$AH119,0)</f>
        <v>6813.9854888206737</v>
      </c>
      <c r="AL119" s="14">
        <f t="shared" si="2"/>
        <v>6929.0943949190678</v>
      </c>
      <c r="AM119" s="14">
        <f t="shared" si="2"/>
        <v>9100.5227532137724</v>
      </c>
      <c r="AN119" s="14">
        <f t="shared" si="2"/>
        <v>13293.754196080443</v>
      </c>
      <c r="AO119" s="14">
        <f t="shared" si="2"/>
        <v>18285.306191172076</v>
      </c>
      <c r="AP119" s="14">
        <f t="shared" si="2"/>
        <v>128825.77070085281</v>
      </c>
      <c r="AQ119" s="14">
        <f t="shared" si="2"/>
        <v>192956.04598687249</v>
      </c>
      <c r="AR119" s="14">
        <f t="shared" si="2"/>
        <v>260913.86142535161</v>
      </c>
      <c r="AS119" s="14">
        <f t="shared" si="2"/>
        <v>378027.13173893542</v>
      </c>
      <c r="AT119" s="14">
        <f t="shared" si="2"/>
        <v>574214.04773461679</v>
      </c>
      <c r="AU119" s="14">
        <f t="shared" ref="AU119:AU125" si="3">SUM(AK119:AT119)</f>
        <v>1589359.5206108352</v>
      </c>
      <c r="AV119" s="163">
        <f>SUM(AU119:AU125)</f>
        <v>1785114.5961896991</v>
      </c>
    </row>
    <row r="120" spans="18:48" x14ac:dyDescent="0.3">
      <c r="R120" s="167"/>
      <c r="S120">
        <v>11</v>
      </c>
      <c r="T120" t="s">
        <v>61</v>
      </c>
      <c r="U120">
        <v>14.845000000000001</v>
      </c>
      <c r="V120" t="s">
        <v>49</v>
      </c>
      <c r="W120">
        <v>142649473</v>
      </c>
      <c r="X120">
        <v>170631566</v>
      </c>
      <c r="Y120">
        <v>189728981</v>
      </c>
      <c r="Z120">
        <v>262860768</v>
      </c>
      <c r="AA120">
        <v>296806103</v>
      </c>
      <c r="AB120">
        <v>220390347</v>
      </c>
      <c r="AC120">
        <v>339410301</v>
      </c>
      <c r="AD120">
        <v>270641237</v>
      </c>
      <c r="AE120">
        <v>412981712</v>
      </c>
      <c r="AG120" s="22">
        <v>1.1068706840277212E-5</v>
      </c>
      <c r="AH120" s="23">
        <v>111.46043998867975</v>
      </c>
      <c r="AI120" s="22"/>
      <c r="AJ120" s="23"/>
      <c r="AK120" s="19">
        <f t="shared" si="2"/>
        <v>1690.4056375457192</v>
      </c>
      <c r="AL120" s="19">
        <f t="shared" si="2"/>
        <v>2000.1312217400923</v>
      </c>
      <c r="AM120" s="19">
        <f t="shared" si="2"/>
        <v>2211.514909782205</v>
      </c>
      <c r="AN120" s="19">
        <f t="shared" si="2"/>
        <v>3020.989220790801</v>
      </c>
      <c r="AO120" s="19">
        <f t="shared" si="2"/>
        <v>3396.7201825008024</v>
      </c>
      <c r="AP120" s="19">
        <f t="shared" si="2"/>
        <v>2550.8965813586483</v>
      </c>
      <c r="AQ120" s="19">
        <f t="shared" si="2"/>
        <v>3868.293560327927</v>
      </c>
      <c r="AR120" s="19">
        <f t="shared" si="2"/>
        <v>3107.1089512316657</v>
      </c>
      <c r="AS120" s="19">
        <f t="shared" si="2"/>
        <v>4682.6339405124727</v>
      </c>
      <c r="AT120" s="19">
        <f t="shared" si="2"/>
        <v>0</v>
      </c>
      <c r="AU120" s="16">
        <f t="shared" si="3"/>
        <v>26528.694205790329</v>
      </c>
      <c r="AV120" s="172"/>
    </row>
    <row r="121" spans="18:48" x14ac:dyDescent="0.3">
      <c r="R121" s="167"/>
      <c r="S121">
        <v>12</v>
      </c>
      <c r="T121" t="s">
        <v>63</v>
      </c>
      <c r="U121">
        <v>15.16</v>
      </c>
      <c r="V121" t="s">
        <v>49</v>
      </c>
      <c r="W121">
        <v>90979842</v>
      </c>
      <c r="X121">
        <v>76148433</v>
      </c>
      <c r="Y121">
        <v>3670917239</v>
      </c>
      <c r="AG121" s="22">
        <v>1.1068706840277212E-5</v>
      </c>
      <c r="AH121" s="23">
        <v>111.46043998867975</v>
      </c>
      <c r="AI121" s="22"/>
      <c r="AJ121" s="23"/>
      <c r="AK121" s="19">
        <f t="shared" si="2"/>
        <v>1118.4896394614198</v>
      </c>
      <c r="AL121" s="19">
        <f t="shared" si="2"/>
        <v>954.32512121217064</v>
      </c>
      <c r="AM121" s="19">
        <f t="shared" si="2"/>
        <v>40743.767193399515</v>
      </c>
      <c r="AN121" s="19">
        <f t="shared" si="2"/>
        <v>0</v>
      </c>
      <c r="AO121" s="19">
        <f t="shared" si="2"/>
        <v>0</v>
      </c>
      <c r="AP121" s="19">
        <f t="shared" si="2"/>
        <v>0</v>
      </c>
      <c r="AQ121" s="19">
        <f t="shared" si="2"/>
        <v>0</v>
      </c>
      <c r="AR121" s="19">
        <f t="shared" si="2"/>
        <v>0</v>
      </c>
      <c r="AS121" s="19">
        <f t="shared" si="2"/>
        <v>0</v>
      </c>
      <c r="AT121" s="19">
        <f t="shared" si="2"/>
        <v>0</v>
      </c>
      <c r="AU121" s="16">
        <f t="shared" si="3"/>
        <v>42816.581954073103</v>
      </c>
      <c r="AV121" s="172"/>
    </row>
    <row r="122" spans="18:48" x14ac:dyDescent="0.3">
      <c r="R122" s="167"/>
      <c r="S122">
        <v>13</v>
      </c>
      <c r="T122" t="s">
        <v>63</v>
      </c>
      <c r="U122">
        <v>15.275</v>
      </c>
      <c r="V122" t="s">
        <v>49</v>
      </c>
      <c r="W122">
        <v>311771802</v>
      </c>
      <c r="X122">
        <v>174026282</v>
      </c>
      <c r="Y122">
        <v>257291500</v>
      </c>
      <c r="Z122">
        <v>445044322</v>
      </c>
      <c r="AA122">
        <v>267859690</v>
      </c>
      <c r="AB122">
        <v>224468502</v>
      </c>
      <c r="AC122">
        <v>131569531</v>
      </c>
      <c r="AD122">
        <v>270115532</v>
      </c>
      <c r="AE122">
        <v>386091492</v>
      </c>
      <c r="AG122" s="22">
        <v>1.1068706840277212E-5</v>
      </c>
      <c r="AH122" s="23">
        <v>111.46043998867975</v>
      </c>
      <c r="AI122" s="22"/>
      <c r="AJ122" s="23"/>
      <c r="AK122" s="19">
        <f t="shared" si="2"/>
        <v>3562.3711173916322</v>
      </c>
      <c r="AL122" s="19">
        <f t="shared" si="2"/>
        <v>2037.7063379500908</v>
      </c>
      <c r="AM122" s="19">
        <f t="shared" si="2"/>
        <v>2959.3446259838638</v>
      </c>
      <c r="AN122" s="19">
        <f t="shared" si="2"/>
        <v>5037.5255711366135</v>
      </c>
      <c r="AO122" s="19">
        <f t="shared" si="2"/>
        <v>3076.3208229262132</v>
      </c>
      <c r="AP122" s="19">
        <f t="shared" si="2"/>
        <v>2596.0364835028586</v>
      </c>
      <c r="AQ122" s="19">
        <f t="shared" si="2"/>
        <v>1567.7650077404444</v>
      </c>
      <c r="AR122" s="19">
        <f t="shared" si="2"/>
        <v>3101.2900767021979</v>
      </c>
      <c r="AS122" s="19">
        <f t="shared" si="2"/>
        <v>4384.9939784619137</v>
      </c>
      <c r="AT122" s="19">
        <f t="shared" si="2"/>
        <v>0</v>
      </c>
      <c r="AU122" s="16">
        <f t="shared" si="3"/>
        <v>28323.354021795825</v>
      </c>
      <c r="AV122" s="172"/>
    </row>
    <row r="123" spans="18:48" x14ac:dyDescent="0.3">
      <c r="R123" s="167"/>
      <c r="S123">
        <v>17</v>
      </c>
      <c r="T123" t="s">
        <v>67</v>
      </c>
      <c r="U123">
        <v>17.943999999999999</v>
      </c>
      <c r="V123" t="s">
        <v>49</v>
      </c>
      <c r="W123">
        <v>277864148</v>
      </c>
      <c r="X123">
        <v>330689654</v>
      </c>
      <c r="Y123">
        <v>338911871</v>
      </c>
      <c r="Z123">
        <v>356833566</v>
      </c>
      <c r="AA123">
        <v>321012538</v>
      </c>
      <c r="AB123">
        <v>270267166</v>
      </c>
      <c r="AC123">
        <v>205571425</v>
      </c>
      <c r="AD123">
        <v>185643585</v>
      </c>
      <c r="AE123">
        <v>254866799</v>
      </c>
      <c r="AF123">
        <v>1731566416</v>
      </c>
      <c r="AG123" s="22">
        <v>1.1068706840277212E-5</v>
      </c>
      <c r="AH123" s="23">
        <v>111.46043998867975</v>
      </c>
      <c r="AI123" s="22"/>
      <c r="AJ123" s="23"/>
      <c r="AK123" s="19">
        <f t="shared" si="2"/>
        <v>3187.0572356240791</v>
      </c>
      <c r="AL123" s="19">
        <f t="shared" si="2"/>
        <v>3771.7672752273843</v>
      </c>
      <c r="AM123" s="19">
        <f t="shared" si="2"/>
        <v>3862.7765847775277</v>
      </c>
      <c r="AN123" s="19">
        <f t="shared" si="2"/>
        <v>4061.1465728133899</v>
      </c>
      <c r="AO123" s="19">
        <f t="shared" si="2"/>
        <v>3664.6541151640281</v>
      </c>
      <c r="AP123" s="19">
        <f t="shared" si="2"/>
        <v>3102.9684689952164</v>
      </c>
      <c r="AQ123" s="19">
        <f t="shared" si="2"/>
        <v>2386.8702780517137</v>
      </c>
      <c r="AR123" s="19">
        <f t="shared" si="2"/>
        <v>2166.2948591317636</v>
      </c>
      <c r="AS123" s="19">
        <f t="shared" si="2"/>
        <v>2932.5063214395368</v>
      </c>
      <c r="AT123" s="19">
        <f t="shared" si="2"/>
        <v>19277.661473162178</v>
      </c>
      <c r="AU123" s="16">
        <f t="shared" si="3"/>
        <v>48413.703184386817</v>
      </c>
      <c r="AV123" s="172"/>
    </row>
    <row r="124" spans="18:48" x14ac:dyDescent="0.3">
      <c r="R124" s="167"/>
      <c r="S124">
        <v>18</v>
      </c>
      <c r="T124" t="s">
        <v>67</v>
      </c>
      <c r="U124">
        <v>18.164000000000001</v>
      </c>
      <c r="V124" t="s">
        <v>49</v>
      </c>
      <c r="W124">
        <v>21724396</v>
      </c>
      <c r="X124">
        <v>29499992</v>
      </c>
      <c r="Y124">
        <v>19983176</v>
      </c>
      <c r="Z124">
        <v>99474507</v>
      </c>
      <c r="AA124">
        <v>664530230</v>
      </c>
      <c r="AG124" s="22">
        <v>1.1068706840277212E-5</v>
      </c>
      <c r="AH124" s="23">
        <v>111.46043998867975</v>
      </c>
      <c r="AI124" s="22"/>
      <c r="AJ124" s="23"/>
      <c r="AK124" s="19">
        <f t="shared" si="2"/>
        <v>351.92141059477069</v>
      </c>
      <c r="AL124" s="19">
        <f t="shared" si="2"/>
        <v>437.98720322720277</v>
      </c>
      <c r="AM124" s="19">
        <f t="shared" si="2"/>
        <v>332.64835687034315</v>
      </c>
      <c r="AN124" s="19">
        <f t="shared" si="2"/>
        <v>1212.5145960527832</v>
      </c>
      <c r="AO124" s="19">
        <f t="shared" si="2"/>
        <v>7466.9507423606683</v>
      </c>
      <c r="AP124" s="19">
        <f t="shared" si="2"/>
        <v>0</v>
      </c>
      <c r="AQ124" s="19">
        <f t="shared" si="2"/>
        <v>0</v>
      </c>
      <c r="AR124" s="19">
        <f t="shared" si="2"/>
        <v>0</v>
      </c>
      <c r="AS124" s="19">
        <f t="shared" si="2"/>
        <v>0</v>
      </c>
      <c r="AT124" s="19">
        <f t="shared" si="2"/>
        <v>0</v>
      </c>
      <c r="AU124" s="16">
        <f t="shared" si="3"/>
        <v>9802.0223091057669</v>
      </c>
      <c r="AV124" s="172"/>
    </row>
    <row r="125" spans="18:48" x14ac:dyDescent="0.3">
      <c r="R125" s="167"/>
      <c r="S125">
        <v>19</v>
      </c>
      <c r="T125" t="s">
        <v>67</v>
      </c>
      <c r="U125">
        <v>18.242999999999999</v>
      </c>
      <c r="V125" t="s">
        <v>49</v>
      </c>
      <c r="W125">
        <v>39579053</v>
      </c>
      <c r="X125">
        <v>48600181</v>
      </c>
      <c r="Y125">
        <v>73641588</v>
      </c>
      <c r="Z125">
        <v>73004983</v>
      </c>
      <c r="AA125">
        <v>38789817</v>
      </c>
      <c r="AB125">
        <v>74557303</v>
      </c>
      <c r="AC125">
        <v>3183449819</v>
      </c>
      <c r="AG125" s="22">
        <v>1.1068706840277212E-5</v>
      </c>
      <c r="AH125" s="23">
        <v>111.46043998867975</v>
      </c>
      <c r="AI125" s="22"/>
      <c r="AJ125" s="25"/>
      <c r="AK125" s="19">
        <f t="shared" si="2"/>
        <v>549.54937466147408</v>
      </c>
      <c r="AL125" s="19">
        <f t="shared" si="2"/>
        <v>649.40159586209029</v>
      </c>
      <c r="AM125" s="19">
        <f t="shared" si="2"/>
        <v>926.5775888131559</v>
      </c>
      <c r="AN125" s="19">
        <f t="shared" si="2"/>
        <v>919.53119469510125</v>
      </c>
      <c r="AO125" s="19">
        <f t="shared" si="2"/>
        <v>540.81355274968109</v>
      </c>
      <c r="AP125" s="19">
        <f t="shared" si="2"/>
        <v>936.71336969740037</v>
      </c>
      <c r="AQ125" s="19">
        <f t="shared" si="2"/>
        <v>35348.133227233229</v>
      </c>
      <c r="AR125" s="19">
        <f t="shared" si="2"/>
        <v>0</v>
      </c>
      <c r="AS125" s="19">
        <f t="shared" si="2"/>
        <v>0</v>
      </c>
      <c r="AT125" s="19">
        <f t="shared" si="2"/>
        <v>0</v>
      </c>
      <c r="AU125" s="16">
        <f t="shared" si="3"/>
        <v>39870.719903712132</v>
      </c>
      <c r="AV125" s="173"/>
    </row>
    <row r="126" spans="18:48" x14ac:dyDescent="0.3">
      <c r="R126" s="167"/>
      <c r="S126" s="12">
        <v>8</v>
      </c>
      <c r="T126" s="12" t="s">
        <v>57</v>
      </c>
      <c r="U126" s="12">
        <v>11.583</v>
      </c>
      <c r="V126" s="12" t="s">
        <v>58</v>
      </c>
      <c r="W126" s="12">
        <v>103195375</v>
      </c>
      <c r="X126" s="12">
        <v>131143414</v>
      </c>
      <c r="Y126" s="12">
        <v>159621627</v>
      </c>
      <c r="Z126" s="12">
        <v>276027180</v>
      </c>
      <c r="AA126" s="12">
        <v>338413316</v>
      </c>
      <c r="AB126" s="12">
        <v>699803847</v>
      </c>
      <c r="AC126" s="12">
        <v>918134221</v>
      </c>
      <c r="AD126" s="12">
        <v>1148104552</v>
      </c>
      <c r="AE126" s="12">
        <v>1508095330</v>
      </c>
      <c r="AF126" s="12"/>
      <c r="AG126" s="20">
        <v>0.21938894584944307</v>
      </c>
      <c r="AH126" s="21">
        <v>0.3150772551676666</v>
      </c>
      <c r="AI126" s="20">
        <v>2649365.5</v>
      </c>
      <c r="AJ126" s="23">
        <v>1.9</v>
      </c>
      <c r="AK126" s="13">
        <f t="shared" ref="AK126:AT128" si="4">(((W126/$AI126)-$AH126)/$AG126)*$AJ126</f>
        <v>334.60304701454248</v>
      </c>
      <c r="AL126" s="13">
        <f t="shared" si="4"/>
        <v>425.96141305505262</v>
      </c>
      <c r="AM126" s="13">
        <f t="shared" si="4"/>
        <v>519.05284631924746</v>
      </c>
      <c r="AN126" s="13">
        <f t="shared" si="4"/>
        <v>899.56688238889842</v>
      </c>
      <c r="AO126" s="13">
        <f t="shared" si="4"/>
        <v>1103.4987378060548</v>
      </c>
      <c r="AP126" s="13">
        <f t="shared" si="4"/>
        <v>2284.83558990764</v>
      </c>
      <c r="AQ126" s="13">
        <f t="shared" si="4"/>
        <v>2998.5281042788092</v>
      </c>
      <c r="AR126" s="13">
        <f t="shared" si="4"/>
        <v>3750.2700664950235</v>
      </c>
      <c r="AS126" s="13">
        <f t="shared" si="4"/>
        <v>4927.0313150295642</v>
      </c>
      <c r="AT126" s="13">
        <f t="shared" si="4"/>
        <v>-2.7287007670358712</v>
      </c>
      <c r="AU126" s="13">
        <f>SUM(AK126:AT126)</f>
        <v>17240.6193015278</v>
      </c>
      <c r="AV126" s="169">
        <f>SUM(AU126:AU128)</f>
        <v>42154.67225924418</v>
      </c>
    </row>
    <row r="127" spans="18:48" x14ac:dyDescent="0.3">
      <c r="R127" s="167"/>
      <c r="S127">
        <v>14</v>
      </c>
      <c r="T127" t="s">
        <v>64</v>
      </c>
      <c r="U127">
        <v>15.843</v>
      </c>
      <c r="V127" t="s">
        <v>58</v>
      </c>
      <c r="W127">
        <v>26736178</v>
      </c>
      <c r="X127">
        <v>28946851</v>
      </c>
      <c r="Y127">
        <v>39763356</v>
      </c>
      <c r="Z127">
        <v>81631198</v>
      </c>
      <c r="AA127">
        <v>99177630</v>
      </c>
      <c r="AB127">
        <v>560948859</v>
      </c>
      <c r="AC127">
        <v>217120122</v>
      </c>
      <c r="AD127">
        <v>256122488</v>
      </c>
      <c r="AE127">
        <v>248801569</v>
      </c>
      <c r="AG127" s="22">
        <v>0.21938894584944307</v>
      </c>
      <c r="AH127" s="23">
        <v>0.3150772551676666</v>
      </c>
      <c r="AI127" s="22">
        <v>2649365.5</v>
      </c>
      <c r="AJ127" s="23">
        <v>1.9</v>
      </c>
      <c r="AK127" s="18">
        <f t="shared" si="4"/>
        <v>84.668255285882026</v>
      </c>
      <c r="AL127" s="18">
        <f t="shared" si="4"/>
        <v>91.894646845228039</v>
      </c>
      <c r="AM127" s="18">
        <f t="shared" si="4"/>
        <v>127.2523412820008</v>
      </c>
      <c r="AN127" s="18">
        <f t="shared" si="4"/>
        <v>264.11266392439609</v>
      </c>
      <c r="AO127" s="18">
        <f t="shared" si="4"/>
        <v>321.46958107199708</v>
      </c>
      <c r="AP127" s="18">
        <f t="shared" si="4"/>
        <v>1830.9373818704091</v>
      </c>
      <c r="AQ127" s="18">
        <f t="shared" si="4"/>
        <v>707.00766322029904</v>
      </c>
      <c r="AR127" s="18">
        <f t="shared" si="4"/>
        <v>834.50113170565317</v>
      </c>
      <c r="AS127" s="18">
        <f t="shared" si="4"/>
        <v>810.57003594058256</v>
      </c>
      <c r="AT127" s="18">
        <f t="shared" si="4"/>
        <v>-2.7287007670358712</v>
      </c>
      <c r="AU127" s="15">
        <f>SUM(AK127:AT127)</f>
        <v>5069.6850003794125</v>
      </c>
      <c r="AV127" s="174"/>
    </row>
    <row r="128" spans="18:48" x14ac:dyDescent="0.3">
      <c r="R128" s="167"/>
      <c r="S128">
        <v>21</v>
      </c>
      <c r="T128" t="s">
        <v>69</v>
      </c>
      <c r="U128">
        <v>21.178999999999998</v>
      </c>
      <c r="V128" t="s">
        <v>58</v>
      </c>
      <c r="W128">
        <v>768577072</v>
      </c>
      <c r="X128">
        <v>784641732</v>
      </c>
      <c r="Y128">
        <v>899382648</v>
      </c>
      <c r="Z128">
        <v>955465389</v>
      </c>
      <c r="AA128">
        <v>870726427</v>
      </c>
      <c r="AB128">
        <v>251308296</v>
      </c>
      <c r="AC128">
        <v>472845682</v>
      </c>
      <c r="AD128">
        <v>244421653</v>
      </c>
      <c r="AE128">
        <v>411122149</v>
      </c>
      <c r="AF128">
        <v>420577701</v>
      </c>
      <c r="AG128" s="22">
        <v>0.21938894584944307</v>
      </c>
      <c r="AH128" s="23">
        <v>0.3150772551676666</v>
      </c>
      <c r="AI128" s="22">
        <v>2649365.5</v>
      </c>
      <c r="AJ128" s="23">
        <v>1.9</v>
      </c>
      <c r="AK128" s="18">
        <f t="shared" si="4"/>
        <v>2509.6459769024618</v>
      </c>
      <c r="AL128" s="18">
        <f t="shared" si="4"/>
        <v>2562.1591814459489</v>
      </c>
      <c r="AM128" s="18">
        <f t="shared" si="4"/>
        <v>2937.2317439163039</v>
      </c>
      <c r="AN128" s="18">
        <f t="shared" si="4"/>
        <v>3120.5586521417122</v>
      </c>
      <c r="AO128" s="18">
        <f t="shared" si="4"/>
        <v>2843.5584265341517</v>
      </c>
      <c r="AP128" s="18">
        <f t="shared" si="4"/>
        <v>818.76418805371043</v>
      </c>
      <c r="AQ128" s="18">
        <f t="shared" si="4"/>
        <v>1542.9399916528753</v>
      </c>
      <c r="AR128" s="18">
        <f t="shared" si="4"/>
        <v>796.25268189815097</v>
      </c>
      <c r="AS128" s="18">
        <f t="shared" si="4"/>
        <v>1341.1740959802842</v>
      </c>
      <c r="AT128" s="18">
        <f t="shared" si="4"/>
        <v>1372.0830188113664</v>
      </c>
      <c r="AU128" s="15">
        <f>SUM(AK128:AT128)</f>
        <v>19844.367957336963</v>
      </c>
      <c r="AV128" s="171"/>
    </row>
    <row r="129" spans="18:77" x14ac:dyDescent="0.3">
      <c r="R129" s="167"/>
      <c r="S129" s="12">
        <v>3</v>
      </c>
      <c r="T129" s="12" t="s">
        <v>52</v>
      </c>
      <c r="U129" s="12">
        <v>7.4550000000000001</v>
      </c>
      <c r="V129" s="12" t="s">
        <v>81</v>
      </c>
      <c r="W129" s="12">
        <v>236164786</v>
      </c>
      <c r="X129" s="12">
        <v>311545644</v>
      </c>
      <c r="Y129" s="12">
        <v>432728141</v>
      </c>
      <c r="Z129" s="12">
        <v>678444094</v>
      </c>
      <c r="AA129" s="12">
        <v>1106920383</v>
      </c>
      <c r="AB129" s="12">
        <v>3171232860</v>
      </c>
      <c r="AC129" s="12">
        <v>3753430007</v>
      </c>
      <c r="AD129" s="12">
        <v>5471786088</v>
      </c>
      <c r="AE129" s="12">
        <v>6168207654</v>
      </c>
      <c r="AF129" s="12">
        <v>18763786572</v>
      </c>
      <c r="AG129" s="20">
        <v>2.2354621687397041E-6</v>
      </c>
      <c r="AH129" s="21">
        <v>0.15529878858154689</v>
      </c>
      <c r="AI129" s="20"/>
      <c r="AJ129" s="21"/>
      <c r="AK129" s="14">
        <f t="shared" ref="AK129:AT136" si="5">IF(W129&gt;0, ($AG129*W129)+$AH129,0)</f>
        <v>528.09274348008967</v>
      </c>
      <c r="AL129" s="14">
        <f t="shared" si="5"/>
        <v>696.60379978622927</v>
      </c>
      <c r="AM129" s="14">
        <f t="shared" si="5"/>
        <v>967.50268734314204</v>
      </c>
      <c r="AN129" s="14">
        <f t="shared" si="5"/>
        <v>1516.7914045304653</v>
      </c>
      <c r="AO129" s="14">
        <f t="shared" si="5"/>
        <v>2474.6339387919456</v>
      </c>
      <c r="AP129" s="14">
        <f t="shared" si="5"/>
        <v>7089.3263855827963</v>
      </c>
      <c r="AQ129" s="14">
        <f t="shared" si="5"/>
        <v>8390.8060824494842</v>
      </c>
      <c r="AR129" s="14">
        <f t="shared" si="5"/>
        <v>12232.126093948802</v>
      </c>
      <c r="AS129" s="14">
        <f t="shared" si="5"/>
        <v>13788.950158236263</v>
      </c>
      <c r="AT129" s="14">
        <f t="shared" si="5"/>
        <v>41945.890322800638</v>
      </c>
      <c r="AU129" s="14">
        <f>SUM(AK129:AT129)</f>
        <v>89630.723616949865</v>
      </c>
      <c r="AV129" s="163">
        <f>SUM(AU129:AU136)</f>
        <v>395995.11933885142</v>
      </c>
    </row>
    <row r="130" spans="18:77" x14ac:dyDescent="0.3">
      <c r="R130" s="167"/>
      <c r="S130">
        <v>4</v>
      </c>
      <c r="T130" t="s">
        <v>54</v>
      </c>
      <c r="U130">
        <v>7.8280000000000003</v>
      </c>
      <c r="V130" t="s">
        <v>81</v>
      </c>
      <c r="W130">
        <v>2220179345</v>
      </c>
      <c r="X130">
        <v>1892663437</v>
      </c>
      <c r="Y130">
        <v>2344219561</v>
      </c>
      <c r="Z130">
        <v>3363927897</v>
      </c>
      <c r="AA130">
        <v>3734338813</v>
      </c>
      <c r="AB130">
        <v>6111163403</v>
      </c>
      <c r="AC130">
        <v>4590224089</v>
      </c>
      <c r="AD130">
        <v>5848058645</v>
      </c>
      <c r="AE130">
        <v>12471358222</v>
      </c>
      <c r="AF130">
        <v>9412923237</v>
      </c>
      <c r="AG130" s="22">
        <v>2.2354621687397041E-6</v>
      </c>
      <c r="AH130" s="23">
        <v>0.15529878858154689</v>
      </c>
      <c r="AI130" s="22"/>
      <c r="AJ130" s="23"/>
      <c r="AK130" s="19">
        <f t="shared" si="5"/>
        <v>4963.2822323533774</v>
      </c>
      <c r="AL130" s="19">
        <f t="shared" si="5"/>
        <v>4231.132810358944</v>
      </c>
      <c r="AM130" s="19">
        <f t="shared" si="5"/>
        <v>5240.5694426236787</v>
      </c>
      <c r="AN130" s="19">
        <f t="shared" si="5"/>
        <v>7520.0888509001934</v>
      </c>
      <c r="AO130" s="19">
        <f t="shared" si="5"/>
        <v>8348.1284405064125</v>
      </c>
      <c r="AP130" s="19">
        <f t="shared" si="5"/>
        <v>13661.429893181672</v>
      </c>
      <c r="AQ130" s="19">
        <f t="shared" si="5"/>
        <v>10261.427595785754</v>
      </c>
      <c r="AR130" s="19">
        <f t="shared" si="5"/>
        <v>13073.269160257256</v>
      </c>
      <c r="AS130" s="19">
        <f t="shared" si="5"/>
        <v>27879.40479687044</v>
      </c>
      <c r="AT130" s="19">
        <f t="shared" si="5"/>
        <v>21042.389092352958</v>
      </c>
      <c r="AU130" s="16">
        <f t="shared" ref="AU130:AU136" si="6">SUM(AK130:AT130)</f>
        <v>116221.12231519069</v>
      </c>
      <c r="AV130" s="164"/>
    </row>
    <row r="131" spans="18:77" x14ac:dyDescent="0.3">
      <c r="R131" s="167"/>
      <c r="S131">
        <v>5</v>
      </c>
      <c r="T131" t="s">
        <v>55</v>
      </c>
      <c r="U131">
        <v>8.7119999999999997</v>
      </c>
      <c r="V131" t="s">
        <v>81</v>
      </c>
      <c r="W131">
        <v>573623377</v>
      </c>
      <c r="X131">
        <v>889491031</v>
      </c>
      <c r="Y131">
        <v>1199450780</v>
      </c>
      <c r="Z131">
        <v>1259631733</v>
      </c>
      <c r="AA131">
        <v>1816651769</v>
      </c>
      <c r="AB131">
        <v>3859666166</v>
      </c>
      <c r="AC131">
        <v>1422883953</v>
      </c>
      <c r="AD131">
        <v>3708485430</v>
      </c>
      <c r="AE131">
        <v>6117312213</v>
      </c>
      <c r="AG131" s="22">
        <v>2.2354621687397041E-6</v>
      </c>
      <c r="AH131" s="23">
        <v>0.15529878858154689</v>
      </c>
      <c r="AI131" s="22"/>
      <c r="AJ131" s="23"/>
      <c r="AK131" s="19">
        <f t="shared" si="5"/>
        <v>1282.4686571767945</v>
      </c>
      <c r="AL131" s="19">
        <f t="shared" si="5"/>
        <v>1988.5788480223571</v>
      </c>
      <c r="AM131" s="19">
        <f t="shared" si="5"/>
        <v>2681.4821407439113</v>
      </c>
      <c r="AN131" s="19">
        <f t="shared" si="5"/>
        <v>2816.0143844541135</v>
      </c>
      <c r="AO131" s="19">
        <f t="shared" si="5"/>
        <v>4061.2116021621418</v>
      </c>
      <c r="AP131" s="19">
        <f t="shared" si="5"/>
        <v>8628.2929968461995</v>
      </c>
      <c r="AQ131" s="19">
        <f t="shared" si="5"/>
        <v>3180.9585462268847</v>
      </c>
      <c r="AR131" s="19">
        <f t="shared" si="5"/>
        <v>8290.3341808759742</v>
      </c>
      <c r="AS131" s="19">
        <f t="shared" si="5"/>
        <v>13675.17532531944</v>
      </c>
      <c r="AT131" s="19">
        <f t="shared" si="5"/>
        <v>0</v>
      </c>
      <c r="AU131" s="16">
        <f t="shared" si="6"/>
        <v>46604.516681827816</v>
      </c>
      <c r="AV131" s="164"/>
    </row>
    <row r="132" spans="18:77" x14ac:dyDescent="0.3">
      <c r="R132" s="167"/>
      <c r="S132">
        <v>6</v>
      </c>
      <c r="T132" t="s">
        <v>56</v>
      </c>
      <c r="U132">
        <v>9.44</v>
      </c>
      <c r="V132" t="s">
        <v>81</v>
      </c>
      <c r="W132">
        <v>1269140334</v>
      </c>
      <c r="X132">
        <v>1410031947</v>
      </c>
      <c r="Y132">
        <v>1843759440</v>
      </c>
      <c r="Z132">
        <v>2724128485</v>
      </c>
      <c r="AA132">
        <v>3311020571</v>
      </c>
      <c r="AB132">
        <v>6069296842</v>
      </c>
      <c r="AC132">
        <v>6620545661</v>
      </c>
      <c r="AD132">
        <v>2260368363</v>
      </c>
      <c r="AE132">
        <v>7485196701</v>
      </c>
      <c r="AG132" s="22">
        <v>2.2354621687397041E-6</v>
      </c>
      <c r="AH132" s="23">
        <v>0.15529878858154689</v>
      </c>
      <c r="AI132" s="22"/>
      <c r="AJ132" s="23"/>
      <c r="AK132" s="19">
        <f t="shared" si="5"/>
        <v>2837.270502267254</v>
      </c>
      <c r="AL132" s="19">
        <f t="shared" si="5"/>
        <v>3152.228373021469</v>
      </c>
      <c r="AM132" s="19">
        <f t="shared" si="5"/>
        <v>4121.809775165284</v>
      </c>
      <c r="AN132" s="19">
        <f t="shared" si="5"/>
        <v>6089.8414697922863</v>
      </c>
      <c r="AO132" s="19">
        <f t="shared" si="5"/>
        <v>7401.8165251780156</v>
      </c>
      <c r="AP132" s="19">
        <f t="shared" si="5"/>
        <v>13567.838779930938</v>
      </c>
      <c r="AQ132" s="19">
        <f t="shared" si="5"/>
        <v>14800.134660367879</v>
      </c>
      <c r="AR132" s="19">
        <f t="shared" si="5"/>
        <v>5053.1232616911766</v>
      </c>
      <c r="AS132" s="19">
        <f t="shared" si="5"/>
        <v>16733.02934944932</v>
      </c>
      <c r="AT132" s="19">
        <f t="shared" si="5"/>
        <v>0</v>
      </c>
      <c r="AU132" s="16">
        <f t="shared" si="6"/>
        <v>73757.092696863619</v>
      </c>
      <c r="AV132" s="164"/>
    </row>
    <row r="133" spans="18:77" x14ac:dyDescent="0.3">
      <c r="R133" s="167"/>
      <c r="S133">
        <v>7</v>
      </c>
      <c r="T133" t="s">
        <v>56</v>
      </c>
      <c r="U133">
        <v>11.010999999999999</v>
      </c>
      <c r="V133" t="s">
        <v>81</v>
      </c>
      <c r="W133">
        <v>111767114</v>
      </c>
      <c r="X133">
        <v>144125348</v>
      </c>
      <c r="Y133">
        <v>188305551</v>
      </c>
      <c r="Z133">
        <v>317241816</v>
      </c>
      <c r="AA133">
        <v>400290712</v>
      </c>
      <c r="AB133">
        <v>960096204</v>
      </c>
      <c r="AC133">
        <v>1185883820</v>
      </c>
      <c r="AD133">
        <v>9336502223</v>
      </c>
      <c r="AE133">
        <v>2442879391</v>
      </c>
      <c r="AG133" s="22">
        <v>2.2354621687397041E-6</v>
      </c>
      <c r="AH133" s="23">
        <v>0.15529878858154689</v>
      </c>
      <c r="AI133" s="22"/>
      <c r="AJ133" s="23"/>
      <c r="AK133" s="19">
        <f t="shared" si="5"/>
        <v>250.0064538447993</v>
      </c>
      <c r="AL133" s="19">
        <f t="shared" si="5"/>
        <v>322.34206179902611</v>
      </c>
      <c r="AM133" s="19">
        <f t="shared" si="5"/>
        <v>421.1052342127665</v>
      </c>
      <c r="AN133" s="19">
        <f t="shared" si="5"/>
        <v>709.33737679886372</v>
      </c>
      <c r="AO133" s="19">
        <f t="shared" si="5"/>
        <v>894.99004196246187</v>
      </c>
      <c r="AP133" s="19">
        <f t="shared" si="5"/>
        <v>2146.4140411811791</v>
      </c>
      <c r="AQ133" s="19">
        <f t="shared" si="5"/>
        <v>2651.1537149191067</v>
      </c>
      <c r="AR133" s="19">
        <f t="shared" si="5"/>
        <v>20871.552806659231</v>
      </c>
      <c r="AS133" s="19">
        <f t="shared" si="5"/>
        <v>5461.1197601629692</v>
      </c>
      <c r="AT133" s="19">
        <f t="shared" si="5"/>
        <v>0</v>
      </c>
      <c r="AU133" s="16">
        <f t="shared" si="6"/>
        <v>33728.021491540399</v>
      </c>
      <c r="AV133" s="164"/>
    </row>
    <row r="134" spans="18:77" x14ac:dyDescent="0.3">
      <c r="R134" s="167"/>
      <c r="S134">
        <v>9</v>
      </c>
      <c r="T134" t="s">
        <v>59</v>
      </c>
      <c r="U134">
        <v>12.252000000000001</v>
      </c>
      <c r="V134" t="s">
        <v>81</v>
      </c>
      <c r="W134">
        <v>58525273</v>
      </c>
      <c r="X134">
        <v>143722065</v>
      </c>
      <c r="Y134">
        <v>253297726</v>
      </c>
      <c r="Z134">
        <v>308179175</v>
      </c>
      <c r="AA134">
        <v>776345811</v>
      </c>
      <c r="AB134">
        <v>1365850572</v>
      </c>
      <c r="AC134">
        <v>1889285813</v>
      </c>
      <c r="AD134">
        <v>2805892718</v>
      </c>
      <c r="AE134">
        <v>7914079062</v>
      </c>
      <c r="AG134" s="22">
        <v>2.2354621687397041E-6</v>
      </c>
      <c r="AH134" s="23">
        <v>0.15529878858154689</v>
      </c>
      <c r="AI134" s="22"/>
      <c r="AJ134" s="23"/>
      <c r="AK134" s="19">
        <f t="shared" si="5"/>
        <v>130.9863324952448</v>
      </c>
      <c r="AL134" s="19">
        <f t="shared" si="5"/>
        <v>321.44053790923027</v>
      </c>
      <c r="AM134" s="19">
        <f t="shared" si="5"/>
        <v>566.39278268937687</v>
      </c>
      <c r="AN134" s="19">
        <f t="shared" si="5"/>
        <v>689.07818569449432</v>
      </c>
      <c r="AO134" s="19">
        <f t="shared" si="5"/>
        <v>1735.6469891386262</v>
      </c>
      <c r="AP134" s="19">
        <f t="shared" si="5"/>
        <v>3053.4625806460672</v>
      </c>
      <c r="AQ134" s="19">
        <f t="shared" si="5"/>
        <v>4223.5822596867165</v>
      </c>
      <c r="AR134" s="19">
        <f t="shared" si="5"/>
        <v>6272.6223194198046</v>
      </c>
      <c r="AS134" s="19">
        <f t="shared" si="5"/>
        <v>17691.779642304584</v>
      </c>
      <c r="AT134" s="19">
        <f t="shared" si="5"/>
        <v>0</v>
      </c>
      <c r="AU134" s="16">
        <f t="shared" si="6"/>
        <v>34684.991629984142</v>
      </c>
      <c r="AV134" s="164"/>
    </row>
    <row r="135" spans="18:77" x14ac:dyDescent="0.3">
      <c r="R135" s="167"/>
      <c r="S135">
        <v>10</v>
      </c>
      <c r="T135" t="s">
        <v>60</v>
      </c>
      <c r="U135">
        <v>12.411</v>
      </c>
      <c r="V135" t="s">
        <v>81</v>
      </c>
      <c r="W135">
        <v>51528871</v>
      </c>
      <c r="AG135" s="22">
        <v>2.2354621687397041E-6</v>
      </c>
      <c r="AH135" s="23">
        <v>0.15529878858154689</v>
      </c>
      <c r="AI135" s="22"/>
      <c r="AJ135" s="23"/>
      <c r="AK135" s="19">
        <f t="shared" si="5"/>
        <v>115.34614050694999</v>
      </c>
      <c r="AL135" s="19">
        <f t="shared" si="5"/>
        <v>0</v>
      </c>
      <c r="AM135" s="19">
        <f t="shared" si="5"/>
        <v>0</v>
      </c>
      <c r="AN135" s="19">
        <f t="shared" si="5"/>
        <v>0</v>
      </c>
      <c r="AO135" s="19">
        <f t="shared" si="5"/>
        <v>0</v>
      </c>
      <c r="AP135" s="19">
        <f t="shared" si="5"/>
        <v>0</v>
      </c>
      <c r="AQ135" s="19">
        <f t="shared" si="5"/>
        <v>0</v>
      </c>
      <c r="AR135" s="19">
        <f t="shared" si="5"/>
        <v>0</v>
      </c>
      <c r="AS135" s="19">
        <f t="shared" si="5"/>
        <v>0</v>
      </c>
      <c r="AT135" s="19">
        <f t="shared" si="5"/>
        <v>0</v>
      </c>
      <c r="AU135" s="16">
        <f t="shared" si="6"/>
        <v>115.34614050694999</v>
      </c>
      <c r="AV135" s="164"/>
    </row>
    <row r="136" spans="18:77" x14ac:dyDescent="0.3">
      <c r="R136" s="168"/>
      <c r="S136" s="11">
        <v>16</v>
      </c>
      <c r="T136" s="11" t="s">
        <v>66</v>
      </c>
      <c r="U136" s="11">
        <v>16.315000000000001</v>
      </c>
      <c r="V136" s="11" t="s">
        <v>81</v>
      </c>
      <c r="W136" s="11">
        <v>16292882</v>
      </c>
      <c r="X136" s="11">
        <v>18925916</v>
      </c>
      <c r="Y136" s="11">
        <v>23178831</v>
      </c>
      <c r="Z136" s="11">
        <v>29016315</v>
      </c>
      <c r="AA136" s="11">
        <v>34185843</v>
      </c>
      <c r="AB136" s="11">
        <v>131102188</v>
      </c>
      <c r="AC136" s="11">
        <v>126445152</v>
      </c>
      <c r="AD136" s="11">
        <v>180943933</v>
      </c>
      <c r="AE136" s="11"/>
      <c r="AF136" s="11"/>
      <c r="AG136" s="24">
        <v>2.2354621687397041E-6</v>
      </c>
      <c r="AH136" s="25">
        <v>0.15529878858154689</v>
      </c>
      <c r="AI136" s="24"/>
      <c r="AJ136" s="25"/>
      <c r="AK136" s="17">
        <f t="shared" si="5"/>
        <v>36.577420119321637</v>
      </c>
      <c r="AL136" s="17">
        <f t="shared" si="5"/>
        <v>42.463468015327017</v>
      </c>
      <c r="AM136" s="17">
        <f t="shared" si="5"/>
        <v>51.970698604692629</v>
      </c>
      <c r="AN136" s="17">
        <f t="shared" si="5"/>
        <v>65.020173247315952</v>
      </c>
      <c r="AO136" s="17">
        <f t="shared" si="5"/>
        <v>76.576457521556577</v>
      </c>
      <c r="AP136" s="17">
        <f t="shared" si="5"/>
        <v>293.22928030158198</v>
      </c>
      <c r="AQ136" s="17">
        <f t="shared" si="5"/>
        <v>282.81865250512311</v>
      </c>
      <c r="AR136" s="17">
        <f t="shared" si="5"/>
        <v>404.64861567305326</v>
      </c>
      <c r="AS136" s="17">
        <f t="shared" si="5"/>
        <v>0</v>
      </c>
      <c r="AT136" s="17">
        <f t="shared" si="5"/>
        <v>0</v>
      </c>
      <c r="AU136" s="17">
        <f t="shared" si="6"/>
        <v>1253.3047659879721</v>
      </c>
      <c r="AV136" s="165"/>
    </row>
    <row r="138" spans="18:77" x14ac:dyDescent="0.3">
      <c r="S138" s="156" t="s">
        <v>93</v>
      </c>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c r="AO138" s="156"/>
      <c r="AP138" s="156"/>
      <c r="AQ138" s="156"/>
      <c r="AR138" s="156"/>
      <c r="AS138" s="156"/>
      <c r="AT138" s="156"/>
      <c r="AU138" s="156"/>
      <c r="AV138" s="156"/>
      <c r="AW138" s="156"/>
      <c r="AX138" s="156"/>
      <c r="AY138" s="156"/>
      <c r="AZ138" s="156"/>
      <c r="BA138" s="156"/>
      <c r="BB138" s="156"/>
    </row>
    <row r="139" spans="18:77" x14ac:dyDescent="0.3">
      <c r="W139">
        <v>73</v>
      </c>
      <c r="X139">
        <v>72</v>
      </c>
      <c r="Y139">
        <v>71</v>
      </c>
      <c r="Z139">
        <v>70</v>
      </c>
      <c r="AA139">
        <v>69</v>
      </c>
      <c r="AB139">
        <v>68</v>
      </c>
      <c r="AC139">
        <v>67</v>
      </c>
      <c r="AD139">
        <v>66</v>
      </c>
      <c r="AE139">
        <v>65</v>
      </c>
      <c r="AF139">
        <v>64</v>
      </c>
      <c r="AG139" s="32">
        <v>73</v>
      </c>
      <c r="AH139">
        <v>72</v>
      </c>
      <c r="AI139">
        <v>71</v>
      </c>
      <c r="AJ139">
        <v>70</v>
      </c>
      <c r="AK139">
        <v>69</v>
      </c>
      <c r="AL139">
        <v>68</v>
      </c>
      <c r="AM139">
        <v>67</v>
      </c>
      <c r="AN139">
        <v>66</v>
      </c>
      <c r="AO139">
        <v>65</v>
      </c>
      <c r="AP139">
        <v>64</v>
      </c>
      <c r="AQ139">
        <v>73</v>
      </c>
      <c r="AR139">
        <v>72</v>
      </c>
      <c r="AS139">
        <v>71</v>
      </c>
      <c r="AT139">
        <v>70</v>
      </c>
      <c r="AU139">
        <v>69</v>
      </c>
      <c r="AV139">
        <v>68</v>
      </c>
      <c r="AW139">
        <v>67</v>
      </c>
      <c r="AX139">
        <v>66</v>
      </c>
      <c r="AY139">
        <v>65</v>
      </c>
      <c r="AZ139">
        <v>64</v>
      </c>
      <c r="BB139">
        <v>96.963055555555556</v>
      </c>
      <c r="BQ139">
        <v>63</v>
      </c>
      <c r="BR139">
        <v>62</v>
      </c>
      <c r="BS139">
        <v>61</v>
      </c>
      <c r="BY139" s="9"/>
    </row>
    <row r="140" spans="18:77" x14ac:dyDescent="0.3">
      <c r="V140" t="s">
        <v>43</v>
      </c>
      <c r="W140" s="2">
        <v>168.29166666666666</v>
      </c>
      <c r="X140" s="2">
        <v>96.963055555555556</v>
      </c>
      <c r="Y140" s="2">
        <v>72.958888888888893</v>
      </c>
      <c r="Z140" s="2">
        <v>48.914722222222224</v>
      </c>
      <c r="AA140" s="2">
        <v>24.97388888888889</v>
      </c>
      <c r="AB140" s="2">
        <v>6.052777777777778</v>
      </c>
      <c r="AC140" s="2">
        <v>4.9749999999999996</v>
      </c>
      <c r="AD140" s="2">
        <v>3.8711111111111109</v>
      </c>
      <c r="AE140" s="2">
        <v>2.8580555555555556</v>
      </c>
      <c r="AF140" s="2">
        <v>1.8291666666666666</v>
      </c>
      <c r="AG140" s="2">
        <v>168.29166666666666</v>
      </c>
      <c r="AH140" s="2">
        <v>96.963055555555556</v>
      </c>
      <c r="AI140" s="2">
        <v>72.958888888888893</v>
      </c>
      <c r="AJ140" s="2">
        <v>48.914722222222224</v>
      </c>
      <c r="AK140" s="2">
        <v>24.97388888888889</v>
      </c>
      <c r="AL140" s="2">
        <v>6.052777777777778</v>
      </c>
      <c r="AM140" s="2">
        <v>4.9749999999999996</v>
      </c>
      <c r="AN140" s="2">
        <v>3.8711111111111109</v>
      </c>
      <c r="AO140" s="2">
        <v>2.8580555555555556</v>
      </c>
      <c r="AP140" s="2">
        <v>1.8291666666666666</v>
      </c>
      <c r="AQ140" s="2">
        <v>168.29166666666666</v>
      </c>
      <c r="AR140" s="2">
        <v>96.963055555555556</v>
      </c>
      <c r="AS140" s="2">
        <v>72.958888888888893</v>
      </c>
      <c r="AT140" s="2">
        <v>48.914722222222224</v>
      </c>
      <c r="AU140" s="2">
        <v>24.97388888888889</v>
      </c>
      <c r="AV140" s="2">
        <v>6.052777777777778</v>
      </c>
      <c r="AW140" s="2">
        <v>4.9749999999999996</v>
      </c>
      <c r="AX140" s="2">
        <v>3.8711111111111109</v>
      </c>
      <c r="AY140" s="2">
        <v>2.8580555555555556</v>
      </c>
      <c r="AZ140" s="2">
        <v>1.8291666666666666</v>
      </c>
      <c r="BB140">
        <v>168.29166666666666</v>
      </c>
      <c r="BQ140">
        <v>1.8291666666666699</v>
      </c>
      <c r="BR140">
        <v>0.80722222222222217</v>
      </c>
      <c r="BS140" s="9">
        <v>0.1</v>
      </c>
    </row>
    <row r="141" spans="18:77" x14ac:dyDescent="0.3">
      <c r="S141" t="s">
        <v>44</v>
      </c>
      <c r="T141" t="s">
        <v>45</v>
      </c>
      <c r="U141" t="s">
        <v>46</v>
      </c>
      <c r="V141" t="s">
        <v>47</v>
      </c>
      <c r="W141" s="179" t="s">
        <v>83</v>
      </c>
      <c r="X141" s="180"/>
      <c r="Y141" s="180"/>
      <c r="Z141" s="180"/>
      <c r="AA141" s="180"/>
      <c r="AB141" s="180"/>
      <c r="AC141" s="180"/>
      <c r="AD141" s="180"/>
      <c r="AE141" s="180"/>
      <c r="AF141" s="181"/>
      <c r="AG141" s="156" t="s">
        <v>84</v>
      </c>
      <c r="AH141" s="156"/>
      <c r="AI141" s="156"/>
      <c r="AJ141" s="156"/>
      <c r="AK141" s="156"/>
      <c r="AL141" s="156"/>
      <c r="AM141" s="156"/>
      <c r="AN141" s="156"/>
      <c r="AO141" s="156"/>
      <c r="AP141" s="156"/>
      <c r="AQ141" s="156" t="s">
        <v>85</v>
      </c>
      <c r="AR141" s="156"/>
      <c r="AS141" s="156"/>
      <c r="AT141" s="156"/>
      <c r="AU141" s="156"/>
      <c r="AV141" s="156"/>
      <c r="AW141" s="156"/>
      <c r="AX141" s="156"/>
      <c r="AY141" s="156"/>
      <c r="AZ141" s="156"/>
      <c r="BU141" s="156" t="s">
        <v>86</v>
      </c>
      <c r="BV141" s="156"/>
      <c r="BW141" s="156"/>
      <c r="BX141" s="156"/>
      <c r="BY141" s="156"/>
    </row>
    <row r="142" spans="18:77" x14ac:dyDescent="0.3">
      <c r="V142" t="s">
        <v>87</v>
      </c>
      <c r="W142" s="22"/>
      <c r="X142" s="26"/>
      <c r="Y142" s="26"/>
      <c r="Z142" s="26"/>
      <c r="AA142" s="26"/>
      <c r="AB142" s="26"/>
      <c r="AC142" s="26"/>
      <c r="AD142" s="26"/>
      <c r="AE142" s="26"/>
      <c r="AF142" s="23"/>
      <c r="AG142" s="29">
        <v>12084</v>
      </c>
      <c r="AH142" s="29">
        <v>9199.8799999999974</v>
      </c>
      <c r="AI142" s="29">
        <v>8612.58</v>
      </c>
      <c r="AJ142" s="29">
        <v>9238.0138888888887</v>
      </c>
      <c r="AK142" s="29">
        <v>6022.4144999999999</v>
      </c>
      <c r="AL142" s="29">
        <v>2471.2455555555553</v>
      </c>
      <c r="AM142" s="29">
        <v>2677.1616666666669</v>
      </c>
      <c r="AN142" s="29">
        <v>2493.6614444444444</v>
      </c>
      <c r="AO142" s="29">
        <v>2029.0227777777779</v>
      </c>
      <c r="AP142" s="29">
        <v>2559.0395833333332</v>
      </c>
      <c r="AQ142" s="29"/>
      <c r="AR142" s="29"/>
      <c r="AV142" s="29"/>
      <c r="BU142" s="156"/>
      <c r="BV142" s="156"/>
      <c r="BW142" s="156"/>
      <c r="BX142" s="156"/>
      <c r="BY142" s="156"/>
    </row>
    <row r="143" spans="18:77" x14ac:dyDescent="0.3">
      <c r="R143" s="167" t="s">
        <v>88</v>
      </c>
      <c r="S143" s="12">
        <v>2</v>
      </c>
      <c r="T143" s="12" t="s">
        <v>50</v>
      </c>
      <c r="U143" s="12">
        <v>6.5720000000000001</v>
      </c>
      <c r="V143" s="12" t="s">
        <v>51</v>
      </c>
      <c r="W143" s="33">
        <v>313.79258237532002</v>
      </c>
      <c r="X143" s="30">
        <v>258.28167168830663</v>
      </c>
      <c r="Y143" s="30">
        <v>465.92665623205744</v>
      </c>
      <c r="Z143" s="30">
        <v>752.43941463506872</v>
      </c>
      <c r="AA143" s="30">
        <v>1024.9355767563432</v>
      </c>
      <c r="AB143" s="30">
        <v>1900.7871671317616</v>
      </c>
      <c r="AC143" s="30">
        <v>2455.8016069032165</v>
      </c>
      <c r="AD143" s="30">
        <v>3405.5655120772253</v>
      </c>
      <c r="AE143" s="30">
        <v>0</v>
      </c>
      <c r="AF143" s="34">
        <v>0</v>
      </c>
      <c r="AG143" s="176">
        <f>SUM(W143:W145)</f>
        <v>427.91222187095354</v>
      </c>
      <c r="AH143" s="176">
        <f t="shared" ref="AH143:AP143" si="7">SUM(X143:X145)</f>
        <v>454.98158763954132</v>
      </c>
      <c r="AI143" s="176">
        <f t="shared" si="7"/>
        <v>661.08789215253944</v>
      </c>
      <c r="AJ143" s="176">
        <f t="shared" si="7"/>
        <v>970.23788338011343</v>
      </c>
      <c r="AK143" s="176">
        <f t="shared" si="7"/>
        <v>1119.5502630561275</v>
      </c>
      <c r="AL143" s="176">
        <f t="shared" si="7"/>
        <v>2292.3341360777458</v>
      </c>
      <c r="AM143" s="176">
        <f t="shared" si="7"/>
        <v>2926.1503556491016</v>
      </c>
      <c r="AN143" s="176">
        <f t="shared" si="7"/>
        <v>4128.2688514925339</v>
      </c>
      <c r="AO143" s="176">
        <f t="shared" si="7"/>
        <v>2992.091404817912</v>
      </c>
      <c r="AP143" s="176">
        <f t="shared" si="7"/>
        <v>0</v>
      </c>
      <c r="AQ143" s="176">
        <f>(AG143/(AG$142/1000))</f>
        <v>35.411471521925982</v>
      </c>
      <c r="AR143" s="176">
        <f t="shared" ref="AR143:AZ143" si="8">(AH143/(AH$142/1000))</f>
        <v>49.455165462977938</v>
      </c>
      <c r="AS143" s="176">
        <f t="shared" si="8"/>
        <v>76.758403655181084</v>
      </c>
      <c r="AT143" s="176">
        <f t="shared" si="8"/>
        <v>105.02667511109466</v>
      </c>
      <c r="AU143" s="176">
        <f t="shared" si="8"/>
        <v>185.89724487680604</v>
      </c>
      <c r="AV143" s="176">
        <f t="shared" si="8"/>
        <v>927.60273495460513</v>
      </c>
      <c r="AW143" s="176">
        <f t="shared" si="8"/>
        <v>1093.0047266411261</v>
      </c>
      <c r="AX143" s="176">
        <f t="shared" si="8"/>
        <v>1655.5049446226087</v>
      </c>
      <c r="AY143" s="176">
        <f t="shared" si="8"/>
        <v>1474.646533093583</v>
      </c>
      <c r="AZ143" s="176">
        <f t="shared" si="8"/>
        <v>0</v>
      </c>
      <c r="BN143" s="29"/>
      <c r="BO143" s="29"/>
      <c r="BP143" s="29"/>
      <c r="BQ143" s="182">
        <f>5163.8*(BQ140^-0.993)</f>
        <v>2834.9924563094719</v>
      </c>
      <c r="BR143" s="182">
        <f t="shared" ref="BR143:BS143" si="9">5163.8*(BR140^-0.993)</f>
        <v>6387.4167930668154</v>
      </c>
      <c r="BS143" s="182">
        <f t="shared" si="9"/>
        <v>50812.36547929341</v>
      </c>
      <c r="BT143" s="29"/>
      <c r="BU143" s="156"/>
      <c r="BV143" s="156"/>
      <c r="BW143" s="156"/>
      <c r="BX143" s="156"/>
      <c r="BY143" s="156"/>
    </row>
    <row r="144" spans="18:77" x14ac:dyDescent="0.3">
      <c r="R144" s="167"/>
      <c r="S144">
        <v>15</v>
      </c>
      <c r="T144" t="s">
        <v>65</v>
      </c>
      <c r="U144">
        <v>16.010999999999999</v>
      </c>
      <c r="V144" t="s">
        <v>51</v>
      </c>
      <c r="W144" s="35">
        <v>24.323104799117619</v>
      </c>
      <c r="X144" s="36">
        <v>28.795159386436939</v>
      </c>
      <c r="Y144" s="36">
        <v>43.442873985089605</v>
      </c>
      <c r="Z144" s="36">
        <v>64.761847767699706</v>
      </c>
      <c r="AA144" s="36">
        <v>94.61468629978441</v>
      </c>
      <c r="AB144" s="36">
        <v>391.5469689459843</v>
      </c>
      <c r="AC144" s="36">
        <v>470.34874874588502</v>
      </c>
      <c r="AD144" s="36">
        <v>722.70333941530851</v>
      </c>
      <c r="AE144" s="36">
        <v>2992.091404817912</v>
      </c>
      <c r="AF144" s="37">
        <v>0</v>
      </c>
      <c r="AG144" s="182"/>
      <c r="AH144" s="177"/>
      <c r="AI144" s="177"/>
      <c r="AJ144" s="177"/>
      <c r="AK144" s="177"/>
      <c r="AL144" s="177"/>
      <c r="AM144" s="177"/>
      <c r="AN144" s="177"/>
      <c r="AO144" s="177"/>
      <c r="AP144" s="177"/>
      <c r="AQ144" s="177"/>
      <c r="AR144" s="177"/>
      <c r="AS144" s="177"/>
      <c r="AT144" s="177"/>
      <c r="AU144" s="177"/>
      <c r="AV144" s="177"/>
      <c r="AW144" s="177"/>
      <c r="AX144" s="177"/>
      <c r="AY144" s="177"/>
      <c r="AZ144" s="177"/>
      <c r="BD144" s="2">
        <v>168.29166666666666</v>
      </c>
      <c r="BE144" s="2">
        <v>96.963055555555556</v>
      </c>
      <c r="BF144" s="2">
        <v>72.958888888888893</v>
      </c>
      <c r="BG144" s="2">
        <v>48.914722222222224</v>
      </c>
      <c r="BH144" s="2">
        <v>24.97388888888889</v>
      </c>
      <c r="BI144" s="2">
        <v>6.052777777777778</v>
      </c>
      <c r="BJ144" s="2">
        <v>4.9749999999999996</v>
      </c>
      <c r="BK144" s="2">
        <v>3.8711111111111109</v>
      </c>
      <c r="BL144" s="2">
        <v>2.8580555555555556</v>
      </c>
      <c r="BM144" s="2">
        <v>1.8291666666666666</v>
      </c>
      <c r="BQ144" s="182"/>
      <c r="BR144" s="182"/>
      <c r="BS144" s="182"/>
      <c r="BU144" t="s">
        <v>89</v>
      </c>
      <c r="BV144" t="s">
        <v>90</v>
      </c>
      <c r="BW144" t="s">
        <v>62</v>
      </c>
      <c r="BX144" t="s">
        <v>91</v>
      </c>
      <c r="BY144" t="s">
        <v>92</v>
      </c>
    </row>
    <row r="145" spans="18:77" x14ac:dyDescent="0.3">
      <c r="R145" s="167"/>
      <c r="S145">
        <v>20</v>
      </c>
      <c r="T145" t="s">
        <v>68</v>
      </c>
      <c r="U145">
        <v>20.498999999999999</v>
      </c>
      <c r="V145" t="s">
        <v>51</v>
      </c>
      <c r="W145" s="38">
        <v>89.79653469651592</v>
      </c>
      <c r="X145" s="31">
        <v>167.90475656479776</v>
      </c>
      <c r="Y145" s="31">
        <v>151.71836193539244</v>
      </c>
      <c r="Z145" s="31">
        <v>153.03662097734502</v>
      </c>
      <c r="AA145" s="31">
        <v>0</v>
      </c>
      <c r="AB145" s="31">
        <v>0</v>
      </c>
      <c r="AC145" s="31">
        <v>0</v>
      </c>
      <c r="AD145" s="31">
        <v>0</v>
      </c>
      <c r="AE145" s="31">
        <v>0</v>
      </c>
      <c r="AF145" s="39">
        <v>0</v>
      </c>
      <c r="AG145" s="178"/>
      <c r="AH145" s="178"/>
      <c r="AI145" s="178"/>
      <c r="AJ145" s="178"/>
      <c r="AK145" s="178"/>
      <c r="AL145" s="178"/>
      <c r="AM145" s="178"/>
      <c r="AN145" s="178"/>
      <c r="AO145" s="178"/>
      <c r="AP145" s="178"/>
      <c r="AQ145" s="178"/>
      <c r="AR145" s="178"/>
      <c r="AS145" s="178"/>
      <c r="AT145" s="178"/>
      <c r="AU145" s="178"/>
      <c r="AV145" s="178"/>
      <c r="AW145" s="178"/>
      <c r="AX145" s="178"/>
      <c r="AY145" s="178"/>
      <c r="AZ145" s="178"/>
      <c r="BD145">
        <v>35.411471521925982</v>
      </c>
      <c r="BE145">
        <v>49.455165462977938</v>
      </c>
      <c r="BF145">
        <v>76.758403655181084</v>
      </c>
      <c r="BG145">
        <v>105.02667511109466</v>
      </c>
      <c r="BH145">
        <v>185.89724487680604</v>
      </c>
      <c r="BI145">
        <v>927.60273495460513</v>
      </c>
      <c r="BJ145">
        <v>1093.0047266411261</v>
      </c>
      <c r="BK145">
        <v>1655.5049446226087</v>
      </c>
      <c r="BL145">
        <v>1474.646533093583</v>
      </c>
      <c r="BM145" s="29"/>
      <c r="BQ145" s="182"/>
      <c r="BR145" s="182"/>
      <c r="BS145" s="182"/>
      <c r="BU145">
        <v>1.8291666666666666</v>
      </c>
      <c r="BV145">
        <v>372.10838629938803</v>
      </c>
      <c r="BW145">
        <v>256667.18534857288</v>
      </c>
      <c r="BX145">
        <v>566.22671683136036</v>
      </c>
      <c r="BY145">
        <v>56259.659969357548</v>
      </c>
    </row>
    <row r="146" spans="18:77" x14ac:dyDescent="0.3">
      <c r="R146" s="167"/>
      <c r="S146" s="12">
        <v>1</v>
      </c>
      <c r="T146" s="12" t="s">
        <v>48</v>
      </c>
      <c r="U146" s="12">
        <v>5.5529999999999999</v>
      </c>
      <c r="V146" s="12" t="s">
        <v>49</v>
      </c>
      <c r="W146" s="35">
        <v>6813.9854888206737</v>
      </c>
      <c r="X146" s="36">
        <v>6929.0943949190678</v>
      </c>
      <c r="Y146" s="36">
        <v>9100.5227532137724</v>
      </c>
      <c r="Z146" s="36">
        <v>13293.754196080443</v>
      </c>
      <c r="AA146" s="36">
        <v>18285.306191172076</v>
      </c>
      <c r="AB146" s="36">
        <v>128825.77070085281</v>
      </c>
      <c r="AC146" s="36">
        <v>192956.04598687249</v>
      </c>
      <c r="AD146" s="36">
        <v>260913.86142535161</v>
      </c>
      <c r="AE146" s="36">
        <v>378027.13173893542</v>
      </c>
      <c r="AF146" s="37">
        <v>574214.04773461679</v>
      </c>
      <c r="AG146" s="182">
        <f t="shared" ref="AG146:AP146" si="10">SUM(W146:W152)</f>
        <v>17273.779904099771</v>
      </c>
      <c r="AH146" s="182">
        <f t="shared" si="10"/>
        <v>16780.413150138098</v>
      </c>
      <c r="AI146" s="182">
        <f t="shared" si="10"/>
        <v>60137.152012840386</v>
      </c>
      <c r="AJ146" s="182">
        <f t="shared" si="10"/>
        <v>27545.461351569131</v>
      </c>
      <c r="AK146" s="182">
        <f t="shared" si="10"/>
        <v>36430.765606873465</v>
      </c>
      <c r="AL146" s="182">
        <f t="shared" si="10"/>
        <v>138012.38560440691</v>
      </c>
      <c r="AM146" s="182">
        <f t="shared" si="10"/>
        <v>236127.10806022579</v>
      </c>
      <c r="AN146" s="182">
        <f t="shared" si="10"/>
        <v>269288.55531241721</v>
      </c>
      <c r="AO146" s="182">
        <f t="shared" si="10"/>
        <v>390027.26597934932</v>
      </c>
      <c r="AP146" s="182">
        <f t="shared" si="10"/>
        <v>593491.70920777891</v>
      </c>
      <c r="AQ146" s="182">
        <f>AG146/(AG$142/1000)</f>
        <v>1429.4753313554925</v>
      </c>
      <c r="AR146" s="182">
        <f t="shared" ref="AR146:AZ146" si="11">AH146/(AH$142/1000)</f>
        <v>1823.9817421681701</v>
      </c>
      <c r="AS146" s="182">
        <f t="shared" si="11"/>
        <v>6982.4781903727326</v>
      </c>
      <c r="AT146" s="182">
        <f t="shared" si="11"/>
        <v>2981.7514546822349</v>
      </c>
      <c r="AU146" s="182">
        <f t="shared" si="11"/>
        <v>6049.1959839153324</v>
      </c>
      <c r="AV146" s="182">
        <f t="shared" si="11"/>
        <v>55847.297446481658</v>
      </c>
      <c r="AW146" s="182">
        <f t="shared" si="11"/>
        <v>88200.541267359324</v>
      </c>
      <c r="AX146" s="182">
        <f t="shared" si="11"/>
        <v>107989.22039411459</v>
      </c>
      <c r="AY146" s="182">
        <f t="shared" si="11"/>
        <v>192224.19297161076</v>
      </c>
      <c r="AZ146" s="182">
        <f t="shared" si="11"/>
        <v>231919.70654659171</v>
      </c>
      <c r="BD146">
        <v>1429.4753313554925</v>
      </c>
      <c r="BE146">
        <v>1823.9817421681701</v>
      </c>
      <c r="BF146">
        <v>6982.4781903727326</v>
      </c>
      <c r="BG146">
        <v>2981.7514546822349</v>
      </c>
      <c r="BH146">
        <v>6049.1959839153324</v>
      </c>
      <c r="BI146">
        <v>55847.297446481658</v>
      </c>
      <c r="BJ146">
        <v>88200.541267359324</v>
      </c>
      <c r="BK146">
        <v>107989.22039411459</v>
      </c>
      <c r="BL146">
        <v>192224.19297161076</v>
      </c>
      <c r="BQ146" s="175">
        <f>528476*(BQ140^-1.196)</f>
        <v>256667.18534857227</v>
      </c>
      <c r="BR146" s="175">
        <f>528476*(BR140^-1.196)</f>
        <v>682749.68841943063</v>
      </c>
      <c r="BS146" s="175">
        <f>528476*(BS140^-1.196)</f>
        <v>8298990.5338297803</v>
      </c>
      <c r="BU146">
        <v>0.80722222222222217</v>
      </c>
      <c r="BV146">
        <v>625.03509806616341</v>
      </c>
      <c r="BW146">
        <v>682749.68841943063</v>
      </c>
      <c r="BX146">
        <v>903.32475917299564</v>
      </c>
      <c r="BY146">
        <v>123987.64939537615</v>
      </c>
    </row>
    <row r="147" spans="18:77" x14ac:dyDescent="0.3">
      <c r="R147" s="167"/>
      <c r="S147">
        <v>11</v>
      </c>
      <c r="T147" t="s">
        <v>61</v>
      </c>
      <c r="U147">
        <v>14.845000000000001</v>
      </c>
      <c r="V147" t="s">
        <v>49</v>
      </c>
      <c r="W147" s="35">
        <v>1690.4056375457192</v>
      </c>
      <c r="X147" s="36">
        <v>2000.1312217400923</v>
      </c>
      <c r="Y147" s="36">
        <v>2211.514909782205</v>
      </c>
      <c r="Z147" s="36">
        <v>3020.989220790801</v>
      </c>
      <c r="AA147" s="36">
        <v>3396.7201825008024</v>
      </c>
      <c r="AB147" s="36">
        <v>2550.8965813586483</v>
      </c>
      <c r="AC147" s="36">
        <v>3868.293560327927</v>
      </c>
      <c r="AD147" s="36">
        <v>3107.1089512316657</v>
      </c>
      <c r="AE147" s="36">
        <v>4682.6339405124727</v>
      </c>
      <c r="AF147" s="37">
        <v>0</v>
      </c>
      <c r="AG147" s="182"/>
      <c r="AH147" s="182"/>
      <c r="AI147" s="182"/>
      <c r="AJ147" s="182"/>
      <c r="AK147" s="182"/>
      <c r="AL147" s="182"/>
      <c r="AM147" s="182"/>
      <c r="AN147" s="182"/>
      <c r="AO147" s="182"/>
      <c r="AP147" s="182"/>
      <c r="AQ147" s="182"/>
      <c r="AR147" s="182"/>
      <c r="AS147" s="182"/>
      <c r="AT147" s="182"/>
      <c r="AU147" s="182"/>
      <c r="AV147" s="182"/>
      <c r="AW147" s="182"/>
      <c r="AX147" s="182"/>
      <c r="AY147" s="182"/>
      <c r="AZ147" s="182"/>
      <c r="BD147">
        <v>242.37978146333054</v>
      </c>
      <c r="BE147">
        <v>334.78863217196647</v>
      </c>
      <c r="BF147">
        <v>416.08170043326766</v>
      </c>
      <c r="BG147">
        <v>463.76182694506622</v>
      </c>
      <c r="BH147">
        <v>708.77332428915417</v>
      </c>
      <c r="BI147">
        <v>1996.7813998647482</v>
      </c>
      <c r="BJ147">
        <v>1960.4627634187141</v>
      </c>
      <c r="BK147">
        <v>2157.8806906956252</v>
      </c>
      <c r="BL147">
        <v>3488.7609564951417</v>
      </c>
      <c r="BQ147" s="175"/>
      <c r="BR147" s="175"/>
      <c r="BS147" s="175"/>
      <c r="BU147" s="9">
        <v>0.1</v>
      </c>
      <c r="BV147">
        <v>2349.2976081311658</v>
      </c>
      <c r="BW147">
        <v>8298990.5338297803</v>
      </c>
      <c r="BX147">
        <v>2976.7131039458927</v>
      </c>
      <c r="BY147">
        <v>932252.9580192978</v>
      </c>
    </row>
    <row r="148" spans="18:77" x14ac:dyDescent="0.3">
      <c r="R148" s="167"/>
      <c r="S148">
        <v>12</v>
      </c>
      <c r="T148" t="s">
        <v>63</v>
      </c>
      <c r="U148">
        <v>15.16</v>
      </c>
      <c r="V148" t="s">
        <v>49</v>
      </c>
      <c r="W148" s="35">
        <v>1118.4896394614198</v>
      </c>
      <c r="X148" s="36">
        <v>954.32512121217064</v>
      </c>
      <c r="Y148" s="36">
        <v>40743.767193399515</v>
      </c>
      <c r="Z148" s="36">
        <v>0</v>
      </c>
      <c r="AA148" s="36">
        <v>0</v>
      </c>
      <c r="AB148" s="36">
        <v>0</v>
      </c>
      <c r="AC148" s="36">
        <v>0</v>
      </c>
      <c r="AD148" s="36">
        <v>0</v>
      </c>
      <c r="AE148" s="36">
        <v>0</v>
      </c>
      <c r="AF148" s="37">
        <v>0</v>
      </c>
      <c r="AG148" s="182"/>
      <c r="AH148" s="182"/>
      <c r="AI148" s="182"/>
      <c r="AJ148" s="182"/>
      <c r="AK148" s="182"/>
      <c r="AL148" s="182"/>
      <c r="AM148" s="182"/>
      <c r="AN148" s="182"/>
      <c r="AO148" s="182"/>
      <c r="AP148" s="182"/>
      <c r="AQ148" s="182"/>
      <c r="AR148" s="182"/>
      <c r="AS148" s="182"/>
      <c r="AT148" s="182"/>
      <c r="AU148" s="182"/>
      <c r="AV148" s="182"/>
      <c r="AW148" s="182"/>
      <c r="AX148" s="182"/>
      <c r="AY148" s="182"/>
      <c r="AZ148" s="182"/>
      <c r="BD148">
        <v>839.45965592881748</v>
      </c>
      <c r="BE148">
        <v>1169.014150066369</v>
      </c>
      <c r="BF148">
        <v>1631.4313203921299</v>
      </c>
      <c r="BG148">
        <v>2100.6865846736487</v>
      </c>
      <c r="BH148">
        <v>4149.9973134132761</v>
      </c>
      <c r="BI148">
        <v>19601.449094677584</v>
      </c>
      <c r="BJ148">
        <v>16357.204743060944</v>
      </c>
      <c r="BK148">
        <v>26546.376849193046</v>
      </c>
      <c r="BL148">
        <v>46933.656967932126</v>
      </c>
      <c r="BQ148" s="175"/>
      <c r="BR148" s="175"/>
      <c r="BS148" s="175"/>
    </row>
    <row r="149" spans="18:77" x14ac:dyDescent="0.3">
      <c r="R149" s="167"/>
      <c r="S149">
        <v>13</v>
      </c>
      <c r="T149" t="s">
        <v>63</v>
      </c>
      <c r="U149">
        <v>15.275</v>
      </c>
      <c r="V149" t="s">
        <v>49</v>
      </c>
      <c r="W149" s="35">
        <v>3562.3711173916322</v>
      </c>
      <c r="X149" s="36">
        <v>2037.7063379500908</v>
      </c>
      <c r="Y149" s="36">
        <v>2959.3446259838638</v>
      </c>
      <c r="Z149" s="36">
        <v>5037.5255711366135</v>
      </c>
      <c r="AA149" s="36">
        <v>3076.3208229262132</v>
      </c>
      <c r="AB149" s="36">
        <v>2596.0364835028586</v>
      </c>
      <c r="AC149" s="36">
        <v>1567.7650077404444</v>
      </c>
      <c r="AD149" s="36">
        <v>3101.2900767021979</v>
      </c>
      <c r="AE149" s="36">
        <v>4384.9939784619137</v>
      </c>
      <c r="AF149" s="37">
        <v>0</v>
      </c>
      <c r="AG149" s="182"/>
      <c r="AH149" s="182"/>
      <c r="AI149" s="182"/>
      <c r="AJ149" s="182"/>
      <c r="AK149" s="182"/>
      <c r="AL149" s="182"/>
      <c r="AM149" s="182"/>
      <c r="AN149" s="182"/>
      <c r="AO149" s="182"/>
      <c r="AP149" s="182"/>
      <c r="AQ149" s="182"/>
      <c r="AR149" s="182"/>
      <c r="AS149" s="182"/>
      <c r="AT149" s="182"/>
      <c r="AU149" s="182"/>
      <c r="AV149" s="182"/>
      <c r="AW149" s="182"/>
      <c r="AX149" s="182"/>
      <c r="AY149" s="182"/>
      <c r="AZ149" s="182"/>
      <c r="BQ149" s="175"/>
      <c r="BR149" s="175"/>
      <c r="BS149" s="175"/>
    </row>
    <row r="150" spans="18:77" x14ac:dyDescent="0.3">
      <c r="R150" s="167"/>
      <c r="S150">
        <v>17</v>
      </c>
      <c r="T150" t="s">
        <v>67</v>
      </c>
      <c r="U150">
        <v>17.943999999999999</v>
      </c>
      <c r="V150" t="s">
        <v>49</v>
      </c>
      <c r="W150" s="35">
        <v>3187.0572356240791</v>
      </c>
      <c r="X150" s="36">
        <v>3771.7672752273843</v>
      </c>
      <c r="Y150" s="36">
        <v>3862.7765847775277</v>
      </c>
      <c r="Z150" s="36">
        <v>4061.1465728133899</v>
      </c>
      <c r="AA150" s="36">
        <v>3664.6541151640281</v>
      </c>
      <c r="AB150" s="36">
        <v>3102.9684689952164</v>
      </c>
      <c r="AC150" s="36">
        <v>2386.8702780517137</v>
      </c>
      <c r="AD150" s="36">
        <v>2166.2948591317636</v>
      </c>
      <c r="AE150" s="36">
        <v>2932.5063214395368</v>
      </c>
      <c r="AF150" s="37">
        <v>19277.661473162178</v>
      </c>
      <c r="AG150" s="182"/>
      <c r="AH150" s="182"/>
      <c r="AI150" s="182"/>
      <c r="AJ150" s="182"/>
      <c r="AK150" s="182"/>
      <c r="AL150" s="182"/>
      <c r="AM150" s="182"/>
      <c r="AN150" s="182"/>
      <c r="AO150" s="182"/>
      <c r="AP150" s="182"/>
      <c r="AQ150" s="182"/>
      <c r="AR150" s="182"/>
      <c r="AS150" s="182"/>
      <c r="AT150" s="182"/>
      <c r="AU150" s="182"/>
      <c r="AV150" s="182"/>
      <c r="AW150" s="182"/>
      <c r="AX150" s="182"/>
      <c r="AY150" s="182"/>
      <c r="AZ150" s="182"/>
      <c r="BQ150" s="175"/>
      <c r="BR150" s="175"/>
      <c r="BS150" s="175"/>
    </row>
    <row r="151" spans="18:77" x14ac:dyDescent="0.3">
      <c r="R151" s="167"/>
      <c r="S151">
        <v>18</v>
      </c>
      <c r="T151" t="s">
        <v>67</v>
      </c>
      <c r="U151">
        <v>18.164000000000001</v>
      </c>
      <c r="V151" t="s">
        <v>49</v>
      </c>
      <c r="W151" s="35">
        <v>351.92141059477069</v>
      </c>
      <c r="X151" s="36">
        <v>437.98720322720277</v>
      </c>
      <c r="Y151" s="36">
        <v>332.64835687034315</v>
      </c>
      <c r="Z151" s="36">
        <v>1212.5145960527832</v>
      </c>
      <c r="AA151" s="36">
        <v>7466.9507423606683</v>
      </c>
      <c r="AB151" s="36">
        <v>0</v>
      </c>
      <c r="AC151" s="36">
        <v>0</v>
      </c>
      <c r="AD151" s="36">
        <v>0</v>
      </c>
      <c r="AE151" s="36">
        <v>0</v>
      </c>
      <c r="AF151" s="37">
        <v>0</v>
      </c>
      <c r="AG151" s="182"/>
      <c r="AH151" s="182"/>
      <c r="AI151" s="182"/>
      <c r="AJ151" s="182"/>
      <c r="AK151" s="182"/>
      <c r="AL151" s="182"/>
      <c r="AM151" s="182"/>
      <c r="AN151" s="182"/>
      <c r="AO151" s="182"/>
      <c r="AP151" s="182"/>
      <c r="AQ151" s="182"/>
      <c r="AR151" s="182"/>
      <c r="AS151" s="182"/>
      <c r="AT151" s="182"/>
      <c r="AU151" s="182"/>
      <c r="AV151" s="182"/>
      <c r="AW151" s="182"/>
      <c r="AX151" s="182"/>
      <c r="AY151" s="182"/>
      <c r="AZ151" s="182"/>
      <c r="BQ151" s="175"/>
      <c r="BR151" s="175"/>
      <c r="BS151" s="175"/>
    </row>
    <row r="152" spans="18:77" x14ac:dyDescent="0.3">
      <c r="R152" s="167"/>
      <c r="S152">
        <v>19</v>
      </c>
      <c r="T152" t="s">
        <v>67</v>
      </c>
      <c r="U152">
        <v>18.242999999999999</v>
      </c>
      <c r="V152" t="s">
        <v>49</v>
      </c>
      <c r="W152" s="35">
        <v>549.54937466147408</v>
      </c>
      <c r="X152" s="36">
        <v>649.40159586209029</v>
      </c>
      <c r="Y152" s="36">
        <v>926.5775888131559</v>
      </c>
      <c r="Z152" s="36">
        <v>919.53119469510125</v>
      </c>
      <c r="AA152" s="36">
        <v>540.81355274968109</v>
      </c>
      <c r="AB152" s="36">
        <v>936.71336969740037</v>
      </c>
      <c r="AC152" s="36">
        <v>35348.133227233229</v>
      </c>
      <c r="AD152" s="36">
        <v>0</v>
      </c>
      <c r="AE152" s="36">
        <v>0</v>
      </c>
      <c r="AF152" s="37">
        <v>0</v>
      </c>
      <c r="AG152" s="182"/>
      <c r="AH152" s="182"/>
      <c r="AI152" s="182"/>
      <c r="AJ152" s="182"/>
      <c r="AK152" s="182"/>
      <c r="AL152" s="182"/>
      <c r="AM152" s="182"/>
      <c r="AN152" s="182"/>
      <c r="AO152" s="182"/>
      <c r="AP152" s="182"/>
      <c r="AQ152" s="182"/>
      <c r="AR152" s="182"/>
      <c r="AS152" s="182"/>
      <c r="AT152" s="182"/>
      <c r="AU152" s="182"/>
      <c r="AV152" s="182"/>
      <c r="AW152" s="182"/>
      <c r="AX152" s="182"/>
      <c r="AY152" s="182"/>
      <c r="AZ152" s="182"/>
      <c r="BQ152" s="175"/>
      <c r="BR152" s="175"/>
      <c r="BS152" s="175"/>
    </row>
    <row r="153" spans="18:77" x14ac:dyDescent="0.3">
      <c r="R153" s="167"/>
      <c r="S153" s="12">
        <v>8</v>
      </c>
      <c r="T153" s="12" t="s">
        <v>57</v>
      </c>
      <c r="U153" s="12">
        <v>11.583</v>
      </c>
      <c r="V153" s="12" t="s">
        <v>58</v>
      </c>
      <c r="W153" s="33">
        <v>334.60304701454248</v>
      </c>
      <c r="X153" s="30">
        <v>425.96141305505262</v>
      </c>
      <c r="Y153" s="30">
        <v>519.05284631924746</v>
      </c>
      <c r="Z153" s="30">
        <v>899.56688238889842</v>
      </c>
      <c r="AA153" s="30">
        <v>1103.4987378060548</v>
      </c>
      <c r="AB153" s="30">
        <v>2284.83558990764</v>
      </c>
      <c r="AC153" s="30">
        <v>2998.5281042788092</v>
      </c>
      <c r="AD153" s="30">
        <v>3750.2700664950235</v>
      </c>
      <c r="AE153" s="30">
        <v>4927.0313150295642</v>
      </c>
      <c r="AF153" s="34">
        <v>0</v>
      </c>
      <c r="AG153" s="176">
        <f t="shared" ref="AG153:AP153" si="12">SUM(W153:W155)</f>
        <v>2928.9172792028862</v>
      </c>
      <c r="AH153" s="176">
        <f t="shared" si="12"/>
        <v>3080.0152413462297</v>
      </c>
      <c r="AI153" s="176">
        <f t="shared" si="12"/>
        <v>3583.5369315175521</v>
      </c>
      <c r="AJ153" s="176">
        <f t="shared" si="12"/>
        <v>4284.2381984550066</v>
      </c>
      <c r="AK153" s="176">
        <f t="shared" si="12"/>
        <v>4268.526745412204</v>
      </c>
      <c r="AL153" s="176">
        <f t="shared" si="12"/>
        <v>4934.5371598317597</v>
      </c>
      <c r="AM153" s="176">
        <f t="shared" si="12"/>
        <v>5248.4757591519838</v>
      </c>
      <c r="AN153" s="176">
        <f t="shared" si="12"/>
        <v>5381.0238800988282</v>
      </c>
      <c r="AO153" s="176">
        <f t="shared" si="12"/>
        <v>7078.7754469504307</v>
      </c>
      <c r="AP153" s="176">
        <f t="shared" si="12"/>
        <v>1372.0830188113664</v>
      </c>
      <c r="AQ153" s="176">
        <f>AG153/(AG$142/1000)</f>
        <v>242.37978146333054</v>
      </c>
      <c r="AR153" s="176">
        <f t="shared" ref="AR153:AZ153" si="13">AH153/(AH$142/1000)</f>
        <v>334.78863217196647</v>
      </c>
      <c r="AS153" s="176">
        <f t="shared" si="13"/>
        <v>416.08170043326766</v>
      </c>
      <c r="AT153" s="176">
        <f t="shared" si="13"/>
        <v>463.76182694506622</v>
      </c>
      <c r="AU153" s="176">
        <f t="shared" si="13"/>
        <v>708.77332428915417</v>
      </c>
      <c r="AV153" s="176">
        <f t="shared" si="13"/>
        <v>1996.7813998647482</v>
      </c>
      <c r="AW153" s="176">
        <f t="shared" si="13"/>
        <v>1960.4627634187141</v>
      </c>
      <c r="AX153" s="176">
        <f t="shared" si="13"/>
        <v>2157.8806906956252</v>
      </c>
      <c r="AY153" s="176">
        <f t="shared" si="13"/>
        <v>3488.7609564951417</v>
      </c>
      <c r="AZ153" s="176">
        <f t="shared" si="13"/>
        <v>536.1710806458608</v>
      </c>
      <c r="BQ153" s="182">
        <f>5708.3*(BQ140^-0.624)</f>
        <v>3916.1628533214111</v>
      </c>
      <c r="BR153" s="182">
        <f t="shared" ref="BR153:BS153" si="14">5708.3*(BR140^-0.624)</f>
        <v>6524.4377111752547</v>
      </c>
      <c r="BS153" s="182">
        <f t="shared" si="14"/>
        <v>24016.338128069212</v>
      </c>
    </row>
    <row r="154" spans="18:77" x14ac:dyDescent="0.3">
      <c r="R154" s="167"/>
      <c r="S154">
        <v>14</v>
      </c>
      <c r="T154" t="s">
        <v>64</v>
      </c>
      <c r="U154">
        <v>15.843</v>
      </c>
      <c r="V154" t="s">
        <v>58</v>
      </c>
      <c r="W154" s="35">
        <v>84.668255285882026</v>
      </c>
      <c r="X154" s="36">
        <v>91.894646845228039</v>
      </c>
      <c r="Y154" s="36">
        <v>127.2523412820008</v>
      </c>
      <c r="Z154" s="36">
        <v>264.11266392439609</v>
      </c>
      <c r="AA154" s="36">
        <v>321.46958107199708</v>
      </c>
      <c r="AB154" s="36">
        <v>1830.9373818704091</v>
      </c>
      <c r="AC154" s="36">
        <v>707.00766322029904</v>
      </c>
      <c r="AD154" s="36">
        <v>834.50113170565317</v>
      </c>
      <c r="AE154" s="36">
        <v>810.57003594058256</v>
      </c>
      <c r="AF154" s="37">
        <v>0</v>
      </c>
      <c r="AG154" s="182"/>
      <c r="AH154" s="182"/>
      <c r="AI154" s="182"/>
      <c r="AJ154" s="182"/>
      <c r="AK154" s="182"/>
      <c r="AL154" s="182"/>
      <c r="AM154" s="182"/>
      <c r="AN154" s="182"/>
      <c r="AO154" s="182"/>
      <c r="AP154" s="182"/>
      <c r="AQ154" s="182"/>
      <c r="AR154" s="182"/>
      <c r="AS154" s="182"/>
      <c r="AT154" s="182"/>
      <c r="AU154" s="182"/>
      <c r="AV154" s="182"/>
      <c r="AW154" s="182"/>
      <c r="AX154" s="182"/>
      <c r="AY154" s="182"/>
      <c r="AZ154" s="182"/>
      <c r="BQ154" s="182"/>
      <c r="BR154" s="182"/>
      <c r="BS154" s="182"/>
    </row>
    <row r="155" spans="18:77" x14ac:dyDescent="0.3">
      <c r="R155" s="167"/>
      <c r="S155">
        <v>21</v>
      </c>
      <c r="T155" t="s">
        <v>69</v>
      </c>
      <c r="U155">
        <v>21.178999999999998</v>
      </c>
      <c r="V155" t="s">
        <v>58</v>
      </c>
      <c r="W155" s="38">
        <v>2509.6459769024618</v>
      </c>
      <c r="X155" s="31">
        <v>2562.1591814459489</v>
      </c>
      <c r="Y155" s="31">
        <v>2937.2317439163039</v>
      </c>
      <c r="Z155" s="31">
        <v>3120.5586521417122</v>
      </c>
      <c r="AA155" s="31">
        <v>2843.5584265341517</v>
      </c>
      <c r="AB155" s="31">
        <v>818.76418805371043</v>
      </c>
      <c r="AC155" s="31">
        <v>1542.9399916528753</v>
      </c>
      <c r="AD155" s="31">
        <v>796.25268189815097</v>
      </c>
      <c r="AE155" s="31">
        <v>1341.1740959802842</v>
      </c>
      <c r="AF155" s="39">
        <v>1372.0830188113664</v>
      </c>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Q155" s="182"/>
      <c r="BR155" s="182"/>
      <c r="BS155" s="182"/>
    </row>
    <row r="156" spans="18:77" x14ac:dyDescent="0.3">
      <c r="R156" s="167"/>
      <c r="S156" s="12">
        <v>3</v>
      </c>
      <c r="T156" s="12" t="s">
        <v>52</v>
      </c>
      <c r="U156" s="12">
        <v>7.4550000000000001</v>
      </c>
      <c r="V156" s="12" t="s">
        <v>81</v>
      </c>
      <c r="W156" s="33">
        <v>528.09274348008967</v>
      </c>
      <c r="X156" s="30">
        <v>696.60379978622927</v>
      </c>
      <c r="Y156" s="30">
        <v>967.50268734314204</v>
      </c>
      <c r="Z156" s="30">
        <v>1516.7914045304653</v>
      </c>
      <c r="AA156" s="30">
        <v>2474.6339387919456</v>
      </c>
      <c r="AB156" s="30">
        <v>7089.3263855827963</v>
      </c>
      <c r="AC156" s="30">
        <v>8390.8060824494842</v>
      </c>
      <c r="AD156" s="30">
        <v>12232.126093948802</v>
      </c>
      <c r="AE156" s="30">
        <v>13788.950158236263</v>
      </c>
      <c r="AF156" s="34">
        <v>41945.890322800638</v>
      </c>
      <c r="AG156" s="176">
        <f t="shared" ref="AG156:AP156" si="15">SUM(W156:W163)</f>
        <v>10144.03048224383</v>
      </c>
      <c r="AH156" s="176">
        <f t="shared" si="15"/>
        <v>10754.789898912582</v>
      </c>
      <c r="AI156" s="176">
        <f t="shared" si="15"/>
        <v>14050.83276138285</v>
      </c>
      <c r="AJ156" s="176">
        <f t="shared" si="15"/>
        <v>19406.171845417732</v>
      </c>
      <c r="AK156" s="176">
        <f t="shared" si="15"/>
        <v>24993.003995261159</v>
      </c>
      <c r="AL156" s="176">
        <f t="shared" si="15"/>
        <v>48439.993957670442</v>
      </c>
      <c r="AM156" s="176">
        <f t="shared" si="15"/>
        <v>43790.881511940941</v>
      </c>
      <c r="AN156" s="176">
        <f t="shared" si="15"/>
        <v>66197.67643852529</v>
      </c>
      <c r="AO156" s="176">
        <f t="shared" si="15"/>
        <v>95229.459032343017</v>
      </c>
      <c r="AP156" s="176">
        <f t="shared" si="15"/>
        <v>62988.279415153593</v>
      </c>
      <c r="AQ156" s="176">
        <f>AG156/(AG$142/1000)</f>
        <v>839.45965592881748</v>
      </c>
      <c r="AR156" s="176">
        <f t="shared" ref="AR156:AZ156" si="16">AH156/(AH$142/1000)</f>
        <v>1169.014150066369</v>
      </c>
      <c r="AS156" s="176">
        <f t="shared" si="16"/>
        <v>1631.4313203921299</v>
      </c>
      <c r="AT156" s="176">
        <f t="shared" si="16"/>
        <v>2100.6865846736487</v>
      </c>
      <c r="AU156" s="176">
        <f t="shared" si="16"/>
        <v>4149.9973134132761</v>
      </c>
      <c r="AV156" s="176">
        <f t="shared" si="16"/>
        <v>19601.449094677584</v>
      </c>
      <c r="AW156" s="176">
        <f t="shared" si="16"/>
        <v>16357.204743060944</v>
      </c>
      <c r="AX156" s="176">
        <f t="shared" si="16"/>
        <v>26546.376849193046</v>
      </c>
      <c r="AY156" s="176">
        <f t="shared" si="16"/>
        <v>46933.656967932126</v>
      </c>
      <c r="AZ156" s="176">
        <f t="shared" si="16"/>
        <v>24614.030914327173</v>
      </c>
      <c r="BQ156" s="175">
        <f>100817*(BQ140^-0.966)</f>
        <v>56259.659969357446</v>
      </c>
      <c r="BR156" s="175">
        <f>100817*(BR140^-0.966)</f>
        <v>123987.64939537615</v>
      </c>
      <c r="BS156" s="175">
        <f>100817*(BS140^-0.966)</f>
        <v>932252.9580192978</v>
      </c>
    </row>
    <row r="157" spans="18:77" x14ac:dyDescent="0.3">
      <c r="R157" s="167"/>
      <c r="S157">
        <v>4</v>
      </c>
      <c r="T157" t="s">
        <v>54</v>
      </c>
      <c r="U157">
        <v>7.8280000000000003</v>
      </c>
      <c r="V157" t="s">
        <v>81</v>
      </c>
      <c r="W157" s="35">
        <v>4963.2822323533774</v>
      </c>
      <c r="X157" s="36">
        <v>4231.132810358944</v>
      </c>
      <c r="Y157" s="36">
        <v>5240.5694426236787</v>
      </c>
      <c r="Z157" s="36">
        <v>7520.0888509001934</v>
      </c>
      <c r="AA157" s="36">
        <v>8348.1284405064125</v>
      </c>
      <c r="AB157" s="36">
        <v>13661.429893181672</v>
      </c>
      <c r="AC157" s="36">
        <v>10261.427595785754</v>
      </c>
      <c r="AD157" s="36">
        <v>13073.269160257256</v>
      </c>
      <c r="AE157" s="36">
        <v>27879.40479687044</v>
      </c>
      <c r="AF157" s="37">
        <v>21042.389092352958</v>
      </c>
      <c r="AG157" s="182"/>
      <c r="AH157" s="182"/>
      <c r="AI157" s="182"/>
      <c r="AJ157" s="182"/>
      <c r="AK157" s="182"/>
      <c r="AL157" s="182"/>
      <c r="AM157" s="182"/>
      <c r="AN157" s="182"/>
      <c r="AO157" s="182"/>
      <c r="AP157" s="182"/>
      <c r="AQ157" s="182"/>
      <c r="AR157" s="182"/>
      <c r="AS157" s="182"/>
      <c r="AT157" s="182"/>
      <c r="AU157" s="182"/>
      <c r="AV157" s="182"/>
      <c r="AW157" s="182"/>
      <c r="AX157" s="182"/>
      <c r="AY157" s="182"/>
      <c r="AZ157" s="182"/>
      <c r="BQ157" s="175"/>
      <c r="BR157" s="175"/>
      <c r="BS157" s="175"/>
    </row>
    <row r="158" spans="18:77" x14ac:dyDescent="0.3">
      <c r="R158" s="167"/>
      <c r="S158">
        <v>5</v>
      </c>
      <c r="T158" t="s">
        <v>55</v>
      </c>
      <c r="U158">
        <v>8.7119999999999997</v>
      </c>
      <c r="V158" t="s">
        <v>81</v>
      </c>
      <c r="W158" s="35">
        <v>1282.4686571767945</v>
      </c>
      <c r="X158" s="36">
        <v>1988.5788480223571</v>
      </c>
      <c r="Y158" s="36">
        <v>2681.4821407439113</v>
      </c>
      <c r="Z158" s="36">
        <v>2816.0143844541135</v>
      </c>
      <c r="AA158" s="36">
        <v>4061.2116021621418</v>
      </c>
      <c r="AB158" s="36">
        <v>8628.2929968461995</v>
      </c>
      <c r="AC158" s="36">
        <v>3180.9585462268847</v>
      </c>
      <c r="AD158" s="36">
        <v>8290.3341808759742</v>
      </c>
      <c r="AE158" s="36">
        <v>13675.17532531944</v>
      </c>
      <c r="AF158" s="37">
        <v>0</v>
      </c>
      <c r="AG158" s="182"/>
      <c r="AH158" s="182"/>
      <c r="AI158" s="182"/>
      <c r="AJ158" s="182"/>
      <c r="AK158" s="182"/>
      <c r="AL158" s="182"/>
      <c r="AM158" s="182"/>
      <c r="AN158" s="182"/>
      <c r="AO158" s="182"/>
      <c r="AP158" s="182"/>
      <c r="AQ158" s="182"/>
      <c r="AR158" s="182"/>
      <c r="AS158" s="182"/>
      <c r="AT158" s="182"/>
      <c r="AU158" s="182"/>
      <c r="AV158" s="182"/>
      <c r="AW158" s="182"/>
      <c r="AX158" s="182"/>
      <c r="AY158" s="182"/>
      <c r="AZ158" s="182"/>
      <c r="BQ158" s="175"/>
      <c r="BR158" s="175"/>
      <c r="BS158" s="175"/>
    </row>
    <row r="159" spans="18:77" x14ac:dyDescent="0.3">
      <c r="R159" s="167"/>
      <c r="S159">
        <v>6</v>
      </c>
      <c r="T159" t="s">
        <v>56</v>
      </c>
      <c r="U159">
        <v>9.44</v>
      </c>
      <c r="V159" t="s">
        <v>81</v>
      </c>
      <c r="W159" s="35">
        <v>2837.270502267254</v>
      </c>
      <c r="X159" s="36">
        <v>3152.228373021469</v>
      </c>
      <c r="Y159" s="36">
        <v>4121.809775165284</v>
      </c>
      <c r="Z159" s="36">
        <v>6089.8414697922863</v>
      </c>
      <c r="AA159" s="36">
        <v>7401.8165251780156</v>
      </c>
      <c r="AB159" s="36">
        <v>13567.838779930938</v>
      </c>
      <c r="AC159" s="36">
        <v>14800.134660367879</v>
      </c>
      <c r="AD159" s="36">
        <v>5053.1232616911766</v>
      </c>
      <c r="AE159" s="36">
        <v>16733.02934944932</v>
      </c>
      <c r="AF159" s="37">
        <v>0</v>
      </c>
      <c r="AG159" s="182"/>
      <c r="AH159" s="182"/>
      <c r="AI159" s="182"/>
      <c r="AJ159" s="182"/>
      <c r="AK159" s="182"/>
      <c r="AL159" s="182"/>
      <c r="AM159" s="182"/>
      <c r="AN159" s="182"/>
      <c r="AO159" s="182"/>
      <c r="AP159" s="182"/>
      <c r="AQ159" s="182"/>
      <c r="AR159" s="182"/>
      <c r="AS159" s="182"/>
      <c r="AT159" s="182"/>
      <c r="AU159" s="182"/>
      <c r="AV159" s="182"/>
      <c r="AW159" s="182"/>
      <c r="AX159" s="182"/>
      <c r="AY159" s="182"/>
      <c r="AZ159" s="182"/>
      <c r="BQ159" s="175"/>
      <c r="BR159" s="175"/>
      <c r="BS159" s="175"/>
    </row>
    <row r="160" spans="18:77" x14ac:dyDescent="0.3">
      <c r="R160" s="167"/>
      <c r="S160">
        <v>7</v>
      </c>
      <c r="T160" t="s">
        <v>56</v>
      </c>
      <c r="U160">
        <v>11.010999999999999</v>
      </c>
      <c r="V160" t="s">
        <v>81</v>
      </c>
      <c r="W160" s="35">
        <v>250.0064538447993</v>
      </c>
      <c r="X160" s="36">
        <v>322.34206179902611</v>
      </c>
      <c r="Y160" s="36">
        <v>421.1052342127665</v>
      </c>
      <c r="Z160" s="36">
        <v>709.33737679886372</v>
      </c>
      <c r="AA160" s="36">
        <v>894.99004196246187</v>
      </c>
      <c r="AB160" s="36">
        <v>2146.4140411811791</v>
      </c>
      <c r="AC160" s="36">
        <v>2651.1537149191067</v>
      </c>
      <c r="AD160" s="36">
        <v>20871.552806659231</v>
      </c>
      <c r="AE160" s="36">
        <v>5461.1197601629692</v>
      </c>
      <c r="AF160" s="37">
        <v>0</v>
      </c>
      <c r="AG160" s="182"/>
      <c r="AH160" s="182"/>
      <c r="AI160" s="182"/>
      <c r="AJ160" s="182"/>
      <c r="AK160" s="182"/>
      <c r="AL160" s="182"/>
      <c r="AM160" s="182"/>
      <c r="AN160" s="182"/>
      <c r="AO160" s="182"/>
      <c r="AP160" s="182"/>
      <c r="AQ160" s="182"/>
      <c r="AR160" s="182"/>
      <c r="AS160" s="182"/>
      <c r="AT160" s="182"/>
      <c r="AU160" s="182"/>
      <c r="AV160" s="182"/>
      <c r="AW160" s="182"/>
      <c r="AX160" s="182"/>
      <c r="AY160" s="182"/>
      <c r="AZ160" s="182"/>
      <c r="BQ160" s="175"/>
      <c r="BR160" s="175"/>
      <c r="BS160" s="175"/>
    </row>
    <row r="161" spans="18:71" x14ac:dyDescent="0.3">
      <c r="R161" s="167"/>
      <c r="S161">
        <v>9</v>
      </c>
      <c r="T161" t="s">
        <v>59</v>
      </c>
      <c r="U161">
        <v>12.252000000000001</v>
      </c>
      <c r="V161" t="s">
        <v>81</v>
      </c>
      <c r="W161" s="35">
        <v>130.9863324952448</v>
      </c>
      <c r="X161" s="36">
        <v>321.44053790923027</v>
      </c>
      <c r="Y161" s="36">
        <v>566.39278268937687</v>
      </c>
      <c r="Z161" s="36">
        <v>689.07818569449432</v>
      </c>
      <c r="AA161" s="36">
        <v>1735.6469891386262</v>
      </c>
      <c r="AB161" s="36">
        <v>3053.4625806460672</v>
      </c>
      <c r="AC161" s="36">
        <v>4223.5822596867165</v>
      </c>
      <c r="AD161" s="36">
        <v>6272.6223194198046</v>
      </c>
      <c r="AE161" s="36">
        <v>17691.779642304584</v>
      </c>
      <c r="AF161" s="37">
        <v>0</v>
      </c>
      <c r="AG161" s="182"/>
      <c r="AH161" s="182"/>
      <c r="AI161" s="182"/>
      <c r="AJ161" s="182"/>
      <c r="AK161" s="182"/>
      <c r="AL161" s="182"/>
      <c r="AM161" s="182"/>
      <c r="AN161" s="182"/>
      <c r="AO161" s="182"/>
      <c r="AP161" s="182"/>
      <c r="AQ161" s="182"/>
      <c r="AR161" s="182"/>
      <c r="AS161" s="182"/>
      <c r="AT161" s="182"/>
      <c r="AU161" s="182"/>
      <c r="AV161" s="182"/>
      <c r="AW161" s="182"/>
      <c r="AX161" s="182"/>
      <c r="AY161" s="182"/>
      <c r="AZ161" s="182"/>
      <c r="BQ161" s="175"/>
      <c r="BR161" s="175"/>
      <c r="BS161" s="175"/>
    </row>
    <row r="162" spans="18:71" x14ac:dyDescent="0.3">
      <c r="R162" s="167"/>
      <c r="S162">
        <v>10</v>
      </c>
      <c r="T162" t="s">
        <v>60</v>
      </c>
      <c r="U162">
        <v>12.411</v>
      </c>
      <c r="V162" t="s">
        <v>81</v>
      </c>
      <c r="W162" s="35">
        <v>115.34614050694999</v>
      </c>
      <c r="X162" s="36">
        <v>0</v>
      </c>
      <c r="Y162" s="36">
        <v>0</v>
      </c>
      <c r="Z162" s="36">
        <v>0</v>
      </c>
      <c r="AA162" s="36">
        <v>0</v>
      </c>
      <c r="AB162" s="36">
        <v>0</v>
      </c>
      <c r="AC162" s="36">
        <v>0</v>
      </c>
      <c r="AD162" s="36">
        <v>0</v>
      </c>
      <c r="AE162" s="36">
        <v>0</v>
      </c>
      <c r="AF162" s="37">
        <v>0</v>
      </c>
      <c r="AG162" s="182"/>
      <c r="AH162" s="182"/>
      <c r="AI162" s="182"/>
      <c r="AJ162" s="182"/>
      <c r="AK162" s="182"/>
      <c r="AL162" s="182"/>
      <c r="AM162" s="182"/>
      <c r="AN162" s="182"/>
      <c r="AO162" s="182"/>
      <c r="AP162" s="182"/>
      <c r="AQ162" s="182"/>
      <c r="AR162" s="182"/>
      <c r="AS162" s="182"/>
      <c r="AT162" s="182"/>
      <c r="AU162" s="182"/>
      <c r="AV162" s="182"/>
      <c r="AW162" s="182"/>
      <c r="AX162" s="182"/>
      <c r="AY162" s="182"/>
      <c r="AZ162" s="182"/>
      <c r="BQ162" s="175"/>
      <c r="BR162" s="175"/>
      <c r="BS162" s="175"/>
    </row>
    <row r="163" spans="18:71" x14ac:dyDescent="0.3">
      <c r="R163" s="167"/>
      <c r="S163" s="11">
        <v>16</v>
      </c>
      <c r="T163" s="11" t="s">
        <v>66</v>
      </c>
      <c r="U163" s="11">
        <v>16.315000000000001</v>
      </c>
      <c r="V163" s="11" t="s">
        <v>81</v>
      </c>
      <c r="W163" s="38">
        <v>36.577420119321637</v>
      </c>
      <c r="X163" s="31">
        <v>42.463468015327017</v>
      </c>
      <c r="Y163" s="31">
        <v>51.970698604692629</v>
      </c>
      <c r="Z163" s="31">
        <v>65.020173247315952</v>
      </c>
      <c r="AA163" s="31">
        <v>76.576457521556577</v>
      </c>
      <c r="AB163" s="31">
        <v>293.22928030158198</v>
      </c>
      <c r="AC163" s="31">
        <v>282.81865250512311</v>
      </c>
      <c r="AD163" s="31">
        <v>404.64861567305326</v>
      </c>
      <c r="AE163" s="31">
        <v>0</v>
      </c>
      <c r="AF163" s="39">
        <v>0</v>
      </c>
      <c r="AG163" s="178"/>
      <c r="AH163" s="178"/>
      <c r="AI163" s="178"/>
      <c r="AJ163" s="178"/>
      <c r="AK163" s="178"/>
      <c r="AL163" s="178"/>
      <c r="AM163" s="178"/>
      <c r="AN163" s="178"/>
      <c r="AO163" s="178"/>
      <c r="AP163" s="178"/>
      <c r="AQ163" s="178"/>
      <c r="AR163" s="178"/>
      <c r="AS163" s="178"/>
      <c r="AT163" s="178"/>
      <c r="AU163" s="178"/>
      <c r="AV163" s="178"/>
      <c r="AW163" s="178"/>
      <c r="AX163" s="178"/>
      <c r="AY163" s="178"/>
      <c r="AZ163" s="178"/>
      <c r="BQ163" s="175"/>
      <c r="BR163" s="175"/>
      <c r="BS163" s="175"/>
    </row>
    <row r="165" spans="18:71" x14ac:dyDescent="0.3">
      <c r="S165" s="156" t="s">
        <v>98</v>
      </c>
      <c r="T165" s="156"/>
      <c r="U165" s="156"/>
      <c r="V165" s="156"/>
      <c r="W165" s="156"/>
      <c r="X165" s="156"/>
      <c r="Y165" s="156"/>
      <c r="Z165" s="156"/>
      <c r="AA165" s="156"/>
      <c r="AB165" s="156"/>
      <c r="AC165" s="156"/>
      <c r="AD165" s="156"/>
      <c r="AE165" s="156"/>
    </row>
    <row r="166" spans="18:71" x14ac:dyDescent="0.3">
      <c r="S166" t="s">
        <v>94</v>
      </c>
      <c r="T166">
        <v>73</v>
      </c>
      <c r="U166">
        <v>72</v>
      </c>
      <c r="V166">
        <v>71</v>
      </c>
      <c r="W166">
        <v>70</v>
      </c>
      <c r="X166">
        <v>69</v>
      </c>
      <c r="Y166">
        <v>68</v>
      </c>
      <c r="Z166">
        <v>67</v>
      </c>
      <c r="AA166">
        <v>66</v>
      </c>
      <c r="AB166">
        <v>65</v>
      </c>
      <c r="AC166">
        <v>63</v>
      </c>
      <c r="AD166">
        <v>62</v>
      </c>
      <c r="AE166">
        <v>61</v>
      </c>
    </row>
    <row r="167" spans="18:71" x14ac:dyDescent="0.3">
      <c r="S167" t="s">
        <v>95</v>
      </c>
      <c r="T167" s="40">
        <v>168.29166666666666</v>
      </c>
      <c r="U167" s="40">
        <v>96.963055555555556</v>
      </c>
      <c r="V167" s="40">
        <v>72.958888888888893</v>
      </c>
      <c r="W167" s="40">
        <v>48.914722222222224</v>
      </c>
      <c r="X167" s="40">
        <v>24.97388888888889</v>
      </c>
      <c r="Y167" s="40">
        <v>6.052777777777778</v>
      </c>
      <c r="Z167" s="40">
        <v>4.9749999999999996</v>
      </c>
      <c r="AA167" s="40">
        <v>3.8711111111111109</v>
      </c>
      <c r="AB167" s="40">
        <v>2.8580555555555556</v>
      </c>
      <c r="AC167" s="40">
        <v>1.8291666666666666</v>
      </c>
      <c r="AD167" s="9">
        <v>0.8</v>
      </c>
      <c r="AE167" s="9">
        <v>0.1</v>
      </c>
    </row>
    <row r="168" spans="18:71" ht="16.2" x14ac:dyDescent="0.3">
      <c r="S168" t="s">
        <v>96</v>
      </c>
      <c r="T168" s="156" t="s">
        <v>97</v>
      </c>
      <c r="U168" s="156"/>
      <c r="V168" s="156"/>
      <c r="W168" s="156"/>
      <c r="X168" s="156"/>
      <c r="Y168" s="156"/>
      <c r="Z168" s="156"/>
      <c r="AA168" s="156"/>
      <c r="AB168" s="156"/>
      <c r="AC168" s="156"/>
      <c r="AD168" s="156"/>
      <c r="AE168" s="156"/>
    </row>
    <row r="169" spans="18:71" x14ac:dyDescent="0.3">
      <c r="S169" s="12" t="s">
        <v>51</v>
      </c>
      <c r="T169">
        <v>35.411471521925982</v>
      </c>
      <c r="U169">
        <v>49.455165462977938</v>
      </c>
      <c r="V169">
        <v>76.758403655181084</v>
      </c>
      <c r="W169">
        <v>105.02667511109466</v>
      </c>
      <c r="X169">
        <v>185.89724487680604</v>
      </c>
      <c r="Y169">
        <v>927.60273495460513</v>
      </c>
      <c r="Z169">
        <v>1093.0047266411261</v>
      </c>
      <c r="AA169">
        <v>1655.5049446226087</v>
      </c>
      <c r="AB169">
        <v>1474.646533093583</v>
      </c>
      <c r="AC169" s="27">
        <v>2834.9924563094719</v>
      </c>
      <c r="AD169" s="27">
        <v>6387.4167930668154</v>
      </c>
      <c r="AE169" s="27">
        <v>50812.36547929341</v>
      </c>
    </row>
    <row r="170" spans="18:71" x14ac:dyDescent="0.3">
      <c r="S170" s="12" t="s">
        <v>49</v>
      </c>
      <c r="T170">
        <v>1429.4753313554925</v>
      </c>
      <c r="U170">
        <v>1823.9817421681701</v>
      </c>
      <c r="V170">
        <v>6982.4781903727326</v>
      </c>
      <c r="W170">
        <v>2981.7514546822349</v>
      </c>
      <c r="X170">
        <v>6049.1959839153324</v>
      </c>
      <c r="Y170">
        <v>55847.297446481658</v>
      </c>
      <c r="Z170">
        <v>88200.541267359324</v>
      </c>
      <c r="AA170">
        <v>107989.22039411459</v>
      </c>
      <c r="AB170">
        <v>192224.19297161076</v>
      </c>
      <c r="AC170" s="27">
        <v>256667.18534857288</v>
      </c>
      <c r="AD170" s="27">
        <v>682749.68841943063</v>
      </c>
      <c r="AE170" s="27">
        <v>8298990.5338297803</v>
      </c>
    </row>
    <row r="171" spans="18:71" x14ac:dyDescent="0.3">
      <c r="S171" s="12" t="s">
        <v>58</v>
      </c>
      <c r="T171">
        <v>242.37978146333054</v>
      </c>
      <c r="U171">
        <v>334.78863217196647</v>
      </c>
      <c r="V171">
        <v>416.08170043326766</v>
      </c>
      <c r="W171">
        <v>463.76182694506622</v>
      </c>
      <c r="X171">
        <v>708.77332428915417</v>
      </c>
      <c r="Y171">
        <v>1996.7813998647482</v>
      </c>
      <c r="Z171">
        <v>1960.4627634187141</v>
      </c>
      <c r="AA171">
        <v>2157.8806906956252</v>
      </c>
      <c r="AB171">
        <v>3488.7609564951417</v>
      </c>
      <c r="AC171" s="27">
        <v>3916.1628533214111</v>
      </c>
      <c r="AD171" s="27">
        <v>6524.4377111752547</v>
      </c>
      <c r="AE171" s="27">
        <v>24016.338128069212</v>
      </c>
    </row>
    <row r="172" spans="18:71" x14ac:dyDescent="0.3">
      <c r="S172" s="12" t="s">
        <v>81</v>
      </c>
      <c r="T172">
        <v>839.45965592881748</v>
      </c>
      <c r="U172">
        <v>1169.014150066369</v>
      </c>
      <c r="V172">
        <v>1631.4313203921299</v>
      </c>
      <c r="W172">
        <v>2100.6865846736487</v>
      </c>
      <c r="X172">
        <v>4149.9973134132761</v>
      </c>
      <c r="Y172">
        <v>19601.449094677584</v>
      </c>
      <c r="Z172">
        <v>16357.204743060944</v>
      </c>
      <c r="AA172">
        <v>26546.376849193046</v>
      </c>
      <c r="AB172">
        <v>46933.656967932126</v>
      </c>
      <c r="AC172" s="27">
        <v>56259.659969357548</v>
      </c>
      <c r="AD172" s="27">
        <v>123987.64939537615</v>
      </c>
      <c r="AE172" s="27">
        <v>932252.9580192978</v>
      </c>
    </row>
    <row r="174" spans="18:71" x14ac:dyDescent="0.3">
      <c r="R174" s="184" t="s">
        <v>111</v>
      </c>
      <c r="S174" s="184"/>
      <c r="T174" s="184"/>
      <c r="U174" s="184"/>
      <c r="V174" s="184"/>
      <c r="W174" s="184"/>
      <c r="X174" s="184"/>
      <c r="Y174" s="184"/>
      <c r="Z174" s="184"/>
      <c r="AA174" s="184"/>
      <c r="AB174" s="184"/>
      <c r="AC174" s="184"/>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4"/>
      <c r="AY174" s="184"/>
      <c r="AZ174" s="184"/>
      <c r="BA174" s="184"/>
      <c r="BB174" s="184"/>
      <c r="BC174" s="184"/>
      <c r="BD174" s="184"/>
      <c r="BE174" s="184"/>
      <c r="BF174" s="184"/>
      <c r="BG174" s="184"/>
      <c r="BH174" s="184"/>
      <c r="BI174" s="184"/>
    </row>
    <row r="175" spans="18:71" x14ac:dyDescent="0.3">
      <c r="R175" s="184"/>
      <c r="S175" s="184"/>
      <c r="T175" s="184"/>
      <c r="U175" s="184"/>
      <c r="V175" s="184"/>
      <c r="W175" s="184"/>
      <c r="X175" s="184"/>
      <c r="Y175" s="184"/>
      <c r="Z175" s="184"/>
      <c r="AA175" s="184"/>
      <c r="AB175" s="184"/>
      <c r="AC175" s="184"/>
      <c r="AD175" s="184"/>
      <c r="AE175" s="184"/>
      <c r="AF175" s="184"/>
      <c r="AG175" s="184"/>
      <c r="AH175" s="184"/>
      <c r="AI175" s="184"/>
      <c r="AJ175" s="184"/>
      <c r="AK175" s="184"/>
      <c r="AL175" s="184"/>
      <c r="AM175" s="184"/>
      <c r="AN175" s="184"/>
      <c r="AO175" s="184"/>
      <c r="AP175" s="184"/>
      <c r="AQ175" s="184"/>
      <c r="AR175" s="184"/>
      <c r="AS175" s="184"/>
      <c r="AT175" s="184"/>
      <c r="AU175" s="184"/>
      <c r="AV175" s="184"/>
      <c r="AW175" s="184"/>
      <c r="AX175" s="184"/>
      <c r="AY175" s="184"/>
      <c r="AZ175" s="184"/>
      <c r="BA175" s="184"/>
      <c r="BB175" s="184"/>
      <c r="BC175" s="184"/>
      <c r="BD175" s="184"/>
      <c r="BE175" s="184"/>
      <c r="BF175" s="184"/>
      <c r="BG175" s="184"/>
      <c r="BH175" s="184"/>
      <c r="BI175" s="184"/>
    </row>
    <row r="176" spans="18:71" ht="15" thickBot="1" x14ac:dyDescent="0.35">
      <c r="R176" s="184"/>
      <c r="S176" s="184"/>
      <c r="T176" s="184"/>
      <c r="U176" s="184"/>
      <c r="V176" s="184"/>
      <c r="W176" s="184"/>
      <c r="X176" s="184"/>
      <c r="Y176" s="184"/>
      <c r="Z176" s="184"/>
      <c r="AA176" s="184"/>
      <c r="AB176" s="184"/>
      <c r="AC176" s="184"/>
      <c r="AD176" s="184"/>
      <c r="AE176" s="184"/>
      <c r="AF176" s="184"/>
      <c r="AG176" s="184"/>
      <c r="AH176" s="184"/>
      <c r="AI176" s="184"/>
      <c r="AJ176" s="184"/>
      <c r="AK176" s="184"/>
      <c r="AL176" s="184"/>
      <c r="AM176" s="184"/>
      <c r="AN176" s="184"/>
      <c r="AO176" s="184"/>
      <c r="AP176" s="184"/>
      <c r="AQ176" s="184"/>
      <c r="AR176" s="184"/>
      <c r="AS176" s="184"/>
      <c r="AT176" s="184"/>
      <c r="AU176" s="184"/>
      <c r="AV176" s="184"/>
      <c r="AW176" s="184"/>
      <c r="AX176" s="184"/>
      <c r="AY176" s="184"/>
      <c r="AZ176" s="184"/>
      <c r="BA176" s="184"/>
      <c r="BB176" s="184"/>
      <c r="BC176" s="184"/>
      <c r="BD176" s="184"/>
      <c r="BE176" s="184"/>
      <c r="BF176" s="184"/>
      <c r="BG176" s="184"/>
      <c r="BH176" s="184"/>
      <c r="BI176" s="184"/>
    </row>
    <row r="177" spans="18:61" ht="15" thickBot="1" x14ac:dyDescent="0.35">
      <c r="R177" s="161" t="s">
        <v>99</v>
      </c>
      <c r="S177" s="161"/>
      <c r="T177" s="161"/>
      <c r="U177" s="161"/>
      <c r="V177" s="161"/>
      <c r="W177" s="161"/>
      <c r="X177" s="161"/>
      <c r="Y177" s="161"/>
      <c r="Z177" s="161"/>
      <c r="AA177" s="161"/>
      <c r="AB177" s="161"/>
      <c r="AC177" s="161"/>
      <c r="AD177" s="161"/>
      <c r="AF177" s="167" t="s">
        <v>100</v>
      </c>
      <c r="AG177" s="167"/>
      <c r="AI177" s="161" t="s">
        <v>101</v>
      </c>
      <c r="AJ177" s="161"/>
      <c r="AK177" s="161"/>
      <c r="AL177" s="161"/>
      <c r="AM177" s="161"/>
      <c r="AN177" s="161"/>
      <c r="AO177" s="161"/>
      <c r="AP177" s="161"/>
      <c r="AQ177" s="161"/>
      <c r="AR177" s="161"/>
      <c r="AS177" s="161"/>
      <c r="AT177" s="161"/>
      <c r="AU177" s="161"/>
      <c r="AW177" s="41" t="s">
        <v>42</v>
      </c>
      <c r="AX177" s="1">
        <v>25</v>
      </c>
      <c r="AY177" s="1">
        <v>27</v>
      </c>
      <c r="AZ177" s="1">
        <v>29</v>
      </c>
      <c r="BA177" s="1">
        <v>31</v>
      </c>
      <c r="BB177" s="1">
        <v>33</v>
      </c>
      <c r="BC177" s="1">
        <v>35</v>
      </c>
      <c r="BD177" s="1">
        <v>37</v>
      </c>
      <c r="BE177" s="1">
        <v>39</v>
      </c>
      <c r="BF177" s="1">
        <v>41</v>
      </c>
      <c r="BG177" s="1">
        <v>43</v>
      </c>
      <c r="BH177" s="1">
        <v>45</v>
      </c>
      <c r="BI177" s="1">
        <v>47</v>
      </c>
    </row>
    <row r="178" spans="18:61" x14ac:dyDescent="0.3">
      <c r="R178" s="41" t="s">
        <v>42</v>
      </c>
      <c r="S178" s="3">
        <v>25</v>
      </c>
      <c r="T178" s="3">
        <v>27</v>
      </c>
      <c r="U178" s="3">
        <v>29</v>
      </c>
      <c r="V178" s="3">
        <v>31</v>
      </c>
      <c r="W178" s="3">
        <v>33</v>
      </c>
      <c r="X178" s="3">
        <v>35</v>
      </c>
      <c r="Y178" s="3">
        <v>37</v>
      </c>
      <c r="Z178" s="3">
        <v>39</v>
      </c>
      <c r="AA178" s="3">
        <v>41</v>
      </c>
      <c r="AB178" s="3">
        <v>43</v>
      </c>
      <c r="AC178" s="3">
        <v>45</v>
      </c>
      <c r="AD178" s="3">
        <v>47</v>
      </c>
      <c r="AF178" s="167"/>
      <c r="AG178" s="167"/>
      <c r="AI178" s="41" t="s">
        <v>42</v>
      </c>
      <c r="AJ178" s="1">
        <v>25</v>
      </c>
      <c r="AK178" s="1">
        <v>27</v>
      </c>
      <c r="AL178" s="1">
        <v>29</v>
      </c>
      <c r="AM178" s="1">
        <v>31</v>
      </c>
      <c r="AN178" s="1">
        <v>33</v>
      </c>
      <c r="AO178" s="1">
        <v>35</v>
      </c>
      <c r="AP178" s="1">
        <v>37</v>
      </c>
      <c r="AQ178" s="1">
        <v>39</v>
      </c>
      <c r="AR178" s="1">
        <v>41</v>
      </c>
      <c r="AS178" s="1">
        <v>43</v>
      </c>
      <c r="AT178" s="1">
        <v>45</v>
      </c>
      <c r="AU178" s="1">
        <v>47</v>
      </c>
      <c r="AW178" t="s">
        <v>102</v>
      </c>
      <c r="AX178">
        <v>759.74322222222224</v>
      </c>
      <c r="AY178">
        <v>2439.1999999999998</v>
      </c>
      <c r="AZ178">
        <v>2485.1860000000001</v>
      </c>
      <c r="BA178">
        <v>2507.59</v>
      </c>
      <c r="BB178">
        <v>2453.2538888888885</v>
      </c>
      <c r="BC178">
        <v>2429.6999999999998</v>
      </c>
      <c r="BD178">
        <v>2924.3</v>
      </c>
      <c r="BE178">
        <v>6125.0999999999995</v>
      </c>
      <c r="BF178">
        <v>9257.9355555555539</v>
      </c>
      <c r="BG178">
        <v>9037.0732222222214</v>
      </c>
      <c r="BH178">
        <v>9123.4000000000015</v>
      </c>
      <c r="BI178">
        <v>12084.424444444445</v>
      </c>
    </row>
    <row r="179" spans="18:61" ht="16.2" x14ac:dyDescent="0.3">
      <c r="R179" s="42" t="s">
        <v>103</v>
      </c>
      <c r="S179" s="183" t="s">
        <v>104</v>
      </c>
      <c r="T179" s="183"/>
      <c r="U179" s="183"/>
      <c r="V179" s="183"/>
      <c r="W179" s="183"/>
      <c r="X179" s="183"/>
      <c r="Y179" s="183"/>
      <c r="Z179" s="183"/>
      <c r="AA179" s="183"/>
      <c r="AB179" s="183"/>
      <c r="AC179" s="183"/>
      <c r="AD179" s="183"/>
      <c r="AF179" s="167"/>
      <c r="AG179" s="167"/>
      <c r="AI179" s="42" t="s">
        <v>103</v>
      </c>
      <c r="AJ179" s="183" t="s">
        <v>105</v>
      </c>
      <c r="AK179" s="183"/>
      <c r="AL179" s="183"/>
      <c r="AM179" s="183"/>
      <c r="AN179" s="183"/>
      <c r="AO179" s="183"/>
      <c r="AP179" s="183"/>
      <c r="AQ179" s="183"/>
      <c r="AR179" s="183"/>
      <c r="AS179" s="183"/>
      <c r="AT179" s="183"/>
      <c r="AU179" s="183"/>
      <c r="AW179" s="42" t="s">
        <v>103</v>
      </c>
      <c r="AX179" s="183" t="s">
        <v>106</v>
      </c>
      <c r="AY179" s="183"/>
      <c r="AZ179" s="183"/>
      <c r="BA179" s="183"/>
      <c r="BB179" s="183"/>
      <c r="BC179" s="183"/>
      <c r="BD179" s="183"/>
      <c r="BE179" s="183"/>
      <c r="BF179" s="183"/>
      <c r="BG179" s="183"/>
      <c r="BH179" s="183"/>
      <c r="BI179" s="183"/>
    </row>
    <row r="180" spans="18:61" x14ac:dyDescent="0.3">
      <c r="R180" s="43">
        <v>-4</v>
      </c>
      <c r="S180" s="1" t="s">
        <v>107</v>
      </c>
      <c r="T180" s="44">
        <v>265407.87599999702</v>
      </c>
      <c r="U180" s="45">
        <v>332803.16700000508</v>
      </c>
      <c r="V180" s="45">
        <v>344069.28599999472</v>
      </c>
      <c r="W180" s="46" t="s">
        <v>107</v>
      </c>
      <c r="X180" s="46" t="s">
        <v>107</v>
      </c>
      <c r="Y180" s="46" t="s">
        <v>107</v>
      </c>
      <c r="Z180" s="45">
        <v>302487.41100000712</v>
      </c>
      <c r="AA180" s="45">
        <v>192160.7819999989</v>
      </c>
      <c r="AB180" s="45">
        <v>192160.7819999989</v>
      </c>
      <c r="AC180" s="45">
        <v>213932.5649999973</v>
      </c>
      <c r="AD180" s="45">
        <v>220867.51200001419</v>
      </c>
      <c r="AF180">
        <v>1.1068706840277212E-5</v>
      </c>
      <c r="AG180">
        <v>111.46043998867975</v>
      </c>
      <c r="AI180" s="43">
        <v>-4</v>
      </c>
      <c r="AJ180" s="1" t="s">
        <v>107</v>
      </c>
      <c r="AK180" s="46" t="s">
        <v>107</v>
      </c>
      <c r="AL180" s="45">
        <v>185.13445380945726</v>
      </c>
      <c r="AM180" s="45">
        <v>187.62848117822853</v>
      </c>
      <c r="AN180" s="46" t="s">
        <v>107</v>
      </c>
      <c r="AO180" s="46" t="s">
        <v>107</v>
      </c>
      <c r="AP180" s="46" t="s">
        <v>107</v>
      </c>
      <c r="AQ180" s="45">
        <v>114.80858446391328</v>
      </c>
      <c r="AR180" s="45">
        <v>113.58741135083616</v>
      </c>
      <c r="AS180" s="45">
        <v>113.58741135083616</v>
      </c>
      <c r="AT180" s="45">
        <v>113.82839683425327</v>
      </c>
      <c r="AU180" s="45">
        <v>113.90515772954932</v>
      </c>
      <c r="AW180" s="43">
        <v>-4</v>
      </c>
      <c r="AX180" s="1" t="s">
        <v>107</v>
      </c>
      <c r="AY180" s="66" t="s">
        <v>107</v>
      </c>
      <c r="AZ180" s="2">
        <f t="shared" ref="AZ180:BA192" si="17">AL180/(AZ$178/1000)</f>
        <v>74.495210342186553</v>
      </c>
      <c r="BA180" s="2">
        <f t="shared" si="17"/>
        <v>74.824226120788694</v>
      </c>
      <c r="BB180" s="66" t="s">
        <v>107</v>
      </c>
      <c r="BC180" s="66" t="s">
        <v>107</v>
      </c>
      <c r="BD180" s="66" t="s">
        <v>107</v>
      </c>
      <c r="BE180" s="2">
        <f t="shared" ref="BE180" si="18">AQ180/(BE$178/1000)</f>
        <v>18.743952664268875</v>
      </c>
      <c r="BF180" s="2">
        <f t="shared" ref="BF180" si="19">AR180/(BF$178/1000)</f>
        <v>12.26919442992601</v>
      </c>
      <c r="BG180" s="2">
        <f t="shared" ref="BG180" si="20">AS180/(BG$178/1000)</f>
        <v>12.569048469312387</v>
      </c>
      <c r="BH180" s="2">
        <f t="shared" ref="BH180" si="21">AT180/(BH$178/1000)</f>
        <v>12.476532524525204</v>
      </c>
      <c r="BI180" s="2">
        <f t="shared" ref="BI180" si="22">AU180/(BI$178/1000)</f>
        <v>9.4257826058000447</v>
      </c>
    </row>
    <row r="181" spans="18:61" x14ac:dyDescent="0.3">
      <c r="R181" s="43">
        <v>-3</v>
      </c>
      <c r="S181" s="1" t="s">
        <v>107</v>
      </c>
      <c r="T181" s="45">
        <v>226615.04739498769</v>
      </c>
      <c r="U181" s="45">
        <v>333394.6439999888</v>
      </c>
      <c r="V181" s="45">
        <v>448103.69100000232</v>
      </c>
      <c r="W181" s="46" t="s">
        <v>107</v>
      </c>
      <c r="X181" s="46" t="s">
        <v>107</v>
      </c>
      <c r="Y181" s="46" t="s">
        <v>107</v>
      </c>
      <c r="Z181" s="45">
        <v>8051550.1110000517</v>
      </c>
      <c r="AA181" s="45">
        <v>2234101.1430000039</v>
      </c>
      <c r="AB181" s="45">
        <v>2234101.1430000039</v>
      </c>
      <c r="AC181" s="45">
        <v>2857807.9050000468</v>
      </c>
      <c r="AD181" s="45">
        <v>2868343.0740000359</v>
      </c>
      <c r="AF181">
        <v>1.1068706840277212E-5</v>
      </c>
      <c r="AG181">
        <v>111.46043998867975</v>
      </c>
      <c r="AI181" s="43">
        <v>-3</v>
      </c>
      <c r="AJ181" s="1" t="s">
        <v>107</v>
      </c>
      <c r="AK181" s="45">
        <v>161.62715049289267</v>
      </c>
      <c r="AL181" s="45">
        <v>185.26539151976897</v>
      </c>
      <c r="AM181" s="45">
        <v>210.6590077831836</v>
      </c>
      <c r="AN181" s="46" t="s">
        <v>107</v>
      </c>
      <c r="AO181" s="46" t="s">
        <v>107</v>
      </c>
      <c r="AP181" s="46" t="s">
        <v>107</v>
      </c>
      <c r="AQ181">
        <v>200.58068777714078</v>
      </c>
      <c r="AR181">
        <v>136.18905059207503</v>
      </c>
      <c r="AS181">
        <v>136.18905059207503</v>
      </c>
      <c r="AT181">
        <v>143.09267789495206</v>
      </c>
      <c r="AU181">
        <v>143.20928859212572</v>
      </c>
      <c r="AW181" s="43">
        <v>-3</v>
      </c>
      <c r="AX181" s="1" t="s">
        <v>107</v>
      </c>
      <c r="AY181" s="2">
        <f>AK181/(AY$178/1000)</f>
        <v>66.262360812107516</v>
      </c>
      <c r="AZ181" s="2">
        <f t="shared" si="17"/>
        <v>74.547897630104529</v>
      </c>
      <c r="BA181" s="2">
        <f t="shared" si="17"/>
        <v>84.00855314592242</v>
      </c>
      <c r="BB181" s="66" t="s">
        <v>107</v>
      </c>
      <c r="BC181" s="66" t="s">
        <v>107</v>
      </c>
      <c r="BD181" s="66" t="s">
        <v>107</v>
      </c>
      <c r="BE181" s="2">
        <f t="shared" ref="BE181:BE192" si="23">AQ181/(BE$178/1000)</f>
        <v>32.747332741855772</v>
      </c>
      <c r="BF181" s="2">
        <f t="shared" ref="BF181:BF192" si="24">AR181/(BF$178/1000)</f>
        <v>14.710520479951921</v>
      </c>
      <c r="BG181" s="2">
        <f t="shared" ref="BG181:BG192" si="25">AS181/(BG$178/1000)</f>
        <v>15.070039518677937</v>
      </c>
      <c r="BH181" s="2">
        <f t="shared" ref="BH181:BH192" si="26">AT181/(BH$178/1000)</f>
        <v>15.684139454035998</v>
      </c>
      <c r="BI181" s="2">
        <f t="shared" ref="BI181:BI192" si="27">AU181/(BI$178/1000)</f>
        <v>11.850733086254937</v>
      </c>
    </row>
    <row r="182" spans="18:61" x14ac:dyDescent="0.3">
      <c r="R182" s="43">
        <v>-2</v>
      </c>
      <c r="S182" s="1" t="s">
        <v>107</v>
      </c>
      <c r="T182" s="45">
        <v>201961.22589735061</v>
      </c>
      <c r="U182" s="45">
        <v>432665.20500000479</v>
      </c>
      <c r="V182" s="45">
        <v>407133.62999999028</v>
      </c>
      <c r="W182" s="46" t="s">
        <v>107</v>
      </c>
      <c r="X182" s="46" t="s">
        <v>107</v>
      </c>
      <c r="Y182" s="46" t="s">
        <v>107</v>
      </c>
      <c r="Z182" s="45">
        <v>12076155.91500002</v>
      </c>
      <c r="AA182" s="45">
        <v>1052433.584999996</v>
      </c>
      <c r="AB182" s="45">
        <v>1052433.584999996</v>
      </c>
      <c r="AC182" s="45">
        <v>1479290.316000001</v>
      </c>
      <c r="AD182" s="45">
        <v>1387951.8569999889</v>
      </c>
      <c r="AF182">
        <v>1.1068706840277212E-5</v>
      </c>
      <c r="AG182">
        <v>111.46043998867975</v>
      </c>
      <c r="AI182" s="43">
        <v>-2</v>
      </c>
      <c r="AJ182" s="1" t="s">
        <v>107</v>
      </c>
      <c r="AK182" s="45">
        <v>156.16943203989527</v>
      </c>
      <c r="AL182" s="45">
        <v>207.24132627134966</v>
      </c>
      <c r="AM182" s="45">
        <v>201.58929589443545</v>
      </c>
      <c r="AN182" s="46" t="s">
        <v>107</v>
      </c>
      <c r="AO182" s="46" t="s">
        <v>107</v>
      </c>
      <c r="AP182" s="46" t="s">
        <v>107</v>
      </c>
      <c r="AQ182">
        <v>245.12786956929457</v>
      </c>
      <c r="AR182">
        <v>123.10951880990667</v>
      </c>
      <c r="AS182">
        <v>123.10951880990667</v>
      </c>
      <c r="AT182">
        <v>127.83427082814481</v>
      </c>
      <c r="AU182">
        <v>126.82327220223098</v>
      </c>
      <c r="AW182" s="43">
        <v>-2</v>
      </c>
      <c r="AX182" s="1" t="s">
        <v>107</v>
      </c>
      <c r="AY182" s="2">
        <f t="shared" ref="AY182:AY192" si="28">AK182/(AY$178/1000)</f>
        <v>64.024857346628096</v>
      </c>
      <c r="AZ182" s="2">
        <f t="shared" si="17"/>
        <v>83.39067026425775</v>
      </c>
      <c r="BA182" s="2">
        <f t="shared" si="17"/>
        <v>80.391649310467599</v>
      </c>
      <c r="BB182" s="66" t="s">
        <v>107</v>
      </c>
      <c r="BC182" s="66" t="s">
        <v>107</v>
      </c>
      <c r="BD182" s="66" t="s">
        <v>107</v>
      </c>
      <c r="BE182" s="2">
        <f t="shared" si="23"/>
        <v>40.020223272974249</v>
      </c>
      <c r="BF182" s="2">
        <f t="shared" si="24"/>
        <v>13.297729074818459</v>
      </c>
      <c r="BG182" s="2">
        <f t="shared" si="25"/>
        <v>13.622720075696586</v>
      </c>
      <c r="BH182" s="2">
        <f t="shared" si="26"/>
        <v>14.01169200387408</v>
      </c>
      <c r="BI182" s="2">
        <f t="shared" si="27"/>
        <v>10.494771413009683</v>
      </c>
    </row>
    <row r="183" spans="18:61" x14ac:dyDescent="0.3">
      <c r="R183" s="43">
        <v>-1</v>
      </c>
      <c r="S183" s="1" t="s">
        <v>107</v>
      </c>
      <c r="T183" s="45">
        <v>599010.09888925264</v>
      </c>
      <c r="U183" s="45">
        <v>1014230.523000009</v>
      </c>
      <c r="V183" s="45">
        <v>966150.69900000188</v>
      </c>
      <c r="W183" s="46" t="s">
        <v>107</v>
      </c>
      <c r="X183" s="46" t="s">
        <v>107</v>
      </c>
      <c r="Y183" s="46" t="s">
        <v>107</v>
      </c>
      <c r="Z183" s="45">
        <v>34702820.62500003</v>
      </c>
      <c r="AA183" s="45">
        <v>6725492.885999985</v>
      </c>
      <c r="AB183" s="45">
        <v>6725492.885999985</v>
      </c>
      <c r="AC183" s="45">
        <v>6200111.6639999878</v>
      </c>
      <c r="AD183" s="45">
        <v>5925777.5789999906</v>
      </c>
      <c r="AF183">
        <v>1.1068706840277212E-5</v>
      </c>
      <c r="AG183">
        <v>111.46043998867975</v>
      </c>
      <c r="AI183" s="43">
        <v>-1</v>
      </c>
      <c r="AJ183" s="1" t="s">
        <v>107</v>
      </c>
      <c r="AK183" s="45">
        <v>244.06578356809175</v>
      </c>
      <c r="AL183" s="45">
        <v>335.98484653964243</v>
      </c>
      <c r="AM183" s="45">
        <v>325.34121700387834</v>
      </c>
      <c r="AN183" s="46" t="s">
        <v>107</v>
      </c>
      <c r="AO183" s="46" t="s">
        <v>107</v>
      </c>
      <c r="AP183" s="46" t="s">
        <v>107</v>
      </c>
      <c r="AQ183">
        <v>495.57578801753067</v>
      </c>
      <c r="AR183">
        <v>185.90294910018349</v>
      </c>
      <c r="AS183">
        <v>185.90294910018349</v>
      </c>
      <c r="AT183">
        <v>180.08765837447896</v>
      </c>
      <c r="AU183">
        <v>177.05113481131826</v>
      </c>
      <c r="AW183" s="43">
        <v>-1</v>
      </c>
      <c r="AX183" s="1" t="s">
        <v>107</v>
      </c>
      <c r="AY183" s="2">
        <f t="shared" si="28"/>
        <v>100.05976695969652</v>
      </c>
      <c r="AZ183" s="2">
        <f t="shared" si="17"/>
        <v>135.19505040654599</v>
      </c>
      <c r="BA183" s="2">
        <f t="shared" si="17"/>
        <v>129.74258830346201</v>
      </c>
      <c r="BB183" s="66" t="s">
        <v>107</v>
      </c>
      <c r="BC183" s="66" t="s">
        <v>107</v>
      </c>
      <c r="BD183" s="66" t="s">
        <v>107</v>
      </c>
      <c r="BE183" s="2">
        <f t="shared" si="23"/>
        <v>80.909011774098488</v>
      </c>
      <c r="BF183" s="2">
        <f t="shared" si="24"/>
        <v>20.080389195259176</v>
      </c>
      <c r="BG183" s="2">
        <f t="shared" si="25"/>
        <v>20.571145605310242</v>
      </c>
      <c r="BH183" s="2">
        <f t="shared" si="26"/>
        <v>19.739094896034256</v>
      </c>
      <c r="BI183" s="2">
        <f t="shared" si="27"/>
        <v>14.651184723382812</v>
      </c>
    </row>
    <row r="184" spans="18:61" x14ac:dyDescent="0.3">
      <c r="R184" s="43">
        <v>0</v>
      </c>
      <c r="S184" s="1" t="s">
        <v>107</v>
      </c>
      <c r="T184" s="45">
        <v>507108.57007454621</v>
      </c>
      <c r="U184" s="45">
        <v>1115863.0859999971</v>
      </c>
      <c r="V184" s="45">
        <v>1042230.233999994</v>
      </c>
      <c r="W184" s="46" t="s">
        <v>107</v>
      </c>
      <c r="X184" s="46" t="s">
        <v>107</v>
      </c>
      <c r="Y184" s="46" t="s">
        <v>107</v>
      </c>
      <c r="Z184" s="45">
        <v>38001031.562999927</v>
      </c>
      <c r="AA184" s="45">
        <v>5982804.0389999403</v>
      </c>
      <c r="AB184" s="45">
        <v>5982804.0389999403</v>
      </c>
      <c r="AC184" s="45">
        <v>5244487.232999933</v>
      </c>
      <c r="AD184" s="45">
        <v>4957234.9769999152</v>
      </c>
      <c r="AF184">
        <v>1.1068706840277212E-5</v>
      </c>
      <c r="AG184">
        <v>111.46043998867975</v>
      </c>
      <c r="AI184" s="43">
        <v>0</v>
      </c>
      <c r="AJ184" s="1" t="s">
        <v>107</v>
      </c>
      <c r="AK184" s="45">
        <v>223.72116195562626</v>
      </c>
      <c r="AL184" s="45">
        <v>358.48366744509985</v>
      </c>
      <c r="AM184" s="45">
        <v>342.1832583930688</v>
      </c>
      <c r="AN184" s="46" t="s">
        <v>107</v>
      </c>
      <c r="AO184" s="46" t="s">
        <v>107</v>
      </c>
      <c r="AP184" s="46" t="s">
        <v>107</v>
      </c>
      <c r="AQ184">
        <v>532.08271798764724</v>
      </c>
      <c r="AR184">
        <v>177.6823439791965</v>
      </c>
      <c r="AS184">
        <v>177.6823439791965</v>
      </c>
      <c r="AT184">
        <v>169.5101316983326</v>
      </c>
      <c r="AU184">
        <v>166.33062068746017</v>
      </c>
      <c r="AW184" s="43">
        <v>0</v>
      </c>
      <c r="AX184" s="1" t="s">
        <v>107</v>
      </c>
      <c r="AY184" s="2">
        <f t="shared" si="28"/>
        <v>91.719072628577507</v>
      </c>
      <c r="AZ184" s="2">
        <f t="shared" si="17"/>
        <v>144.24822425568945</v>
      </c>
      <c r="BA184" s="2">
        <f t="shared" si="17"/>
        <v>136.45901379135697</v>
      </c>
      <c r="BB184" s="66" t="s">
        <v>107</v>
      </c>
      <c r="BC184" s="66" t="s">
        <v>107</v>
      </c>
      <c r="BD184" s="66" t="s">
        <v>107</v>
      </c>
      <c r="BE184" s="2">
        <f t="shared" si="23"/>
        <v>86.869229561582216</v>
      </c>
      <c r="BF184" s="2">
        <f t="shared" si="24"/>
        <v>19.192436900532527</v>
      </c>
      <c r="BG184" s="2">
        <f t="shared" si="25"/>
        <v>19.661492123608614</v>
      </c>
      <c r="BH184" s="2">
        <f t="shared" si="26"/>
        <v>18.579710601128149</v>
      </c>
      <c r="BI184" s="2">
        <f t="shared" si="27"/>
        <v>13.764049868666035</v>
      </c>
    </row>
    <row r="185" spans="18:61" x14ac:dyDescent="0.3">
      <c r="R185" s="43">
        <v>1</v>
      </c>
      <c r="S185" s="1" t="s">
        <v>107</v>
      </c>
      <c r="T185" s="45">
        <v>814525.17619900696</v>
      </c>
      <c r="U185" s="45">
        <v>2015952.812999995</v>
      </c>
      <c r="V185" s="45">
        <v>2277731.628</v>
      </c>
      <c r="W185" s="46" t="s">
        <v>107</v>
      </c>
      <c r="X185" s="46" t="s">
        <v>107</v>
      </c>
      <c r="Y185" s="46" t="s">
        <v>107</v>
      </c>
      <c r="Z185" s="45">
        <v>47466370.944000021</v>
      </c>
      <c r="AA185" s="45">
        <v>9326865.6930000149</v>
      </c>
      <c r="AB185" s="45">
        <v>9326865.6930000149</v>
      </c>
      <c r="AC185" s="45">
        <v>7839213.4170000087</v>
      </c>
      <c r="AD185" s="45">
        <v>8139056.7089999886</v>
      </c>
      <c r="AF185">
        <v>1.1068706840277212E-5</v>
      </c>
      <c r="AG185">
        <v>111.46043998867975</v>
      </c>
      <c r="AI185" s="43">
        <v>1</v>
      </c>
      <c r="AJ185" s="1" t="s">
        <v>107</v>
      </c>
      <c r="AK185" s="45">
        <v>291.7752477761187</v>
      </c>
      <c r="AL185" s="45">
        <v>557.74025380726243</v>
      </c>
      <c r="AM185" s="45">
        <v>615.69131301186678</v>
      </c>
      <c r="AN185" s="46" t="s">
        <v>107</v>
      </c>
      <c r="AO185" s="46" t="s">
        <v>107</v>
      </c>
      <c r="AP185" s="46" t="s">
        <v>107</v>
      </c>
      <c r="AQ185">
        <v>636.85178473966835</v>
      </c>
      <c r="AR185">
        <v>214.69678208313587</v>
      </c>
      <c r="AS185">
        <v>214.69678208313587</v>
      </c>
      <c r="AT185">
        <v>198.23039515982066</v>
      </c>
      <c r="AU185">
        <v>201.54927265699206</v>
      </c>
      <c r="AW185" s="43">
        <v>1</v>
      </c>
      <c r="AX185" s="1" t="s">
        <v>107</v>
      </c>
      <c r="AY185" s="2">
        <f t="shared" si="28"/>
        <v>119.61923900300044</v>
      </c>
      <c r="AZ185" s="2">
        <f t="shared" si="17"/>
        <v>224.42595999143018</v>
      </c>
      <c r="BA185" s="2">
        <f t="shared" si="17"/>
        <v>245.5310928069847</v>
      </c>
      <c r="BB185" s="66" t="s">
        <v>107</v>
      </c>
      <c r="BC185" s="66" t="s">
        <v>107</v>
      </c>
      <c r="BD185" s="66" t="s">
        <v>107</v>
      </c>
      <c r="BE185" s="2">
        <f t="shared" si="23"/>
        <v>103.97410405375723</v>
      </c>
      <c r="BF185" s="2">
        <f t="shared" si="24"/>
        <v>23.190567788549732</v>
      </c>
      <c r="BG185" s="2">
        <f t="shared" si="25"/>
        <v>23.757335677572591</v>
      </c>
      <c r="BH185" s="2">
        <f t="shared" si="26"/>
        <v>21.727688708137386</v>
      </c>
      <c r="BI185" s="2">
        <f t="shared" si="27"/>
        <v>16.678433762697736</v>
      </c>
    </row>
    <row r="186" spans="18:61" x14ac:dyDescent="0.3">
      <c r="R186" s="43">
        <v>2</v>
      </c>
      <c r="S186" s="1" t="s">
        <v>107</v>
      </c>
      <c r="T186" s="45">
        <v>788303.75976323988</v>
      </c>
      <c r="U186" s="45">
        <v>1386230.082000003</v>
      </c>
      <c r="V186" s="45">
        <v>2375500.9140000031</v>
      </c>
      <c r="W186" s="46" t="s">
        <v>107</v>
      </c>
      <c r="X186" s="46" t="s">
        <v>107</v>
      </c>
      <c r="Y186" s="46" t="s">
        <v>107</v>
      </c>
      <c r="Z186" s="45">
        <v>38653368.396000013</v>
      </c>
      <c r="AA186" s="45">
        <v>7269768.3509999942</v>
      </c>
      <c r="AB186" s="45">
        <v>7269768.3509999942</v>
      </c>
      <c r="AC186" s="45">
        <v>8305016.5979999937</v>
      </c>
      <c r="AD186" s="45">
        <v>8308948.8840000108</v>
      </c>
      <c r="AF186">
        <v>1.1068706840277212E-5</v>
      </c>
      <c r="AG186">
        <v>111.46043998867975</v>
      </c>
      <c r="AI186" s="43">
        <v>2</v>
      </c>
      <c r="AJ186" s="1" t="s">
        <v>107</v>
      </c>
      <c r="AK186" s="45">
        <v>285.97050434683206</v>
      </c>
      <c r="AL186" s="45">
        <v>418.33592780530921</v>
      </c>
      <c r="AM186" s="45">
        <v>637.33490430621168</v>
      </c>
      <c r="AN186" s="46" t="s">
        <v>107</v>
      </c>
      <c r="AO186" s="46" t="s">
        <v>107</v>
      </c>
      <c r="AP186" s="46" t="s">
        <v>107</v>
      </c>
      <c r="AQ186">
        <v>539.30324315324015</v>
      </c>
      <c r="AR186">
        <v>191.92737466262417</v>
      </c>
      <c r="AS186">
        <v>191.92737466262417</v>
      </c>
      <c r="AT186">
        <v>203.38623401557805</v>
      </c>
      <c r="AU186">
        <v>203.42975933652437</v>
      </c>
      <c r="AW186" s="43">
        <v>2</v>
      </c>
      <c r="AX186" s="1" t="s">
        <v>107</v>
      </c>
      <c r="AY186" s="2">
        <f t="shared" si="28"/>
        <v>117.23946554068222</v>
      </c>
      <c r="AZ186" s="2">
        <f t="shared" si="17"/>
        <v>168.33183826293453</v>
      </c>
      <c r="BA186" s="2">
        <f t="shared" si="17"/>
        <v>254.16232490407589</v>
      </c>
      <c r="BB186" s="66" t="s">
        <v>107</v>
      </c>
      <c r="BC186" s="66" t="s">
        <v>107</v>
      </c>
      <c r="BD186" s="66" t="s">
        <v>107</v>
      </c>
      <c r="BE186" s="2">
        <f t="shared" si="23"/>
        <v>88.048071566707506</v>
      </c>
      <c r="BF186" s="2">
        <f t="shared" si="24"/>
        <v>20.731120184504991</v>
      </c>
      <c r="BG186" s="2">
        <f t="shared" si="25"/>
        <v>21.237780190900029</v>
      </c>
      <c r="BH186" s="2">
        <f t="shared" si="26"/>
        <v>22.29281123436197</v>
      </c>
      <c r="BI186" s="2">
        <f t="shared" si="27"/>
        <v>16.834046194897336</v>
      </c>
    </row>
    <row r="187" spans="18:61" x14ac:dyDescent="0.3">
      <c r="R187" s="43">
        <v>3</v>
      </c>
      <c r="S187" s="1" t="s">
        <v>107</v>
      </c>
      <c r="T187" s="45">
        <v>1617639.985964237</v>
      </c>
      <c r="U187" s="45">
        <v>2432303.6100000022</v>
      </c>
      <c r="V187" s="45">
        <v>6333089.5949999513</v>
      </c>
      <c r="W187" s="46" t="s">
        <v>107</v>
      </c>
      <c r="X187" s="46" t="s">
        <v>107</v>
      </c>
      <c r="Y187" s="46" t="s">
        <v>107</v>
      </c>
      <c r="Z187" s="45">
        <v>128290237.818</v>
      </c>
      <c r="AA187" s="45">
        <v>16782490.127999999</v>
      </c>
      <c r="AB187" s="45">
        <v>16782490.127999999</v>
      </c>
      <c r="AC187" s="45">
        <v>19466011.668000009</v>
      </c>
      <c r="AD187" s="45">
        <v>21966373.59899997</v>
      </c>
      <c r="AF187">
        <v>1.1068706840277212E-5</v>
      </c>
      <c r="AG187">
        <v>111.46043998867975</v>
      </c>
      <c r="AI187" s="43">
        <v>3</v>
      </c>
      <c r="AJ187" s="1" t="s">
        <v>107</v>
      </c>
      <c r="AK187" s="45">
        <v>469.56409554364541</v>
      </c>
      <c r="AL187" s="45">
        <v>649.90955210143943</v>
      </c>
      <c r="AM187" s="45">
        <v>1513.4426823939677</v>
      </c>
      <c r="AN187" s="46" t="s">
        <v>107</v>
      </c>
      <c r="AO187" s="46" t="s">
        <v>107</v>
      </c>
      <c r="AP187" s="46" t="s">
        <v>107</v>
      </c>
      <c r="AQ187">
        <v>1531.4674728655666</v>
      </c>
      <c r="AR187">
        <v>297.22090326535812</v>
      </c>
      <c r="AS187">
        <v>297.22090326535812</v>
      </c>
      <c r="AT187">
        <v>326.92401649118744</v>
      </c>
      <c r="AU187">
        <v>354.59978970001544</v>
      </c>
      <c r="AW187" s="43">
        <v>3</v>
      </c>
      <c r="AX187" s="1" t="s">
        <v>107</v>
      </c>
      <c r="AY187" s="2">
        <f t="shared" si="28"/>
        <v>192.50741863875263</v>
      </c>
      <c r="AZ187" s="2">
        <f t="shared" si="17"/>
        <v>261.51344490973287</v>
      </c>
      <c r="BA187" s="2">
        <f t="shared" si="17"/>
        <v>603.5447112143404</v>
      </c>
      <c r="BB187" s="66" t="s">
        <v>107</v>
      </c>
      <c r="BC187" s="66" t="s">
        <v>107</v>
      </c>
      <c r="BD187" s="66" t="s">
        <v>107</v>
      </c>
      <c r="BE187" s="2">
        <f t="shared" si="23"/>
        <v>250.03142362827819</v>
      </c>
      <c r="BF187" s="2">
        <f t="shared" si="24"/>
        <v>32.104447204431033</v>
      </c>
      <c r="BG187" s="2">
        <f t="shared" si="25"/>
        <v>32.889066621092546</v>
      </c>
      <c r="BH187" s="2">
        <f t="shared" si="26"/>
        <v>35.833572625467191</v>
      </c>
      <c r="BI187" s="2">
        <f t="shared" si="27"/>
        <v>29.343539804498931</v>
      </c>
    </row>
    <row r="188" spans="18:61" ht="15" thickBot="1" x14ac:dyDescent="0.35">
      <c r="R188" s="43">
        <v>4</v>
      </c>
      <c r="S188" s="1" t="s">
        <v>107</v>
      </c>
      <c r="T188" s="45">
        <v>1810013.3940989871</v>
      </c>
      <c r="U188" s="45">
        <v>2370933.1889999942</v>
      </c>
      <c r="V188" s="45">
        <v>4212575.9009999838</v>
      </c>
      <c r="W188" s="46" t="s">
        <v>107</v>
      </c>
      <c r="X188" s="46" t="s">
        <v>107</v>
      </c>
      <c r="Y188" s="46" t="s">
        <v>107</v>
      </c>
      <c r="Z188" s="45">
        <v>95189035.578000128</v>
      </c>
      <c r="AA188" s="45">
        <v>14307008.62500003</v>
      </c>
      <c r="AB188" s="45">
        <v>14307008.62500003</v>
      </c>
      <c r="AC188" s="45">
        <v>18634840.842000041</v>
      </c>
      <c r="AD188" s="45">
        <v>17776971.381000031</v>
      </c>
      <c r="AF188">
        <v>1.1068706840277212E-5</v>
      </c>
      <c r="AG188">
        <v>111.46043998867975</v>
      </c>
      <c r="AI188" s="43">
        <v>4</v>
      </c>
      <c r="AJ188" s="1" t="s">
        <v>107</v>
      </c>
      <c r="AK188" s="45">
        <v>512.15059271381642</v>
      </c>
      <c r="AL188" s="45">
        <v>636.32372812716972</v>
      </c>
      <c r="AM188" s="45">
        <v>1044.015793800389</v>
      </c>
      <c r="AN188" s="46" t="s">
        <v>107</v>
      </c>
      <c r="AO188" s="46" t="s">
        <v>107</v>
      </c>
      <c r="AP188" s="46" t="s">
        <v>107</v>
      </c>
      <c r="AQ188">
        <v>1165.0799692102808</v>
      </c>
      <c r="AR188">
        <v>269.82052422012265</v>
      </c>
      <c r="AS188">
        <v>269.82052422012265</v>
      </c>
      <c r="AT188">
        <v>317.72403028400277</v>
      </c>
      <c r="AU188">
        <v>308.22852471296699</v>
      </c>
      <c r="AW188" s="43">
        <v>4</v>
      </c>
      <c r="AX188" s="1" t="s">
        <v>107</v>
      </c>
      <c r="AY188" s="2">
        <f t="shared" si="28"/>
        <v>209.96662541563481</v>
      </c>
      <c r="AZ188" s="2">
        <f t="shared" si="17"/>
        <v>256.04672170500305</v>
      </c>
      <c r="BA188" s="2">
        <f t="shared" si="17"/>
        <v>416.34230229040196</v>
      </c>
      <c r="BB188" s="66" t="s">
        <v>107</v>
      </c>
      <c r="BC188" s="66" t="s">
        <v>107</v>
      </c>
      <c r="BD188" s="66" t="s">
        <v>107</v>
      </c>
      <c r="BE188" s="2">
        <f t="shared" si="23"/>
        <v>190.21403229502877</v>
      </c>
      <c r="BF188" s="2">
        <f t="shared" si="24"/>
        <v>29.144783153972945</v>
      </c>
      <c r="BG188" s="2">
        <f t="shared" si="25"/>
        <v>29.857069604861923</v>
      </c>
      <c r="BH188" s="2">
        <f t="shared" si="26"/>
        <v>34.825178144551671</v>
      </c>
      <c r="BI188" s="2">
        <f t="shared" si="27"/>
        <v>25.506264376096823</v>
      </c>
    </row>
    <row r="189" spans="18:61" x14ac:dyDescent="0.3">
      <c r="R189" s="43">
        <v>5</v>
      </c>
      <c r="S189" s="1" t="s">
        <v>107</v>
      </c>
      <c r="T189" s="45">
        <v>17978549.950323459</v>
      </c>
      <c r="U189" s="45">
        <v>12929949.04799992</v>
      </c>
      <c r="V189" s="45">
        <v>22765156.179000001</v>
      </c>
      <c r="W189" s="46" t="s">
        <v>107</v>
      </c>
      <c r="X189" s="46" t="s">
        <v>107</v>
      </c>
      <c r="Y189" s="46" t="s">
        <v>107</v>
      </c>
      <c r="Z189" s="45">
        <v>1684889510.5109961</v>
      </c>
      <c r="AA189" s="45">
        <v>749856040.89599705</v>
      </c>
      <c r="AB189" s="45">
        <v>749856040.89599705</v>
      </c>
      <c r="AC189" s="45">
        <v>615135017.96999574</v>
      </c>
      <c r="AD189" s="45">
        <v>692402866.85399747</v>
      </c>
      <c r="AF189">
        <v>1.1068706840277212E-5</v>
      </c>
      <c r="AG189">
        <v>111.46043998867975</v>
      </c>
      <c r="AI189" s="43">
        <v>5</v>
      </c>
      <c r="AJ189" s="1" t="s">
        <v>107</v>
      </c>
      <c r="AK189" s="45">
        <v>4091.4464162568956</v>
      </c>
      <c r="AL189" s="45">
        <v>2973.8167494293307</v>
      </c>
      <c r="AM189" s="45">
        <v>5151.0772383582062</v>
      </c>
      <c r="AN189" s="46" t="s">
        <v>107</v>
      </c>
      <c r="AO189" s="46" t="s">
        <v>107</v>
      </c>
      <c r="AP189" s="46" t="s">
        <v>107</v>
      </c>
      <c r="AQ189">
        <v>18761.008490093067</v>
      </c>
      <c r="AR189">
        <v>8411.3971290773898</v>
      </c>
      <c r="AS189">
        <v>8411.3971290773898</v>
      </c>
      <c r="AT189">
        <v>6920.2096210872169</v>
      </c>
      <c r="AU189">
        <v>7775.4647885630729</v>
      </c>
      <c r="AW189" s="47">
        <v>5</v>
      </c>
      <c r="AX189" s="48" t="s">
        <v>107</v>
      </c>
      <c r="AY189" s="69">
        <f t="shared" si="28"/>
        <v>1677.3722598626171</v>
      </c>
      <c r="AZ189" s="69">
        <f t="shared" si="17"/>
        <v>1196.6173756931396</v>
      </c>
      <c r="BA189" s="69">
        <f t="shared" si="17"/>
        <v>2054.1943612624896</v>
      </c>
      <c r="BB189" s="67" t="s">
        <v>107</v>
      </c>
      <c r="BC189" s="67" t="s">
        <v>107</v>
      </c>
      <c r="BD189" s="67" t="s">
        <v>107</v>
      </c>
      <c r="BE189" s="69">
        <f t="shared" si="23"/>
        <v>3062.9717865982707</v>
      </c>
      <c r="BF189" s="69">
        <f t="shared" si="24"/>
        <v>908.56077778915108</v>
      </c>
      <c r="BG189" s="69">
        <f t="shared" si="25"/>
        <v>930.76562756996486</v>
      </c>
      <c r="BH189" s="69">
        <f t="shared" si="26"/>
        <v>758.51213594572368</v>
      </c>
      <c r="BI189" s="70">
        <f t="shared" si="27"/>
        <v>643.42864025581923</v>
      </c>
    </row>
    <row r="190" spans="18:61" x14ac:dyDescent="0.3">
      <c r="R190" s="43">
        <v>6</v>
      </c>
      <c r="S190" s="1" t="s">
        <v>107</v>
      </c>
      <c r="T190" s="45">
        <v>131875896.9130735</v>
      </c>
      <c r="U190" s="45">
        <v>317975549.82600027</v>
      </c>
      <c r="V190" s="45">
        <v>663692458.00200236</v>
      </c>
      <c r="W190" s="46" t="s">
        <v>107</v>
      </c>
      <c r="X190" s="46" t="s">
        <v>107</v>
      </c>
      <c r="Y190" s="46" t="s">
        <v>107</v>
      </c>
      <c r="Z190" s="45">
        <v>2183917003.4159999</v>
      </c>
      <c r="AA190" s="45">
        <v>3134850812.0670028</v>
      </c>
      <c r="AB190" s="45">
        <v>3134850812.0670028</v>
      </c>
      <c r="AC190" s="45">
        <v>3241046092.9080029</v>
      </c>
      <c r="AD190" s="45">
        <v>3221322180.5790029</v>
      </c>
      <c r="AF190">
        <v>1.1068706840277212E-5</v>
      </c>
      <c r="AG190">
        <v>111.46043998867975</v>
      </c>
      <c r="AI190" s="43">
        <v>6</v>
      </c>
      <c r="AJ190" s="1" t="s">
        <v>107</v>
      </c>
      <c r="AK190" s="45">
        <v>29305.373284577261</v>
      </c>
      <c r="AL190" s="45">
        <v>70503.023307987809</v>
      </c>
      <c r="AM190" s="45">
        <v>147035.80543453185</v>
      </c>
      <c r="AN190" s="46" t="s">
        <v>107</v>
      </c>
      <c r="AO190" s="46" t="s">
        <v>107</v>
      </c>
      <c r="AP190" s="46" t="s">
        <v>107</v>
      </c>
      <c r="AQ190">
        <v>24284.597514297071</v>
      </c>
      <c r="AR190">
        <v>34810.205066763287</v>
      </c>
      <c r="AS190">
        <v>34810.205066763287</v>
      </c>
      <c r="AT190">
        <v>35985.649498213221</v>
      </c>
      <c r="AU190">
        <v>35767.331294900192</v>
      </c>
      <c r="AW190" s="47">
        <v>6</v>
      </c>
      <c r="AX190" s="51" t="s">
        <v>107</v>
      </c>
      <c r="AY190" s="71">
        <f t="shared" si="28"/>
        <v>12014.338014339644</v>
      </c>
      <c r="AZ190" s="71">
        <f t="shared" si="17"/>
        <v>28369.314533394201</v>
      </c>
      <c r="BA190" s="71">
        <f t="shared" si="17"/>
        <v>58636.30235984824</v>
      </c>
      <c r="BB190" s="72" t="s">
        <v>107</v>
      </c>
      <c r="BC190" s="72" t="s">
        <v>107</v>
      </c>
      <c r="BD190" s="72" t="s">
        <v>107</v>
      </c>
      <c r="BE190" s="71">
        <f t="shared" si="23"/>
        <v>3964.7675163339491</v>
      </c>
      <c r="BF190" s="71">
        <f t="shared" si="24"/>
        <v>3760.0396824834438</v>
      </c>
      <c r="BG190" s="71">
        <f t="shared" si="25"/>
        <v>3851.9334978015636</v>
      </c>
      <c r="BH190" s="71">
        <f t="shared" si="26"/>
        <v>3944.3244292931595</v>
      </c>
      <c r="BI190" s="73">
        <f t="shared" si="27"/>
        <v>2959.7877382851657</v>
      </c>
    </row>
    <row r="191" spans="18:61" x14ac:dyDescent="0.3">
      <c r="R191" s="43">
        <v>7</v>
      </c>
      <c r="S191" s="1" t="s">
        <v>107</v>
      </c>
      <c r="T191" s="45">
        <v>1439347327.6509049</v>
      </c>
      <c r="U191" s="45">
        <v>1866890612.1917989</v>
      </c>
      <c r="V191" s="45">
        <v>2580019052.2646999</v>
      </c>
      <c r="W191" s="46" t="s">
        <v>107</v>
      </c>
      <c r="X191" s="46" t="s">
        <v>107</v>
      </c>
      <c r="Y191" s="46" t="s">
        <v>107</v>
      </c>
      <c r="Z191" s="45">
        <v>2073867339.641402</v>
      </c>
      <c r="AA191" s="45">
        <v>3540261677.567699</v>
      </c>
      <c r="AB191" s="45">
        <v>3540261677.567699</v>
      </c>
      <c r="AC191" s="45">
        <v>4565247638.0423985</v>
      </c>
      <c r="AD191" s="45">
        <v>4705251554.7368994</v>
      </c>
      <c r="AF191">
        <v>1.1068706840277212E-5</v>
      </c>
      <c r="AG191">
        <v>111.46043998867975</v>
      </c>
      <c r="AI191" s="43">
        <v>7</v>
      </c>
      <c r="AJ191" s="1" t="s">
        <v>107</v>
      </c>
      <c r="AK191" s="45">
        <v>318745.73266207462</v>
      </c>
      <c r="AL191" s="45">
        <v>413392.75822432217</v>
      </c>
      <c r="AM191" s="45">
        <v>571260.95107694494</v>
      </c>
      <c r="AN191" s="46" t="s">
        <v>107</v>
      </c>
      <c r="AO191" s="46" t="s">
        <v>107</v>
      </c>
      <c r="AP191" s="46" t="s">
        <v>107</v>
      </c>
      <c r="AQ191">
        <v>23066.49004810497</v>
      </c>
      <c r="AR191">
        <v>39297.579086853548</v>
      </c>
      <c r="AS191">
        <v>39297.579086853548</v>
      </c>
      <c r="AT191">
        <v>50642.848198747961</v>
      </c>
      <c r="AU191">
        <v>52192.510509129985</v>
      </c>
      <c r="AW191" s="47">
        <v>7</v>
      </c>
      <c r="AX191" s="51" t="s">
        <v>107</v>
      </c>
      <c r="AY191" s="71">
        <f t="shared" si="28"/>
        <v>130676.34169484857</v>
      </c>
      <c r="AZ191" s="71">
        <f t="shared" si="17"/>
        <v>166342.78409113933</v>
      </c>
      <c r="BA191" s="71">
        <f t="shared" si="17"/>
        <v>227812.74094925603</v>
      </c>
      <c r="BB191" s="72" t="s">
        <v>107</v>
      </c>
      <c r="BC191" s="72" t="s">
        <v>107</v>
      </c>
      <c r="BD191" s="72" t="s">
        <v>107</v>
      </c>
      <c r="BE191" s="71">
        <f t="shared" si="23"/>
        <v>3765.8960748567324</v>
      </c>
      <c r="BF191" s="71">
        <f t="shared" si="24"/>
        <v>4244.7453701783052</v>
      </c>
      <c r="BG191" s="71">
        <f t="shared" si="25"/>
        <v>4348.4851921107102</v>
      </c>
      <c r="BH191" s="71">
        <f t="shared" si="26"/>
        <v>5550.8744764833227</v>
      </c>
      <c r="BI191" s="73">
        <f t="shared" si="27"/>
        <v>4318.9901802170125</v>
      </c>
    </row>
    <row r="192" spans="18:61" ht="15" thickBot="1" x14ac:dyDescent="0.35">
      <c r="R192" s="25" t="s">
        <v>108</v>
      </c>
      <c r="S192" s="10" t="s">
        <v>107</v>
      </c>
      <c r="T192" s="53">
        <v>21681.815134999997</v>
      </c>
      <c r="U192" s="53">
        <v>34020.626784999986</v>
      </c>
      <c r="V192" s="53">
        <v>38590.579445000018</v>
      </c>
      <c r="W192" s="10" t="s">
        <v>107</v>
      </c>
      <c r="X192" s="10" t="s">
        <v>107</v>
      </c>
      <c r="Y192" s="10" t="s">
        <v>107</v>
      </c>
      <c r="Z192" s="53">
        <v>908341.22484499949</v>
      </c>
      <c r="AA192" s="53">
        <v>741316.66929500049</v>
      </c>
      <c r="AB192" s="53">
        <v>475180.84315499989</v>
      </c>
      <c r="AC192" s="53">
        <v>520067.741775</v>
      </c>
      <c r="AD192" s="53">
        <v>389570.73052500025</v>
      </c>
      <c r="AF192" s="11">
        <v>1.1068706840277212E-5</v>
      </c>
      <c r="AG192" s="11">
        <v>111.46043998867975</v>
      </c>
      <c r="AI192" s="25" t="s">
        <v>108</v>
      </c>
      <c r="AJ192" s="54" t="s">
        <v>107</v>
      </c>
      <c r="AK192" s="53">
        <v>116.26023309856777</v>
      </c>
      <c r="AL192" s="53">
        <v>118.9917268767927</v>
      </c>
      <c r="AM192" s="53">
        <v>120.00339620214241</v>
      </c>
      <c r="AN192" s="10" t="s">
        <v>107</v>
      </c>
      <c r="AO192" s="10" t="s">
        <v>107</v>
      </c>
      <c r="AP192" s="10" t="s">
        <v>107</v>
      </c>
      <c r="AQ192" s="11">
        <v>121.51460271742738</v>
      </c>
      <c r="AR192" s="11">
        <v>119.66585687691685</v>
      </c>
      <c r="AS192" s="11">
        <v>116.72007743767819</v>
      </c>
      <c r="AT192" s="11">
        <v>117.21691735947222</v>
      </c>
      <c r="AU192" s="11">
        <v>115.77248419841361</v>
      </c>
      <c r="AW192" s="11" t="s">
        <v>108</v>
      </c>
      <c r="AX192" s="55" t="s">
        <v>107</v>
      </c>
      <c r="AY192" s="74">
        <f t="shared" si="28"/>
        <v>47.663263815418077</v>
      </c>
      <c r="AZ192" s="74">
        <f t="shared" si="17"/>
        <v>47.880410913626861</v>
      </c>
      <c r="BA192" s="74">
        <f t="shared" si="17"/>
        <v>47.856067460048259</v>
      </c>
      <c r="BB192" s="68" t="s">
        <v>107</v>
      </c>
      <c r="BC192" s="68" t="s">
        <v>107</v>
      </c>
      <c r="BD192" s="68" t="s">
        <v>107</v>
      </c>
      <c r="BE192" s="74">
        <f t="shared" si="23"/>
        <v>19.838794912316107</v>
      </c>
      <c r="BF192" s="74">
        <f t="shared" si="24"/>
        <v>12.925760409415153</v>
      </c>
      <c r="BG192" s="74">
        <f t="shared" si="25"/>
        <v>12.915694558130035</v>
      </c>
      <c r="BH192" s="74">
        <f t="shared" si="26"/>
        <v>12.847942363534669</v>
      </c>
      <c r="BI192" s="75">
        <f t="shared" si="27"/>
        <v>9.5803060154542603</v>
      </c>
    </row>
    <row r="194" spans="18:61" x14ac:dyDescent="0.3">
      <c r="R194" s="58" t="s">
        <v>109</v>
      </c>
      <c r="S194" s="59" t="s">
        <v>107</v>
      </c>
      <c r="T194" s="59">
        <f t="shared" ref="T194:AD194" si="29">SUM(T189:T192)</f>
        <v>1589223456.3294368</v>
      </c>
      <c r="U194" s="59">
        <f t="shared" si="29"/>
        <v>2197830131.692584</v>
      </c>
      <c r="V194" s="59">
        <f t="shared" si="29"/>
        <v>3266515257.0251474</v>
      </c>
      <c r="W194" s="59" t="s">
        <v>107</v>
      </c>
      <c r="X194" s="59" t="s">
        <v>107</v>
      </c>
      <c r="Y194" s="59" t="s">
        <v>107</v>
      </c>
      <c r="Z194" s="59">
        <f t="shared" si="29"/>
        <v>5943582194.7932434</v>
      </c>
      <c r="AA194" s="59">
        <f t="shared" si="29"/>
        <v>7425709847.1999941</v>
      </c>
      <c r="AB194" s="59">
        <f t="shared" si="29"/>
        <v>7425443711.3738537</v>
      </c>
      <c r="AC194" s="59">
        <f t="shared" si="29"/>
        <v>8421948816.6621714</v>
      </c>
      <c r="AD194" s="59">
        <f t="shared" si="29"/>
        <v>8619366172.900423</v>
      </c>
      <c r="AE194" s="59"/>
      <c r="AF194" s="59"/>
      <c r="AG194" s="59"/>
      <c r="AH194" s="59"/>
      <c r="AI194" s="59"/>
      <c r="AJ194" s="59" t="s">
        <v>107</v>
      </c>
      <c r="AK194" s="59">
        <v>18036.490301757349</v>
      </c>
      <c r="AL194" s="59">
        <v>24772.979172387793</v>
      </c>
      <c r="AM194" s="59">
        <v>36601.941529258846</v>
      </c>
      <c r="AN194" s="59" t="s">
        <v>107</v>
      </c>
      <c r="AO194" s="59" t="s">
        <v>107</v>
      </c>
      <c r="AP194" s="59" t="s">
        <v>107</v>
      </c>
      <c r="AQ194" s="59">
        <v>66233.610655212542</v>
      </c>
      <c r="AR194" s="59">
        <v>82638.847139571139</v>
      </c>
      <c r="AS194" s="59">
        <v>82635.901360131902</v>
      </c>
      <c r="AT194" s="59">
        <v>93665.924235407874</v>
      </c>
      <c r="AU194" s="59">
        <v>95851.079076791677</v>
      </c>
      <c r="AV194" s="59"/>
      <c r="AW194" s="59"/>
      <c r="AX194" s="59" t="s">
        <v>107</v>
      </c>
      <c r="AY194" s="60">
        <f t="shared" ref="AY194:BI194" si="30">SUM(AY189:AY192)</f>
        <v>144415.71523286626</v>
      </c>
      <c r="AZ194" s="60">
        <f t="shared" si="30"/>
        <v>195956.59641114032</v>
      </c>
      <c r="BA194" s="60">
        <f t="shared" si="30"/>
        <v>288551.0937378268</v>
      </c>
      <c r="BB194" s="59" t="s">
        <v>107</v>
      </c>
      <c r="BC194" s="59" t="s">
        <v>107</v>
      </c>
      <c r="BD194" s="59" t="s">
        <v>107</v>
      </c>
      <c r="BE194" s="60">
        <f t="shared" si="30"/>
        <v>10813.474172701268</v>
      </c>
      <c r="BF194" s="60">
        <f t="shared" si="30"/>
        <v>8926.271590860315</v>
      </c>
      <c r="BG194" s="60">
        <f t="shared" si="30"/>
        <v>9144.1000120403696</v>
      </c>
      <c r="BH194" s="60">
        <f t="shared" si="30"/>
        <v>10266.558984085741</v>
      </c>
      <c r="BI194" s="61">
        <f t="shared" si="30"/>
        <v>7931.7868647734513</v>
      </c>
    </row>
    <row r="195" spans="18:61" x14ac:dyDescent="0.3">
      <c r="R195" s="62" t="s">
        <v>110</v>
      </c>
      <c r="S195" s="63" t="s">
        <v>107</v>
      </c>
      <c r="T195" s="63">
        <f t="shared" ref="T195:AD195" si="31">SUM(T189:T192)/SUM(T180:T192)</f>
        <v>0.99572032966501722</v>
      </c>
      <c r="U195" s="63">
        <f t="shared" si="31"/>
        <v>0.99482435159867244</v>
      </c>
      <c r="V195" s="63">
        <f t="shared" si="31"/>
        <v>0.9943966442856329</v>
      </c>
      <c r="W195" s="63" t="s">
        <v>107</v>
      </c>
      <c r="X195" s="63" t="s">
        <v>107</v>
      </c>
      <c r="Y195" s="63" t="s">
        <v>107</v>
      </c>
      <c r="Z195" s="63">
        <f t="shared" si="31"/>
        <v>0.93654064724237673</v>
      </c>
      <c r="AA195" s="63">
        <f t="shared" si="31"/>
        <v>0.99147173808380151</v>
      </c>
      <c r="AB195" s="63">
        <f t="shared" si="31"/>
        <v>0.99147143502865243</v>
      </c>
      <c r="AC195" s="63">
        <f t="shared" si="31"/>
        <v>0.9917287865550799</v>
      </c>
      <c r="AD195" s="63">
        <f t="shared" si="31"/>
        <v>0.99176709203165314</v>
      </c>
      <c r="AE195" s="64"/>
      <c r="AF195" s="64"/>
      <c r="AG195" s="64"/>
      <c r="AH195" s="64"/>
      <c r="AI195" s="64"/>
      <c r="AJ195" s="63" t="s">
        <v>107</v>
      </c>
      <c r="AK195" s="63">
        <v>0.95497493080330798</v>
      </c>
      <c r="AL195" s="63">
        <v>0.96496575430883869</v>
      </c>
      <c r="AM195" s="63">
        <v>0.97404826389112342</v>
      </c>
      <c r="AN195" s="63" t="s">
        <v>107</v>
      </c>
      <c r="AO195" s="63" t="s">
        <v>107</v>
      </c>
      <c r="AP195" s="63" t="s">
        <v>107</v>
      </c>
      <c r="AQ195" s="63">
        <v>0.92791322836051271</v>
      </c>
      <c r="AR195" s="63">
        <v>0.98263526567119264</v>
      </c>
      <c r="AS195" s="63">
        <v>0.98263465740780154</v>
      </c>
      <c r="AT195" s="63">
        <v>0.9839930370423936</v>
      </c>
      <c r="AU195" s="63">
        <v>0.98420754982725234</v>
      </c>
      <c r="AV195" s="63"/>
      <c r="AW195" s="63"/>
      <c r="AX195" s="63" t="s">
        <v>107</v>
      </c>
      <c r="AY195" s="63">
        <f t="shared" ref="AY195:BI195" si="32">SUM(AY189:AY192)/(SUM(AY182:AY192))</f>
        <v>0.99383985135869912</v>
      </c>
      <c r="AZ195" s="63">
        <f t="shared" si="32"/>
        <v>0.99354482819841206</v>
      </c>
      <c r="BA195" s="63">
        <f t="shared" si="32"/>
        <v>0.9935741641700685</v>
      </c>
      <c r="BB195" s="63" t="s">
        <v>107</v>
      </c>
      <c r="BC195" s="63" t="s">
        <v>107</v>
      </c>
      <c r="BD195" s="63" t="s">
        <v>107</v>
      </c>
      <c r="BE195" s="63">
        <f t="shared" si="32"/>
        <v>0.9279132283605126</v>
      </c>
      <c r="BF195" s="63">
        <f t="shared" si="32"/>
        <v>0.98263526567119264</v>
      </c>
      <c r="BG195" s="63">
        <f t="shared" si="32"/>
        <v>0.98263465740780143</v>
      </c>
      <c r="BH195" s="63">
        <f t="shared" si="32"/>
        <v>0.98399303704239383</v>
      </c>
      <c r="BI195" s="65">
        <f t="shared" si="32"/>
        <v>0.98420754982725223</v>
      </c>
    </row>
    <row r="197" spans="18:61" x14ac:dyDescent="0.3">
      <c r="R197" s="156" t="s">
        <v>116</v>
      </c>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c r="AO197" s="156"/>
      <c r="AP197" s="156"/>
      <c r="AQ197" s="156"/>
      <c r="AR197" s="156"/>
      <c r="AS197" s="156"/>
      <c r="AT197" s="156"/>
      <c r="AU197" s="156"/>
    </row>
    <row r="200" spans="18:61" ht="15" thickBot="1" x14ac:dyDescent="0.35"/>
    <row r="201" spans="18:61" x14ac:dyDescent="0.3">
      <c r="S201" s="41" t="s">
        <v>42</v>
      </c>
      <c r="T201" s="3">
        <v>25</v>
      </c>
      <c r="U201" s="3">
        <v>27</v>
      </c>
      <c r="V201" s="3">
        <v>29</v>
      </c>
      <c r="W201" s="3">
        <v>31</v>
      </c>
      <c r="X201" s="3">
        <v>33</v>
      </c>
      <c r="Y201" s="3">
        <v>35</v>
      </c>
      <c r="Z201" s="3">
        <v>37</v>
      </c>
      <c r="AA201" s="3">
        <v>39</v>
      </c>
      <c r="AB201" s="3">
        <v>41</v>
      </c>
      <c r="AC201" s="3">
        <v>43</v>
      </c>
      <c r="AD201" s="3">
        <v>45</v>
      </c>
      <c r="AE201" s="3">
        <v>47</v>
      </c>
    </row>
    <row r="202" spans="18:61" x14ac:dyDescent="0.3">
      <c r="S202" t="s">
        <v>112</v>
      </c>
      <c r="T202" s="3">
        <v>0.1</v>
      </c>
      <c r="U202" s="3">
        <v>0.99722222222222223</v>
      </c>
      <c r="V202">
        <v>2.1288888888888891</v>
      </c>
      <c r="W202">
        <v>3.339722222222222</v>
      </c>
      <c r="X202">
        <v>4.3736111111111109</v>
      </c>
      <c r="Y202">
        <v>5.4625000000000004</v>
      </c>
      <c r="Z202">
        <v>6.6330555555555559</v>
      </c>
      <c r="AA202">
        <v>24.33111111111111</v>
      </c>
      <c r="AB202">
        <v>48.563055555555557</v>
      </c>
      <c r="AC202">
        <v>72.413888888888891</v>
      </c>
      <c r="AD202">
        <v>96.575555555555553</v>
      </c>
      <c r="AE202">
        <v>168.52055555555555</v>
      </c>
    </row>
    <row r="203" spans="18:61" ht="14.4" customHeight="1" x14ac:dyDescent="0.3">
      <c r="R203" s="185" t="s">
        <v>115</v>
      </c>
      <c r="S203" s="185"/>
      <c r="T203" s="28">
        <v>82821.5</v>
      </c>
      <c r="U203">
        <v>7394.4286248595236</v>
      </c>
      <c r="V203">
        <v>9968.2595879695891</v>
      </c>
      <c r="W203">
        <v>14596.461753818943</v>
      </c>
      <c r="X203" s="28">
        <v>86272.670378814379</v>
      </c>
      <c r="Y203" s="28">
        <v>72812.276532965174</v>
      </c>
      <c r="Z203" s="28">
        <v>62786.573529679641</v>
      </c>
      <c r="AA203">
        <v>10813.474172701268</v>
      </c>
      <c r="AB203">
        <v>8926.271590860315</v>
      </c>
      <c r="AC203">
        <v>9144.1000120403696</v>
      </c>
      <c r="AD203">
        <v>10266.558984085741</v>
      </c>
      <c r="AE203">
        <v>7931.7868647734513</v>
      </c>
    </row>
    <row r="204" spans="18:61" x14ac:dyDescent="0.3">
      <c r="X204" s="28"/>
      <c r="Y204" s="28"/>
      <c r="Z204" s="28"/>
    </row>
    <row r="205" spans="18:61" x14ac:dyDescent="0.3">
      <c r="S205" s="185" t="s">
        <v>114</v>
      </c>
      <c r="T205" s="185"/>
      <c r="U205" s="185"/>
      <c r="V205" s="3">
        <v>0.99722222222222223</v>
      </c>
      <c r="W205" s="3">
        <v>2.1288888888888891</v>
      </c>
      <c r="X205" s="3">
        <v>3.339722222222222</v>
      </c>
      <c r="Y205">
        <v>24.33111111111111</v>
      </c>
      <c r="Z205">
        <v>48.563055555555557</v>
      </c>
      <c r="AA205">
        <v>72.413888888888891</v>
      </c>
      <c r="AB205">
        <v>96.575555555555553</v>
      </c>
      <c r="AC205">
        <v>168.52055555555555</v>
      </c>
    </row>
    <row r="206" spans="18:61" x14ac:dyDescent="0.3">
      <c r="S206" s="185"/>
      <c r="T206" s="185"/>
      <c r="U206" s="185"/>
      <c r="V206">
        <v>144415.715232866</v>
      </c>
      <c r="W206">
        <v>195956.59641114032</v>
      </c>
      <c r="X206">
        <v>288551.0937378268</v>
      </c>
      <c r="Y206">
        <v>10813.474172701268</v>
      </c>
      <c r="Z206">
        <v>8926.271590860315</v>
      </c>
      <c r="AA206">
        <v>9144.1000120403696</v>
      </c>
      <c r="AB206">
        <v>10266.558984085741</v>
      </c>
      <c r="AC206">
        <v>7931.7868647734513</v>
      </c>
    </row>
    <row r="213" spans="18:61" x14ac:dyDescent="0.3">
      <c r="R213" s="184" t="s">
        <v>117</v>
      </c>
      <c r="S213" s="184"/>
      <c r="T213" s="184"/>
      <c r="U213" s="184"/>
      <c r="V213" s="184"/>
      <c r="W213" s="184"/>
      <c r="X213" s="184"/>
      <c r="Y213" s="184"/>
      <c r="Z213" s="184"/>
      <c r="AA213" s="184"/>
      <c r="AB213" s="184"/>
      <c r="AC213" s="184"/>
      <c r="AD213" s="184"/>
      <c r="AE213" s="184"/>
      <c r="AF213" s="184"/>
      <c r="AG213" s="184"/>
      <c r="AH213" s="184"/>
      <c r="AI213" s="184"/>
      <c r="AJ213" s="184"/>
      <c r="AK213" s="184"/>
      <c r="AL213" s="184"/>
      <c r="AM213" s="184"/>
      <c r="AN213" s="184"/>
      <c r="AO213" s="184"/>
      <c r="AP213" s="184"/>
      <c r="AQ213" s="184"/>
      <c r="AR213" s="184"/>
      <c r="AS213" s="184"/>
      <c r="AT213" s="184"/>
      <c r="AU213" s="184"/>
      <c r="AV213" s="184"/>
      <c r="AW213" s="184"/>
      <c r="AX213" s="184"/>
      <c r="AY213" s="184"/>
      <c r="AZ213" s="184"/>
      <c r="BA213" s="184"/>
      <c r="BB213" s="184"/>
      <c r="BC213" s="184"/>
      <c r="BD213" s="184"/>
      <c r="BE213" s="184"/>
      <c r="BF213" s="184"/>
      <c r="BG213" s="184"/>
      <c r="BH213" s="184"/>
      <c r="BI213" s="184"/>
    </row>
    <row r="214" spans="18:61" x14ac:dyDescent="0.3">
      <c r="R214" s="184"/>
      <c r="S214" s="184"/>
      <c r="T214" s="184"/>
      <c r="U214" s="184"/>
      <c r="V214" s="184"/>
      <c r="W214" s="184"/>
      <c r="X214" s="184"/>
      <c r="Y214" s="184"/>
      <c r="Z214" s="184"/>
      <c r="AA214" s="184"/>
      <c r="AB214" s="184"/>
      <c r="AC214" s="184"/>
      <c r="AD214" s="184"/>
      <c r="AE214" s="184"/>
      <c r="AF214" s="184"/>
      <c r="AG214" s="184"/>
      <c r="AH214" s="184"/>
      <c r="AI214" s="184"/>
      <c r="AJ214" s="184"/>
      <c r="AK214" s="184"/>
      <c r="AL214" s="184"/>
      <c r="AM214" s="184"/>
      <c r="AN214" s="184"/>
      <c r="AO214" s="184"/>
      <c r="AP214" s="184"/>
      <c r="AQ214" s="184"/>
      <c r="AR214" s="184"/>
      <c r="AS214" s="184"/>
      <c r="AT214" s="184"/>
      <c r="AU214" s="184"/>
      <c r="AV214" s="184"/>
      <c r="AW214" s="184"/>
      <c r="AX214" s="184"/>
      <c r="AY214" s="184"/>
      <c r="AZ214" s="184"/>
      <c r="BA214" s="184"/>
      <c r="BB214" s="184"/>
      <c r="BC214" s="184"/>
      <c r="BD214" s="184"/>
      <c r="BE214" s="184"/>
      <c r="BF214" s="184"/>
      <c r="BG214" s="184"/>
      <c r="BH214" s="184"/>
      <c r="BI214" s="184"/>
    </row>
    <row r="215" spans="18:61" x14ac:dyDescent="0.3">
      <c r="R215" s="184"/>
      <c r="S215" s="184"/>
      <c r="T215" s="184"/>
      <c r="U215" s="184"/>
      <c r="V215" s="184"/>
      <c r="W215" s="184"/>
      <c r="X215" s="184"/>
      <c r="Y215" s="184"/>
      <c r="Z215" s="184"/>
      <c r="AA215" s="184"/>
      <c r="AB215" s="184"/>
      <c r="AC215" s="184"/>
      <c r="AD215" s="184"/>
      <c r="AE215" s="184"/>
      <c r="AF215" s="184"/>
      <c r="AG215" s="184"/>
      <c r="AH215" s="184"/>
      <c r="AI215" s="184"/>
      <c r="AJ215" s="184"/>
      <c r="AK215" s="184"/>
      <c r="AL215" s="184"/>
      <c r="AM215" s="184"/>
      <c r="AN215" s="184"/>
      <c r="AO215" s="184"/>
      <c r="AP215" s="184"/>
      <c r="AQ215" s="184"/>
      <c r="AR215" s="184"/>
      <c r="AS215" s="184"/>
      <c r="AT215" s="184"/>
      <c r="AU215" s="184"/>
      <c r="AV215" s="184"/>
      <c r="AW215" s="184"/>
      <c r="AX215" s="184"/>
      <c r="AY215" s="184"/>
      <c r="AZ215" s="184"/>
      <c r="BA215" s="184"/>
      <c r="BB215" s="184"/>
      <c r="BC215" s="184"/>
      <c r="BD215" s="184"/>
      <c r="BE215" s="184"/>
      <c r="BF215" s="184"/>
      <c r="BG215" s="184"/>
      <c r="BH215" s="184"/>
      <c r="BI215" s="184"/>
    </row>
    <row r="216" spans="18:61" ht="15" thickBot="1" x14ac:dyDescent="0.35"/>
    <row r="217" spans="18:61" ht="15" thickBot="1" x14ac:dyDescent="0.35">
      <c r="R217" s="161" t="s">
        <v>99</v>
      </c>
      <c r="S217" s="161"/>
      <c r="T217" s="161"/>
      <c r="U217" s="161"/>
      <c r="V217" s="161"/>
      <c r="W217" s="161"/>
      <c r="X217" s="161"/>
      <c r="Y217" s="161"/>
      <c r="Z217" s="161"/>
      <c r="AA217" s="161"/>
      <c r="AB217" s="161"/>
      <c r="AC217" s="161"/>
      <c r="AD217" s="161"/>
      <c r="AF217" s="167" t="s">
        <v>100</v>
      </c>
      <c r="AG217" s="167"/>
      <c r="AI217" s="161" t="s">
        <v>101</v>
      </c>
      <c r="AJ217" s="161"/>
      <c r="AK217" s="161"/>
      <c r="AL217" s="161"/>
      <c r="AM217" s="161"/>
      <c r="AN217" s="161"/>
      <c r="AO217" s="161"/>
      <c r="AP217" s="161"/>
      <c r="AQ217" s="161"/>
      <c r="AR217" s="161"/>
      <c r="AS217" s="161"/>
      <c r="AT217" s="161"/>
      <c r="AU217" s="161"/>
      <c r="AW217" s="41" t="s">
        <v>42</v>
      </c>
      <c r="AX217" s="1">
        <v>26</v>
      </c>
      <c r="AY217" s="1">
        <v>28</v>
      </c>
      <c r="AZ217" s="1">
        <v>30</v>
      </c>
      <c r="BA217" s="1">
        <v>32</v>
      </c>
      <c r="BB217" s="1">
        <v>34</v>
      </c>
      <c r="BC217" s="1">
        <v>36</v>
      </c>
      <c r="BD217" s="1">
        <v>38</v>
      </c>
      <c r="BE217" s="1">
        <v>40</v>
      </c>
      <c r="BF217" s="1">
        <v>42</v>
      </c>
      <c r="BG217" s="1">
        <v>44</v>
      </c>
      <c r="BH217" s="1">
        <v>46</v>
      </c>
      <c r="BI217" s="1">
        <v>48</v>
      </c>
    </row>
    <row r="218" spans="18:61" x14ac:dyDescent="0.3">
      <c r="R218" s="41" t="s">
        <v>42</v>
      </c>
      <c r="S218" s="1">
        <v>26</v>
      </c>
      <c r="T218" s="1">
        <v>28</v>
      </c>
      <c r="U218" s="1">
        <v>30</v>
      </c>
      <c r="V218" s="1">
        <v>32</v>
      </c>
      <c r="W218" s="1">
        <v>34</v>
      </c>
      <c r="X218" s="1">
        <v>36</v>
      </c>
      <c r="Y218" s="1">
        <v>38</v>
      </c>
      <c r="Z218" s="1">
        <v>40</v>
      </c>
      <c r="AA218" s="1">
        <v>42</v>
      </c>
      <c r="AB218" s="1">
        <v>44</v>
      </c>
      <c r="AC218" s="1">
        <v>46</v>
      </c>
      <c r="AD218" s="1">
        <v>48</v>
      </c>
      <c r="AF218" s="167"/>
      <c r="AG218" s="167"/>
      <c r="AI218" s="41" t="s">
        <v>42</v>
      </c>
      <c r="AJ218" s="1">
        <v>26</v>
      </c>
      <c r="AK218" s="1">
        <v>28</v>
      </c>
      <c r="AL218" s="1">
        <v>30</v>
      </c>
      <c r="AM218" s="1">
        <v>32</v>
      </c>
      <c r="AN218" s="1">
        <v>34</v>
      </c>
      <c r="AO218" s="1">
        <v>36</v>
      </c>
      <c r="AP218" s="1">
        <v>38</v>
      </c>
      <c r="AQ218" s="1">
        <v>40</v>
      </c>
      <c r="AR218" s="1">
        <v>42</v>
      </c>
      <c r="AS218" s="1">
        <v>44</v>
      </c>
      <c r="AT218" s="1">
        <v>46</v>
      </c>
      <c r="AU218" s="1">
        <v>48</v>
      </c>
      <c r="AW218" t="s">
        <v>102</v>
      </c>
      <c r="AX218">
        <v>759.74322222222224</v>
      </c>
      <c r="AY218">
        <v>2439.1999999999998</v>
      </c>
      <c r="AZ218">
        <v>2485.1860000000001</v>
      </c>
      <c r="BA218">
        <v>2507.59</v>
      </c>
      <c r="BB218">
        <v>2453.2538888888885</v>
      </c>
      <c r="BC218">
        <v>2429.6999999999998</v>
      </c>
      <c r="BD218">
        <v>2924.3</v>
      </c>
      <c r="BE218">
        <v>6125.0999999999995</v>
      </c>
      <c r="BF218">
        <v>9257.9355555555539</v>
      </c>
      <c r="BG218">
        <v>9037.0732222222214</v>
      </c>
      <c r="BH218">
        <v>9123.4000000000015</v>
      </c>
      <c r="BI218">
        <v>12084.424444444445</v>
      </c>
    </row>
    <row r="219" spans="18:61" ht="16.2" x14ac:dyDescent="0.3">
      <c r="R219" s="42" t="s">
        <v>103</v>
      </c>
      <c r="S219" s="183" t="s">
        <v>104</v>
      </c>
      <c r="T219" s="183"/>
      <c r="U219" s="183"/>
      <c r="V219" s="183"/>
      <c r="W219" s="183"/>
      <c r="X219" s="183"/>
      <c r="Y219" s="183"/>
      <c r="Z219" s="183"/>
      <c r="AA219" s="183"/>
      <c r="AB219" s="183"/>
      <c r="AC219" s="183"/>
      <c r="AD219" s="183"/>
      <c r="AF219" s="167"/>
      <c r="AG219" s="167"/>
      <c r="AI219" s="42" t="s">
        <v>103</v>
      </c>
      <c r="AJ219" s="183" t="s">
        <v>105</v>
      </c>
      <c r="AK219" s="183"/>
      <c r="AL219" s="183"/>
      <c r="AM219" s="183"/>
      <c r="AN219" s="183"/>
      <c r="AO219" s="183"/>
      <c r="AP219" s="183"/>
      <c r="AQ219" s="183"/>
      <c r="AR219" s="183"/>
      <c r="AS219" s="183"/>
      <c r="AT219" s="183"/>
      <c r="AU219" s="183"/>
      <c r="AW219" s="42" t="s">
        <v>103</v>
      </c>
      <c r="AX219" s="183" t="s">
        <v>106</v>
      </c>
      <c r="AY219" s="183"/>
      <c r="AZ219" s="183"/>
      <c r="BA219" s="183"/>
      <c r="BB219" s="183"/>
      <c r="BC219" s="183"/>
      <c r="BD219" s="183"/>
      <c r="BE219" s="183"/>
      <c r="BF219" s="183"/>
      <c r="BG219" s="183"/>
      <c r="BH219" s="183"/>
      <c r="BI219" s="183"/>
    </row>
    <row r="220" spans="18:61" x14ac:dyDescent="0.3">
      <c r="R220" s="43">
        <v>-4</v>
      </c>
      <c r="S220">
        <v>627230.87399999634</v>
      </c>
      <c r="T220">
        <v>640943.2320000038</v>
      </c>
      <c r="U220">
        <v>569543.07599999139</v>
      </c>
      <c r="V220">
        <v>628742.64299999271</v>
      </c>
      <c r="W220">
        <v>611824.16699998803</v>
      </c>
      <c r="X220">
        <v>625647.85199999029</v>
      </c>
      <c r="Y220">
        <v>674824.80299999879</v>
      </c>
      <c r="Z220">
        <v>652625.21399997175</v>
      </c>
      <c r="AA220">
        <v>634206.14099999447</v>
      </c>
      <c r="AB220">
        <v>659286.8550000164</v>
      </c>
      <c r="AC220">
        <v>267390.72899999318</v>
      </c>
      <c r="AD220">
        <v>253456.48800000429</v>
      </c>
      <c r="AF220">
        <v>1.1068706840277212E-5</v>
      </c>
      <c r="AG220">
        <v>111.46043998867975</v>
      </c>
      <c r="AI220" s="43">
        <v>-4</v>
      </c>
      <c r="AJ220">
        <f>($AF220*S220)+$AG220</f>
        <v>118.40307465415657</v>
      </c>
      <c r="AK220">
        <f t="shared" ref="AK220:AU221" si="33">($AF220*T220)+$AG220</f>
        <v>118.55485272494758</v>
      </c>
      <c r="AL220">
        <f t="shared" si="33"/>
        <v>117.76454532983338</v>
      </c>
      <c r="AM220">
        <f t="shared" si="33"/>
        <v>118.41980798202775</v>
      </c>
      <c r="AN220">
        <f t="shared" si="33"/>
        <v>118.23254233099942</v>
      </c>
      <c r="AO220">
        <f t="shared" si="33"/>
        <v>118.38555264771679</v>
      </c>
      <c r="AP220">
        <f t="shared" si="33"/>
        <v>118.92987790163455</v>
      </c>
      <c r="AQ220">
        <f t="shared" si="33"/>
        <v>118.68415715901862</v>
      </c>
      <c r="AR220">
        <f t="shared" si="33"/>
        <v>118.48028183971221</v>
      </c>
      <c r="AS220">
        <f t="shared" si="33"/>
        <v>118.75789291032328</v>
      </c>
      <c r="AT220">
        <f t="shared" si="33"/>
        <v>114.42010957978869</v>
      </c>
      <c r="AU220">
        <f t="shared" si="33"/>
        <v>114.26587555111804</v>
      </c>
      <c r="AW220" s="43">
        <v>-4</v>
      </c>
      <c r="AX220">
        <f>AJ220/(AX$218/1000)</f>
        <v>155.84617432694134</v>
      </c>
      <c r="AY220">
        <f t="shared" ref="AY220:BI220" si="34">AK220/(AY$218/1000)</f>
        <v>48.603990129939149</v>
      </c>
      <c r="AZ220">
        <f t="shared" si="34"/>
        <v>47.386612241431173</v>
      </c>
      <c r="BA220">
        <f t="shared" si="34"/>
        <v>47.224549460648568</v>
      </c>
      <c r="BB220">
        <f t="shared" si="34"/>
        <v>48.194172998763094</v>
      </c>
      <c r="BC220">
        <f t="shared" si="34"/>
        <v>48.724349774752767</v>
      </c>
      <c r="BD220">
        <f t="shared" si="34"/>
        <v>40.669520193425626</v>
      </c>
      <c r="BE220">
        <f t="shared" si="34"/>
        <v>19.376688896347591</v>
      </c>
      <c r="BF220">
        <f t="shared" si="34"/>
        <v>12.797699997880619</v>
      </c>
      <c r="BG220">
        <f t="shared" si="34"/>
        <v>13.141189629657626</v>
      </c>
      <c r="BH220">
        <f t="shared" si="34"/>
        <v>12.541389129029602</v>
      </c>
      <c r="BI220">
        <f t="shared" si="34"/>
        <v>9.4556324197673582</v>
      </c>
    </row>
    <row r="221" spans="18:61" x14ac:dyDescent="0.3">
      <c r="R221" s="43">
        <v>-3</v>
      </c>
      <c r="S221">
        <v>511701.54600000352</v>
      </c>
      <c r="T221">
        <v>523084.37700000091</v>
      </c>
      <c r="U221">
        <v>658966.37099999655</v>
      </c>
      <c r="V221">
        <v>621622.34400000633</v>
      </c>
      <c r="W221">
        <v>540054.41100000474</v>
      </c>
      <c r="X221">
        <v>537031.27500000491</v>
      </c>
      <c r="Y221">
        <v>469587.82500001509</v>
      </c>
      <c r="Z221">
        <v>655843.42499998095</v>
      </c>
      <c r="AA221">
        <v>853968.26700002002</v>
      </c>
      <c r="AB221">
        <v>928491.63900000718</v>
      </c>
      <c r="AC221">
        <v>310979.75699999777</v>
      </c>
      <c r="AD221">
        <v>363979.52100000612</v>
      </c>
      <c r="AF221">
        <v>1.1068706840277212E-5</v>
      </c>
      <c r="AG221">
        <v>111.46043998867975</v>
      </c>
      <c r="AI221" s="43">
        <v>-3</v>
      </c>
      <c r="AJ221">
        <f>($AF221*S221)+$AG221</f>
        <v>117.12431439107041</v>
      </c>
      <c r="AK221">
        <f t="shared" si="33"/>
        <v>117.2503076104218</v>
      </c>
      <c r="AL221">
        <f t="shared" si="33"/>
        <v>118.75434556688006</v>
      </c>
      <c r="AM221">
        <f t="shared" si="33"/>
        <v>118.34099547978178</v>
      </c>
      <c r="AN221">
        <f t="shared" si="33"/>
        <v>117.43814394183738</v>
      </c>
      <c r="AO221">
        <f t="shared" si="33"/>
        <v>117.4046817357151</v>
      </c>
      <c r="AP221">
        <f t="shared" si="33"/>
        <v>116.65816995936832</v>
      </c>
      <c r="AQ221">
        <f t="shared" si="33"/>
        <v>118.71977859312787</v>
      </c>
      <c r="AR221">
        <f t="shared" si="33"/>
        <v>120.91276438700255</v>
      </c>
      <c r="AS221">
        <f t="shared" si="33"/>
        <v>121.73764174441934</v>
      </c>
      <c r="AT221">
        <f t="shared" si="33"/>
        <v>114.90258375217337</v>
      </c>
      <c r="AU221">
        <f t="shared" si="33"/>
        <v>115.48922260249334</v>
      </c>
      <c r="AW221" s="43">
        <v>-3</v>
      </c>
      <c r="AX221">
        <f t="shared" ref="AX221:AX232" si="35">AJ221/(AX$218/1000)</f>
        <v>154.16302635578097</v>
      </c>
      <c r="AY221">
        <f t="shared" ref="AY221:AY232" si="36">AK221/(AY$218/1000)</f>
        <v>48.069165140382829</v>
      </c>
      <c r="AZ221">
        <f t="shared" ref="AZ221:AZ232" si="37">AL221/(AZ$218/1000)</f>
        <v>47.784892385068986</v>
      </c>
      <c r="BA221">
        <f t="shared" ref="BA221:BA232" si="38">AM221/(BA$218/1000)</f>
        <v>47.193119879957166</v>
      </c>
      <c r="BB221">
        <f t="shared" ref="BB221:BB232" si="39">AN221/(BB$218/1000)</f>
        <v>47.870358821698105</v>
      </c>
      <c r="BC221">
        <f t="shared" ref="BC221:BC232" si="40">AO221/(BC$218/1000)</f>
        <v>48.320649354124008</v>
      </c>
      <c r="BD221">
        <f t="shared" ref="BD221:BD232" si="41">AP221/(BD$218/1000)</f>
        <v>39.892681995475265</v>
      </c>
      <c r="BE221">
        <f t="shared" ref="BE221:BE232" si="42">AQ221/(BE$218/1000)</f>
        <v>19.382504545742581</v>
      </c>
      <c r="BF221">
        <f t="shared" ref="BF221:BF232" si="43">AR221/(BF$218/1000)</f>
        <v>13.060445675109992</v>
      </c>
      <c r="BG221">
        <f t="shared" ref="BG221:BG232" si="44">AS221/(BG$218/1000)</f>
        <v>13.470914614818623</v>
      </c>
      <c r="BH221">
        <f t="shared" ref="BH221:BH232" si="45">AT221/(BH$218/1000)</f>
        <v>12.594272283597491</v>
      </c>
      <c r="BI221">
        <f t="shared" ref="BI221:BI232" si="46">AU221/(BI$218/1000)</f>
        <v>9.5568657931066827</v>
      </c>
    </row>
    <row r="222" spans="18:61" x14ac:dyDescent="0.3">
      <c r="R222" s="43">
        <v>-2</v>
      </c>
      <c r="S222">
        <v>433536.71399998199</v>
      </c>
      <c r="T222">
        <v>287935.09500000451</v>
      </c>
      <c r="U222">
        <v>693717.97799999511</v>
      </c>
      <c r="V222">
        <v>484991.85600000282</v>
      </c>
      <c r="W222">
        <v>402467.76899999432</v>
      </c>
      <c r="X222">
        <v>412163.06099999283</v>
      </c>
      <c r="Y222">
        <v>242732.6700000022</v>
      </c>
      <c r="Z222">
        <v>880214.01599998551</v>
      </c>
      <c r="AA222">
        <v>951069.60900000634</v>
      </c>
      <c r="AB222">
        <v>1166062.8600000199</v>
      </c>
      <c r="AC222">
        <v>362279.45400000131</v>
      </c>
      <c r="AD222">
        <v>509072.46900000388</v>
      </c>
      <c r="AF222">
        <v>1.1068706840277212E-5</v>
      </c>
      <c r="AG222">
        <v>111.46043998867975</v>
      </c>
      <c r="AI222" s="43">
        <v>-2</v>
      </c>
      <c r="AJ222">
        <f t="shared" ref="AJ222:AJ232" si="47">($AF222*S222)+$AG222</f>
        <v>116.25913078044266</v>
      </c>
      <c r="AK222">
        <f t="shared" ref="AK222:AK232" si="48">($AF222*T222)+$AG222</f>
        <v>114.64750914426217</v>
      </c>
      <c r="AL222">
        <f t="shared" ref="AL222:AL232" si="49">($AF222*U222)+$AG222</f>
        <v>119.13900091699158</v>
      </c>
      <c r="AM222">
        <f t="shared" ref="AM222:AM232" si="50">($AF222*V222)+$AG222</f>
        <v>116.82867266266572</v>
      </c>
      <c r="AN222">
        <f t="shared" ref="AN222:AN232" si="51">($AF222*W222)+$AG222</f>
        <v>115.9152377364011</v>
      </c>
      <c r="AO222">
        <f t="shared" ref="AO222:AO232" si="52">($AF222*X222)+$AG222</f>
        <v>116.02255208127997</v>
      </c>
      <c r="AP222">
        <f t="shared" ref="AP222:AP232" si="53">($AF222*Y222)+$AG222</f>
        <v>114.14717675346753</v>
      </c>
      <c r="AQ222">
        <f t="shared" ref="AQ222:AQ232" si="54">($AF222*Z222)+$AG222</f>
        <v>121.20327088848667</v>
      </c>
      <c r="AR222">
        <f t="shared" ref="AR222:AR232" si="55">($AF222*AA222)+$AG222</f>
        <v>121.9875506753979</v>
      </c>
      <c r="AS222">
        <f t="shared" ref="AS222:AS232" si="56">($AF222*AB222)+$AG222</f>
        <v>124.36724794335518</v>
      </c>
      <c r="AT222">
        <f t="shared" ref="AT222:AT232" si="57">($AF222*AC222)+$AG222</f>
        <v>115.47040505926147</v>
      </c>
      <c r="AU222">
        <f t="shared" ref="AU222:AU232" si="58">($AF222*AD222)+$AG222</f>
        <v>117.0952139084969</v>
      </c>
      <c r="AW222" s="43">
        <v>-2</v>
      </c>
      <c r="AX222">
        <f t="shared" si="35"/>
        <v>153.02424211220836</v>
      </c>
      <c r="AY222">
        <f t="shared" si="36"/>
        <v>47.002094598336413</v>
      </c>
      <c r="AZ222">
        <f t="shared" si="37"/>
        <v>47.939671685335249</v>
      </c>
      <c r="BA222">
        <f t="shared" si="38"/>
        <v>46.59002175900595</v>
      </c>
      <c r="BB222">
        <f t="shared" si="39"/>
        <v>47.249588907775326</v>
      </c>
      <c r="BC222">
        <f t="shared" si="40"/>
        <v>47.751801490422672</v>
      </c>
      <c r="BD222">
        <f t="shared" si="41"/>
        <v>39.034017287373914</v>
      </c>
      <c r="BE222">
        <f t="shared" si="42"/>
        <v>19.787966055817321</v>
      </c>
      <c r="BF222">
        <f t="shared" si="43"/>
        <v>13.17653919098572</v>
      </c>
      <c r="BG222">
        <f t="shared" si="44"/>
        <v>13.76189446352336</v>
      </c>
      <c r="BH222">
        <f t="shared" si="45"/>
        <v>12.656510189102905</v>
      </c>
      <c r="BI222">
        <f t="shared" si="46"/>
        <v>9.6897634179283507</v>
      </c>
    </row>
    <row r="223" spans="18:61" x14ac:dyDescent="0.3">
      <c r="R223" s="43">
        <v>-1</v>
      </c>
      <c r="S223">
        <v>1284967.4610000059</v>
      </c>
      <c r="T223">
        <v>464601.96599999309</v>
      </c>
      <c r="U223">
        <v>1692083.244000003</v>
      </c>
      <c r="V223">
        <v>1065555.930000006</v>
      </c>
      <c r="W223">
        <v>941024.44800000242</v>
      </c>
      <c r="X223">
        <v>598966.57799999113</v>
      </c>
      <c r="Y223">
        <v>300895.8600000029</v>
      </c>
      <c r="Z223">
        <v>2101105.596000025</v>
      </c>
      <c r="AA223">
        <v>2153540.1329999678</v>
      </c>
      <c r="AB223">
        <v>2613010.5120000192</v>
      </c>
      <c r="AC223">
        <v>1060024.4399999981</v>
      </c>
      <c r="AD223">
        <v>1717300.311</v>
      </c>
      <c r="AF223">
        <v>1.1068706840277212E-5</v>
      </c>
      <c r="AG223">
        <v>111.46043998867975</v>
      </c>
      <c r="AI223" s="43">
        <v>-1</v>
      </c>
      <c r="AJ223">
        <f t="shared" si="47"/>
        <v>125.68336811378416</v>
      </c>
      <c r="AK223">
        <f t="shared" si="48"/>
        <v>116.60298294775012</v>
      </c>
      <c r="AL223">
        <f t="shared" si="49"/>
        <v>130.18961336586105</v>
      </c>
      <c r="AM223">
        <f t="shared" si="50"/>
        <v>123.25476619976877</v>
      </c>
      <c r="AN223">
        <f t="shared" si="51"/>
        <v>121.87636373312546</v>
      </c>
      <c r="AO223">
        <f t="shared" si="52"/>
        <v>118.09022544768568</v>
      </c>
      <c r="AP223">
        <f t="shared" si="53"/>
        <v>114.79096805247288</v>
      </c>
      <c r="AQ223">
        <f t="shared" si="54"/>
        <v>134.71696187126997</v>
      </c>
      <c r="AR223">
        <f t="shared" si="55"/>
        <v>135.29734438962799</v>
      </c>
      <c r="AS223">
        <f t="shared" si="56"/>
        <v>140.38308731657062</v>
      </c>
      <c r="AT223">
        <f t="shared" si="57"/>
        <v>123.19353975856875</v>
      </c>
      <c r="AU223">
        <f t="shared" si="58"/>
        <v>130.46873368785563</v>
      </c>
      <c r="AW223" s="43">
        <v>-1</v>
      </c>
      <c r="AX223">
        <f t="shared" si="35"/>
        <v>165.42874544660592</v>
      </c>
      <c r="AY223">
        <f t="shared" si="36"/>
        <v>47.803781136335729</v>
      </c>
      <c r="AZ223">
        <f t="shared" si="37"/>
        <v>52.386265400602227</v>
      </c>
      <c r="BA223">
        <f t="shared" si="38"/>
        <v>49.152678946625549</v>
      </c>
      <c r="BB223">
        <f t="shared" si="39"/>
        <v>49.679474385068602</v>
      </c>
      <c r="BC223">
        <f t="shared" si="40"/>
        <v>48.602800941550676</v>
      </c>
      <c r="BD223">
        <f t="shared" si="41"/>
        <v>39.254169562792079</v>
      </c>
      <c r="BE223">
        <f t="shared" si="42"/>
        <v>21.994246930053382</v>
      </c>
      <c r="BF223">
        <f t="shared" si="43"/>
        <v>14.614202440460716</v>
      </c>
      <c r="BG223">
        <f t="shared" si="44"/>
        <v>15.53413188811702</v>
      </c>
      <c r="BH223">
        <f t="shared" si="45"/>
        <v>13.503029545845706</v>
      </c>
      <c r="BI223">
        <f t="shared" si="46"/>
        <v>10.796437537232967</v>
      </c>
    </row>
    <row r="224" spans="18:61" x14ac:dyDescent="0.3">
      <c r="R224" s="43">
        <v>0</v>
      </c>
      <c r="S224">
        <v>1735355.73</v>
      </c>
      <c r="T224">
        <v>502127.05800000113</v>
      </c>
      <c r="U224">
        <v>1765951.0350000011</v>
      </c>
      <c r="V224">
        <v>1143696.9570000011</v>
      </c>
      <c r="W224">
        <v>1221353.702999999</v>
      </c>
      <c r="X224">
        <v>680249.52299999516</v>
      </c>
      <c r="Y224">
        <v>376937.45399999741</v>
      </c>
      <c r="Z224">
        <v>2111429.6789999991</v>
      </c>
      <c r="AA224">
        <v>2048350.248000002</v>
      </c>
      <c r="AB224">
        <v>2578001.235000011</v>
      </c>
      <c r="AC224">
        <v>978907.02300001087</v>
      </c>
      <c r="AD224">
        <v>1595347.422000007</v>
      </c>
      <c r="AF224">
        <v>1.1068706840277212E-5</v>
      </c>
      <c r="AG224">
        <v>111.46043998867975</v>
      </c>
      <c r="AI224" s="43">
        <v>0</v>
      </c>
      <c r="AJ224">
        <f t="shared" si="47"/>
        <v>130.66858382764499</v>
      </c>
      <c r="AK224">
        <f t="shared" si="48"/>
        <v>117.01833719025264</v>
      </c>
      <c r="AL224">
        <f t="shared" si="49"/>
        <v>131.00723428937889</v>
      </c>
      <c r="AM224">
        <f t="shared" si="50"/>
        <v>124.1196863198299</v>
      </c>
      <c r="AN224">
        <f t="shared" si="51"/>
        <v>124.97924607547374</v>
      </c>
      <c r="AO224">
        <f t="shared" si="52"/>
        <v>118.98992253700511</v>
      </c>
      <c r="AP224">
        <f t="shared" si="53"/>
        <v>115.6326501641262</v>
      </c>
      <c r="AQ224">
        <f t="shared" si="54"/>
        <v>134.83123611939135</v>
      </c>
      <c r="AR224">
        <f t="shared" si="55"/>
        <v>134.1330283900009</v>
      </c>
      <c r="AS224">
        <f t="shared" si="56"/>
        <v>139.99557989276747</v>
      </c>
      <c r="AT224">
        <f t="shared" si="57"/>
        <v>122.29567485015538</v>
      </c>
      <c r="AU224">
        <f t="shared" si="58"/>
        <v>129.11887291118984</v>
      </c>
      <c r="AW224" s="43">
        <v>0</v>
      </c>
      <c r="AX224">
        <f t="shared" si="35"/>
        <v>171.99045678281141</v>
      </c>
      <c r="AY224">
        <f t="shared" si="36"/>
        <v>47.974064115387272</v>
      </c>
      <c r="AZ224">
        <f t="shared" si="37"/>
        <v>52.715263279842588</v>
      </c>
      <c r="BA224">
        <f t="shared" si="38"/>
        <v>49.497599814893938</v>
      </c>
      <c r="BB224">
        <f t="shared" si="39"/>
        <v>50.944277166550634</v>
      </c>
      <c r="BC224">
        <f t="shared" si="40"/>
        <v>48.973092372311442</v>
      </c>
      <c r="BD224">
        <f t="shared" si="41"/>
        <v>39.541993011704065</v>
      </c>
      <c r="BE224">
        <f t="shared" si="42"/>
        <v>22.012903645555397</v>
      </c>
      <c r="BF224">
        <f t="shared" si="43"/>
        <v>14.488438333264224</v>
      </c>
      <c r="BG224">
        <f t="shared" si="44"/>
        <v>15.491252139964679</v>
      </c>
      <c r="BH224">
        <f t="shared" si="45"/>
        <v>13.404616135448993</v>
      </c>
      <c r="BI224">
        <f t="shared" si="46"/>
        <v>10.684735007843049</v>
      </c>
    </row>
    <row r="225" spans="18:61" x14ac:dyDescent="0.3">
      <c r="R225" s="43">
        <v>1</v>
      </c>
      <c r="S225">
        <v>3120467.7660000022</v>
      </c>
      <c r="T225">
        <v>1234102.436999999</v>
      </c>
      <c r="U225">
        <v>3217302.9449999952</v>
      </c>
      <c r="V225">
        <v>2192398.2780000018</v>
      </c>
      <c r="W225">
        <v>2408247.6360000009</v>
      </c>
      <c r="X225">
        <v>1543665.503999996</v>
      </c>
      <c r="Y225">
        <v>1161019.998000002</v>
      </c>
      <c r="Z225">
        <v>3935362.442999993</v>
      </c>
      <c r="AA225">
        <v>4120480.8420000072</v>
      </c>
      <c r="AB225">
        <v>4839579.0749999881</v>
      </c>
      <c r="AC225">
        <v>1774984.55999999</v>
      </c>
      <c r="AD225">
        <v>2667306.8309999919</v>
      </c>
      <c r="AF225">
        <v>1.1068706840277212E-5</v>
      </c>
      <c r="AG225">
        <v>111.46043998867975</v>
      </c>
      <c r="AI225" s="43">
        <v>1</v>
      </c>
      <c r="AJ225">
        <f t="shared" si="47"/>
        <v>145.99998289506851</v>
      </c>
      <c r="AK225">
        <f t="shared" si="48"/>
        <v>125.12035807470441</v>
      </c>
      <c r="AL225">
        <f t="shared" si="49"/>
        <v>147.07182310324521</v>
      </c>
      <c r="AM225">
        <f t="shared" si="50"/>
        <v>135.72745380499035</v>
      </c>
      <c r="AN225">
        <f t="shared" si="51"/>
        <v>138.11662707035438</v>
      </c>
      <c r="AO225">
        <f t="shared" si="52"/>
        <v>128.54682091190449</v>
      </c>
      <c r="AP225">
        <f t="shared" si="53"/>
        <v>124.31142998224101</v>
      </c>
      <c r="AQ225">
        <f t="shared" si="54"/>
        <v>155.01981318048382</v>
      </c>
      <c r="AR225">
        <f t="shared" si="55"/>
        <v>157.06883446975644</v>
      </c>
      <c r="AS225">
        <f t="shared" si="56"/>
        <v>165.02832200019458</v>
      </c>
      <c r="AT225">
        <f t="shared" si="57"/>
        <v>131.10722372933807</v>
      </c>
      <c r="AU225">
        <f t="shared" si="58"/>
        <v>140.9840773540875</v>
      </c>
      <c r="AW225" s="43">
        <v>1</v>
      </c>
      <c r="AX225">
        <f t="shared" si="35"/>
        <v>192.17016832084883</v>
      </c>
      <c r="AY225">
        <f t="shared" si="36"/>
        <v>51.295653523575112</v>
      </c>
      <c r="AZ225">
        <f t="shared" si="37"/>
        <v>59.179402709996438</v>
      </c>
      <c r="BA225">
        <f t="shared" si="38"/>
        <v>54.126653003477578</v>
      </c>
      <c r="BB225">
        <f t="shared" si="39"/>
        <v>56.299361307813619</v>
      </c>
      <c r="BC225">
        <f t="shared" si="40"/>
        <v>52.906457962672135</v>
      </c>
      <c r="BD225">
        <f t="shared" si="41"/>
        <v>42.509807469220327</v>
      </c>
      <c r="BE225">
        <f t="shared" si="42"/>
        <v>25.308944046706802</v>
      </c>
      <c r="BF225">
        <f t="shared" si="43"/>
        <v>16.965859562016686</v>
      </c>
      <c r="BG225">
        <f t="shared" si="44"/>
        <v>18.261257593264695</v>
      </c>
      <c r="BH225">
        <f t="shared" si="45"/>
        <v>14.370434676692685</v>
      </c>
      <c r="BI225">
        <f t="shared" si="46"/>
        <v>11.666594300972433</v>
      </c>
    </row>
    <row r="226" spans="18:61" x14ac:dyDescent="0.3">
      <c r="R226" s="43">
        <v>2</v>
      </c>
      <c r="S226">
        <v>1933542.6599999929</v>
      </c>
      <c r="T226">
        <v>1653396.5399999931</v>
      </c>
      <c r="U226">
        <v>2844309.0689999959</v>
      </c>
      <c r="V226">
        <v>2113432.5840000012</v>
      </c>
      <c r="W226">
        <v>2192010.5519999941</v>
      </c>
      <c r="X226">
        <v>1478832.932999999</v>
      </c>
      <c r="Y226">
        <v>947244.48600000027</v>
      </c>
      <c r="Z226">
        <v>3058050.606000002</v>
      </c>
      <c r="AA226">
        <v>3381137.456999999</v>
      </c>
      <c r="AB226">
        <v>3766652.5530000022</v>
      </c>
      <c r="AC226">
        <v>1465156.206</v>
      </c>
      <c r="AD226">
        <v>2083347.6990000061</v>
      </c>
      <c r="AF226">
        <v>1.1068706840277212E-5</v>
      </c>
      <c r="AG226">
        <v>111.46043998867975</v>
      </c>
      <c r="AI226" s="43">
        <v>2</v>
      </c>
      <c r="AJ226">
        <f t="shared" si="47"/>
        <v>132.86225685538946</v>
      </c>
      <c r="AK226">
        <f t="shared" si="48"/>
        <v>129.76140158066835</v>
      </c>
      <c r="AL226">
        <f t="shared" si="49"/>
        <v>142.94326323658251</v>
      </c>
      <c r="AM226">
        <f t="shared" si="50"/>
        <v>134.85340568766532</v>
      </c>
      <c r="AN226">
        <f t="shared" si="51"/>
        <v>135.72316217956191</v>
      </c>
      <c r="AO226">
        <f t="shared" si="52"/>
        <v>127.82920818980405</v>
      </c>
      <c r="AP226">
        <f t="shared" si="53"/>
        <v>121.94521151028283</v>
      </c>
      <c r="AQ226">
        <f t="shared" si="54"/>
        <v>145.30910564922584</v>
      </c>
      <c r="AR226">
        <f t="shared" si="55"/>
        <v>148.88525928689313</v>
      </c>
      <c r="AS226">
        <f t="shared" si="56"/>
        <v>153.15241286701848</v>
      </c>
      <c r="AT226">
        <f t="shared" si="57"/>
        <v>127.67782450810657</v>
      </c>
      <c r="AU226">
        <f t="shared" si="58"/>
        <v>134.52040491527691</v>
      </c>
      <c r="AW226" s="43">
        <v>2</v>
      </c>
      <c r="AX226">
        <f t="shared" si="35"/>
        <v>174.87784421001089</v>
      </c>
      <c r="AY226">
        <f t="shared" si="36"/>
        <v>53.198344367279574</v>
      </c>
      <c r="AZ226">
        <f t="shared" si="37"/>
        <v>57.518134753930894</v>
      </c>
      <c r="BA226">
        <f t="shared" si="38"/>
        <v>53.778091987791193</v>
      </c>
      <c r="BB226">
        <f t="shared" si="39"/>
        <v>55.323732612539644</v>
      </c>
      <c r="BC226">
        <f t="shared" si="40"/>
        <v>52.61110762225956</v>
      </c>
      <c r="BD226">
        <f t="shared" si="41"/>
        <v>41.700650244599672</v>
      </c>
      <c r="BE226">
        <f t="shared" si="42"/>
        <v>23.723548292962704</v>
      </c>
      <c r="BF226">
        <f t="shared" si="43"/>
        <v>16.081907072419536</v>
      </c>
      <c r="BG226">
        <f t="shared" si="44"/>
        <v>16.947125369131207</v>
      </c>
      <c r="BH226">
        <f t="shared" si="45"/>
        <v>13.994544194939007</v>
      </c>
      <c r="BI226">
        <f t="shared" si="46"/>
        <v>11.131717984063345</v>
      </c>
    </row>
    <row r="227" spans="18:61" x14ac:dyDescent="0.3">
      <c r="R227" s="43">
        <v>3</v>
      </c>
      <c r="S227">
        <v>2456124.3419999979</v>
      </c>
      <c r="T227">
        <v>2807163.2819999978</v>
      </c>
      <c r="U227">
        <v>8639692.8240000438</v>
      </c>
      <c r="V227">
        <v>6831615.3060000539</v>
      </c>
      <c r="W227">
        <v>7596502.8930001054</v>
      </c>
      <c r="X227">
        <v>2982230.810999997</v>
      </c>
      <c r="Y227">
        <v>1660352.8140000009</v>
      </c>
      <c r="Z227">
        <v>5288378.574000001</v>
      </c>
      <c r="AA227">
        <v>6217390.3680000044</v>
      </c>
      <c r="AB227">
        <v>6671550.9149999954</v>
      </c>
      <c r="AC227">
        <v>2794283.943</v>
      </c>
      <c r="AD227">
        <v>3522158.0820000009</v>
      </c>
      <c r="AF227">
        <v>1.1068706840277212E-5</v>
      </c>
      <c r="AG227">
        <v>111.46043998867975</v>
      </c>
      <c r="AI227" s="43">
        <v>3</v>
      </c>
      <c r="AJ227">
        <f t="shared" si="47"/>
        <v>138.64656029354649</v>
      </c>
      <c r="AK227">
        <f t="shared" si="48"/>
        <v>142.53210740992816</v>
      </c>
      <c r="AL227">
        <f t="shared" si="49"/>
        <v>207.090667047583</v>
      </c>
      <c r="AM227">
        <f t="shared" si="50"/>
        <v>187.07758705634507</v>
      </c>
      <c r="AN227">
        <f t="shared" si="51"/>
        <v>195.54390352261566</v>
      </c>
      <c r="AO227">
        <f t="shared" si="52"/>
        <v>144.46987856568086</v>
      </c>
      <c r="AP227">
        <f t="shared" si="53"/>
        <v>129.83839853827507</v>
      </c>
      <c r="AQ227">
        <f t="shared" si="54"/>
        <v>169.99595208468901</v>
      </c>
      <c r="AR227">
        <f t="shared" si="55"/>
        <v>180.27891128363507</v>
      </c>
      <c r="AS227">
        <f t="shared" si="56"/>
        <v>185.30588123679789</v>
      </c>
      <c r="AT227">
        <f t="shared" si="57"/>
        <v>142.38954978224064</v>
      </c>
      <c r="AU227">
        <f t="shared" si="58"/>
        <v>150.44617524345082</v>
      </c>
      <c r="AW227" s="43">
        <v>3</v>
      </c>
      <c r="AX227">
        <f t="shared" si="35"/>
        <v>182.49134212479075</v>
      </c>
      <c r="AY227">
        <f t="shared" si="36"/>
        <v>58.433956793181437</v>
      </c>
      <c r="AZ227">
        <f t="shared" si="37"/>
        <v>83.330047347596107</v>
      </c>
      <c r="BA227">
        <f t="shared" si="38"/>
        <v>74.604535452903008</v>
      </c>
      <c r="BB227">
        <f t="shared" si="39"/>
        <v>79.70797658092377</v>
      </c>
      <c r="BC227">
        <f t="shared" si="40"/>
        <v>59.459965660649814</v>
      </c>
      <c r="BD227">
        <f t="shared" si="41"/>
        <v>44.399821679812284</v>
      </c>
      <c r="BE227">
        <f t="shared" si="42"/>
        <v>27.753988030348733</v>
      </c>
      <c r="BF227">
        <f t="shared" si="43"/>
        <v>19.472906265312282</v>
      </c>
      <c r="BG227">
        <f t="shared" si="44"/>
        <v>20.505076884973061</v>
      </c>
      <c r="BH227">
        <f t="shared" si="45"/>
        <v>15.607070804989434</v>
      </c>
      <c r="BI227">
        <f t="shared" si="46"/>
        <v>12.449593767174839</v>
      </c>
    </row>
    <row r="228" spans="18:61" ht="15" thickBot="1" x14ac:dyDescent="0.35">
      <c r="R228" s="43">
        <v>4</v>
      </c>
      <c r="S228">
        <v>2124476.7239999999</v>
      </c>
      <c r="T228">
        <v>7198499.9520000098</v>
      </c>
      <c r="U228">
        <v>5894887.0770000052</v>
      </c>
      <c r="V228">
        <v>4177668.339000002</v>
      </c>
      <c r="W228">
        <v>3592892.055000009</v>
      </c>
      <c r="X228">
        <v>3347870.867999997</v>
      </c>
      <c r="Y228">
        <v>1286682.9390000021</v>
      </c>
      <c r="Z228">
        <v>4341037.3919999991</v>
      </c>
      <c r="AA228">
        <v>5306591.2769999951</v>
      </c>
      <c r="AB228">
        <v>5423922.6179999877</v>
      </c>
      <c r="AC228">
        <v>2441222.030999999</v>
      </c>
      <c r="AD228">
        <v>3145195.7459999952</v>
      </c>
      <c r="AF228">
        <v>1.1068706840277212E-5</v>
      </c>
      <c r="AG228">
        <v>111.46043998867975</v>
      </c>
      <c r="AI228" s="43">
        <v>4</v>
      </c>
      <c r="AJ228">
        <f t="shared" si="47"/>
        <v>134.97565003562826</v>
      </c>
      <c r="AK228">
        <f t="shared" si="48"/>
        <v>191.13852564711743</v>
      </c>
      <c r="AL228">
        <f t="shared" si="49"/>
        <v>176.70921690053143</v>
      </c>
      <c r="AM228">
        <f t="shared" si="50"/>
        <v>157.70182610897862</v>
      </c>
      <c r="AN228">
        <f t="shared" si="51"/>
        <v>151.22910885423602</v>
      </c>
      <c r="AO228">
        <f t="shared" si="52"/>
        <v>148.51704116567612</v>
      </c>
      <c r="AP228">
        <f t="shared" si="53"/>
        <v>125.70235623685706</v>
      </c>
      <c r="AQ228">
        <f t="shared" si="54"/>
        <v>159.51011026340927</v>
      </c>
      <c r="AR228">
        <f t="shared" si="55"/>
        <v>170.19754315496499</v>
      </c>
      <c r="AS228">
        <f t="shared" si="56"/>
        <v>171.4962493716705</v>
      </c>
      <c r="AT228">
        <f t="shared" si="57"/>
        <v>138.48161098184488</v>
      </c>
      <c r="AU228">
        <f t="shared" si="58"/>
        <v>146.27368965644069</v>
      </c>
      <c r="AW228" s="43">
        <v>4</v>
      </c>
      <c r="AX228">
        <f t="shared" si="35"/>
        <v>177.65956455765308</v>
      </c>
      <c r="AY228">
        <f t="shared" si="36"/>
        <v>78.361153512265261</v>
      </c>
      <c r="AZ228">
        <f t="shared" si="37"/>
        <v>71.1050267064644</v>
      </c>
      <c r="BA228">
        <f t="shared" si="38"/>
        <v>62.889797019839214</v>
      </c>
      <c r="BB228">
        <f t="shared" si="39"/>
        <v>61.644295985496107</v>
      </c>
      <c r="BC228">
        <f t="shared" si="40"/>
        <v>61.12567031554353</v>
      </c>
      <c r="BD228">
        <f t="shared" si="41"/>
        <v>42.985451642053498</v>
      </c>
      <c r="BE228">
        <f t="shared" si="42"/>
        <v>26.042041805588362</v>
      </c>
      <c r="BF228">
        <f t="shared" si="43"/>
        <v>18.383962832062696</v>
      </c>
      <c r="BG228">
        <f t="shared" si="44"/>
        <v>18.976968002202319</v>
      </c>
      <c r="BH228">
        <f t="shared" si="45"/>
        <v>15.178728432584876</v>
      </c>
      <c r="BI228">
        <f t="shared" si="46"/>
        <v>12.10431579335058</v>
      </c>
    </row>
    <row r="229" spans="18:61" x14ac:dyDescent="0.3">
      <c r="R229" s="43">
        <v>5</v>
      </c>
      <c r="S229">
        <v>19634810.648999911</v>
      </c>
      <c r="T229">
        <v>72940279.689000294</v>
      </c>
      <c r="U229">
        <v>163669014.79200241</v>
      </c>
      <c r="V229">
        <v>106284998.90999921</v>
      </c>
      <c r="W229">
        <v>71343494.090999946</v>
      </c>
      <c r="X229">
        <v>86607377.084997833</v>
      </c>
      <c r="Y229">
        <v>2864704.9770000032</v>
      </c>
      <c r="Z229">
        <v>642293194.38900316</v>
      </c>
      <c r="AA229">
        <v>583361032.3230015</v>
      </c>
      <c r="AB229">
        <v>779582303.01300335</v>
      </c>
      <c r="AC229">
        <v>432337565.85599858</v>
      </c>
      <c r="AD229">
        <v>713992510.50599766</v>
      </c>
      <c r="AF229">
        <v>1.1068706840277212E-5</v>
      </c>
      <c r="AG229">
        <v>111.46043998867975</v>
      </c>
      <c r="AI229" s="81">
        <v>5</v>
      </c>
      <c r="AJ229" s="76">
        <f t="shared" si="47"/>
        <v>328.79240292681288</v>
      </c>
      <c r="AK229" s="49">
        <f t="shared" si="48"/>
        <v>918.81501271405023</v>
      </c>
      <c r="AL229" s="49">
        <f t="shared" si="49"/>
        <v>1923.0647835583491</v>
      </c>
      <c r="AM229" s="49">
        <f t="shared" si="50"/>
        <v>1287.8979344426441</v>
      </c>
      <c r="AN229" s="49">
        <f t="shared" si="51"/>
        <v>901.14066104300764</v>
      </c>
      <c r="AO229" s="49">
        <f t="shared" si="52"/>
        <v>1070.0921071478631</v>
      </c>
      <c r="AP229" s="49">
        <f t="shared" si="53"/>
        <v>143.16901956297585</v>
      </c>
      <c r="AQ229" s="49">
        <f t="shared" si="54"/>
        <v>7220.8155141857396</v>
      </c>
      <c r="AR229" s="49">
        <f t="shared" si="55"/>
        <v>6568.5126888134619</v>
      </c>
      <c r="AS229" s="49">
        <f t="shared" si="56"/>
        <v>8740.4284099077722</v>
      </c>
      <c r="AT229" s="49">
        <f t="shared" si="57"/>
        <v>4896.8782124877707</v>
      </c>
      <c r="AU229" s="50">
        <f t="shared" si="58"/>
        <v>8014.4342249331148</v>
      </c>
      <c r="AW229" s="47">
        <v>5</v>
      </c>
      <c r="AX229" s="76">
        <f t="shared" si="35"/>
        <v>432.76780010633939</v>
      </c>
      <c r="AY229" s="49">
        <f t="shared" si="36"/>
        <v>376.68703374633083</v>
      </c>
      <c r="AZ229" s="49">
        <f t="shared" si="37"/>
        <v>773.81120912412553</v>
      </c>
      <c r="BA229" s="49">
        <f t="shared" si="38"/>
        <v>513.59988452763173</v>
      </c>
      <c r="BB229" s="49">
        <f t="shared" si="39"/>
        <v>367.32466424465605</v>
      </c>
      <c r="BC229" s="49">
        <f t="shared" si="40"/>
        <v>440.42149530718325</v>
      </c>
      <c r="BD229" s="49">
        <f t="shared" si="41"/>
        <v>48.958389892615614</v>
      </c>
      <c r="BE229" s="49">
        <f t="shared" si="42"/>
        <v>1178.8894082032523</v>
      </c>
      <c r="BF229" s="49">
        <f t="shared" si="43"/>
        <v>709.50080062631162</v>
      </c>
      <c r="BG229" s="49">
        <f t="shared" si="44"/>
        <v>967.17468089281419</v>
      </c>
      <c r="BH229" s="49">
        <f t="shared" si="45"/>
        <v>536.73830068699931</v>
      </c>
      <c r="BI229" s="50">
        <f t="shared" si="46"/>
        <v>663.20363553744426</v>
      </c>
    </row>
    <row r="230" spans="18:61" x14ac:dyDescent="0.3">
      <c r="R230" s="43">
        <v>6</v>
      </c>
      <c r="S230">
        <v>31627656.093000062</v>
      </c>
      <c r="T230">
        <v>154805188.98599899</v>
      </c>
      <c r="U230">
        <v>266696860.03799811</v>
      </c>
      <c r="V230">
        <v>161942864.5139997</v>
      </c>
      <c r="W230">
        <v>124572196.2030011</v>
      </c>
      <c r="X230">
        <v>120527937.522001</v>
      </c>
      <c r="Y230">
        <v>12645782.604000039</v>
      </c>
      <c r="Z230">
        <v>713521504.12799907</v>
      </c>
      <c r="AA230">
        <v>1589317087.6949971</v>
      </c>
      <c r="AB230">
        <v>1100699328.5459981</v>
      </c>
      <c r="AC230">
        <v>67041460.959000319</v>
      </c>
      <c r="AD230">
        <v>293907672.2250011</v>
      </c>
      <c r="AF230">
        <v>1.1068706840277212E-5</v>
      </c>
      <c r="AG230">
        <v>111.46043998867975</v>
      </c>
      <c r="AI230" s="81">
        <v>6</v>
      </c>
      <c r="AJ230" s="77">
        <f t="shared" si="47"/>
        <v>461.53769332720475</v>
      </c>
      <c r="AK230" s="26">
        <f t="shared" si="48"/>
        <v>1824.9536942284133</v>
      </c>
      <c r="AL230" s="26">
        <f t="shared" si="49"/>
        <v>3063.4497989717238</v>
      </c>
      <c r="AM230" s="26">
        <f t="shared" si="50"/>
        <v>1903.9585321688739</v>
      </c>
      <c r="AN230" s="26">
        <f t="shared" si="51"/>
        <v>1490.3135602091929</v>
      </c>
      <c r="AO230" s="26">
        <f t="shared" si="52"/>
        <v>1445.5488464829566</v>
      </c>
      <c r="AP230" s="26">
        <f t="shared" si="53"/>
        <v>251.43290039823356</v>
      </c>
      <c r="AQ230" s="26">
        <f t="shared" si="54"/>
        <v>8009.2207934151475</v>
      </c>
      <c r="AR230" s="26">
        <f t="shared" si="55"/>
        <v>17703.145359927752</v>
      </c>
      <c r="AS230" s="26">
        <f t="shared" si="56"/>
        <v>12294.778626954303</v>
      </c>
      <c r="AT230" s="26">
        <f t="shared" si="57"/>
        <v>853.52271748774433</v>
      </c>
      <c r="AU230" s="52">
        <f t="shared" si="58"/>
        <v>3364.6383019555019</v>
      </c>
      <c r="AW230" s="47">
        <v>6</v>
      </c>
      <c r="AX230" s="77">
        <f t="shared" si="35"/>
        <v>607.4916890699244</v>
      </c>
      <c r="AY230" s="26">
        <f t="shared" si="36"/>
        <v>748.17714587914611</v>
      </c>
      <c r="AZ230" s="26">
        <f t="shared" si="37"/>
        <v>1232.6843137582957</v>
      </c>
      <c r="BA230" s="26">
        <f t="shared" si="38"/>
        <v>759.27824411840606</v>
      </c>
      <c r="BB230" s="26">
        <f t="shared" si="39"/>
        <v>607.48443810036144</v>
      </c>
      <c r="BC230" s="26">
        <f t="shared" si="40"/>
        <v>594.94951906941458</v>
      </c>
      <c r="BD230" s="26">
        <f t="shared" si="41"/>
        <v>85.980542488196676</v>
      </c>
      <c r="BE230" s="26">
        <f t="shared" si="42"/>
        <v>1307.6065359610698</v>
      </c>
      <c r="BF230" s="26">
        <f t="shared" si="43"/>
        <v>1912.2130688525208</v>
      </c>
      <c r="BG230" s="26">
        <f t="shared" si="44"/>
        <v>1360.482351379135</v>
      </c>
      <c r="BH230" s="26">
        <f t="shared" si="45"/>
        <v>93.553140001287261</v>
      </c>
      <c r="BI230" s="52">
        <f t="shared" si="46"/>
        <v>278.42768328965161</v>
      </c>
    </row>
    <row r="231" spans="18:61" x14ac:dyDescent="0.3">
      <c r="R231" s="43">
        <v>7</v>
      </c>
      <c r="S231">
        <v>20453505.523499999</v>
      </c>
      <c r="T231">
        <v>183107315.98890001</v>
      </c>
      <c r="U231">
        <v>714747296.6085</v>
      </c>
      <c r="V231">
        <v>509816463.34559989</v>
      </c>
      <c r="W231">
        <v>306665770.09769988</v>
      </c>
      <c r="X231">
        <v>425094072.22139931</v>
      </c>
      <c r="Y231">
        <v>70583484.732899994</v>
      </c>
      <c r="Z231">
        <v>3788552878.7391</v>
      </c>
      <c r="AA231">
        <v>4359971510.9403</v>
      </c>
      <c r="AB231">
        <v>4887507597.7367992</v>
      </c>
      <c r="AC231">
        <v>2349538307.3498998</v>
      </c>
      <c r="AD231">
        <v>2683839744.1377001</v>
      </c>
      <c r="AF231">
        <v>1.1068706840277212E-5</v>
      </c>
      <c r="AG231">
        <v>111.46043998867975</v>
      </c>
      <c r="AI231" s="81">
        <v>7</v>
      </c>
      <c r="AJ231" s="77">
        <f t="shared" si="47"/>
        <v>337.85429648429192</v>
      </c>
      <c r="AK231" s="26">
        <f t="shared" si="48"/>
        <v>2138.2216409798179</v>
      </c>
      <c r="AL231" s="26">
        <f t="shared" si="49"/>
        <v>8022.7887310288288</v>
      </c>
      <c r="AM231" s="26">
        <f t="shared" si="50"/>
        <v>5754.4694151080575</v>
      </c>
      <c r="AN231" s="26">
        <f t="shared" si="51"/>
        <v>3505.8539471479694</v>
      </c>
      <c r="AO231" s="26">
        <f t="shared" si="52"/>
        <v>4816.7021049469768</v>
      </c>
      <c r="AP231" s="26">
        <f t="shared" si="53"/>
        <v>892.72834026233204</v>
      </c>
      <c r="AQ231" s="26">
        <f t="shared" si="54"/>
        <v>42045.841603640081</v>
      </c>
      <c r="AR231" s="26">
        <f t="shared" si="55"/>
        <v>48370.706926547347</v>
      </c>
      <c r="AS231" s="26">
        <f t="shared" si="56"/>
        <v>54209.849218964831</v>
      </c>
      <c r="AT231" s="26">
        <f t="shared" si="57"/>
        <v>26117.811174045859</v>
      </c>
      <c r="AU231" s="52">
        <f t="shared" si="58"/>
        <v>29818.095774133482</v>
      </c>
      <c r="AW231" s="47">
        <v>7</v>
      </c>
      <c r="AX231" s="77">
        <f t="shared" si="35"/>
        <v>444.6953741766593</v>
      </c>
      <c r="AY231" s="26">
        <f t="shared" si="36"/>
        <v>876.60775704321827</v>
      </c>
      <c r="AZ231" s="26">
        <f t="shared" si="37"/>
        <v>3228.2447796779911</v>
      </c>
      <c r="BA231" s="26">
        <f t="shared" si="38"/>
        <v>2294.8206904270864</v>
      </c>
      <c r="BB231" s="26">
        <f t="shared" si="39"/>
        <v>1429.0628308086848</v>
      </c>
      <c r="BC231" s="26">
        <f t="shared" si="40"/>
        <v>1982.4266802267675</v>
      </c>
      <c r="BD231" s="26">
        <f t="shared" si="41"/>
        <v>305.27932847598811</v>
      </c>
      <c r="BE231" s="26">
        <f t="shared" si="42"/>
        <v>6864.5151268779418</v>
      </c>
      <c r="BF231" s="26">
        <f t="shared" si="43"/>
        <v>5224.7832830852649</v>
      </c>
      <c r="BG231" s="26">
        <f t="shared" si="44"/>
        <v>5998.6068371851261</v>
      </c>
      <c r="BH231" s="26">
        <f t="shared" si="45"/>
        <v>2862.7278398454364</v>
      </c>
      <c r="BI231" s="52">
        <f t="shared" si="46"/>
        <v>2467.4816671009694</v>
      </c>
    </row>
    <row r="232" spans="18:61" ht="15" thickBot="1" x14ac:dyDescent="0.35">
      <c r="R232" s="25" t="s">
        <v>108</v>
      </c>
      <c r="S232" s="11">
        <v>1953241.0608000008</v>
      </c>
      <c r="T232" s="11">
        <v>2917591.4726999975</v>
      </c>
      <c r="U232" s="11">
        <v>12035015.195100006</v>
      </c>
      <c r="V232" s="11">
        <v>2654299.8428999991</v>
      </c>
      <c r="W232" s="11">
        <v>2020023.4037999995</v>
      </c>
      <c r="X232" s="11">
        <v>2092823.2316999985</v>
      </c>
      <c r="Y232" s="11">
        <v>3843125.9796000021</v>
      </c>
      <c r="Z232" s="11">
        <v>5882654.5746000009</v>
      </c>
      <c r="AA232" s="11">
        <v>14582559.95580001</v>
      </c>
      <c r="AB232" s="11">
        <v>7423777.9362000031</v>
      </c>
      <c r="AC232" s="11">
        <v>3585008.8764000018</v>
      </c>
      <c r="AD232" s="11">
        <v>3586394.6322000003</v>
      </c>
      <c r="AF232" s="11">
        <v>1.1068706840277212E-5</v>
      </c>
      <c r="AG232" s="11">
        <v>111.46043998867975</v>
      </c>
      <c r="AI232" s="11" t="s">
        <v>108</v>
      </c>
      <c r="AJ232" s="78">
        <f t="shared" si="47"/>
        <v>133.08029267906704</v>
      </c>
      <c r="AK232" s="56">
        <f t="shared" si="48"/>
        <v>143.75440467968866</v>
      </c>
      <c r="AL232" s="56">
        <f t="shared" si="49"/>
        <v>244.67249500152337</v>
      </c>
      <c r="AM232" s="56">
        <f t="shared" si="50"/>
        <v>140.84010681593369</v>
      </c>
      <c r="AN232" s="56">
        <f t="shared" si="51"/>
        <v>133.81948685584086</v>
      </c>
      <c r="AO232" s="56">
        <f t="shared" si="52"/>
        <v>134.62528680888857</v>
      </c>
      <c r="AP232" s="56">
        <f t="shared" si="53"/>
        <v>153.99887480712536</v>
      </c>
      <c r="AQ232" s="56">
        <f t="shared" si="54"/>
        <v>176.57381891754281</v>
      </c>
      <c r="AR232" s="56">
        <f t="shared" si="55"/>
        <v>272.87052112019592</v>
      </c>
      <c r="AS232" s="56">
        <f t="shared" si="56"/>
        <v>193.63206161179576</v>
      </c>
      <c r="AT232" s="56">
        <f t="shared" si="57"/>
        <v>151.14185226134299</v>
      </c>
      <c r="AU232" s="57">
        <f t="shared" si="58"/>
        <v>151.15719078604536</v>
      </c>
      <c r="AW232" s="11" t="s">
        <v>108</v>
      </c>
      <c r="AX232" s="78">
        <f t="shared" si="35"/>
        <v>175.16483041442854</v>
      </c>
      <c r="AY232" s="56">
        <f t="shared" si="36"/>
        <v>58.935062594165572</v>
      </c>
      <c r="AZ232" s="56">
        <f t="shared" si="37"/>
        <v>98.452387467788469</v>
      </c>
      <c r="BA232" s="56">
        <f t="shared" si="38"/>
        <v>56.165524194917708</v>
      </c>
      <c r="BB232" s="56">
        <f t="shared" si="39"/>
        <v>54.547752868925237</v>
      </c>
      <c r="BC232" s="56">
        <f t="shared" si="40"/>
        <v>55.408193113918827</v>
      </c>
      <c r="BD232" s="56">
        <f t="shared" si="41"/>
        <v>52.661790789975498</v>
      </c>
      <c r="BE232" s="56">
        <f t="shared" si="42"/>
        <v>28.827907939061046</v>
      </c>
      <c r="BF232" s="56">
        <f t="shared" si="43"/>
        <v>29.474229916890085</v>
      </c>
      <c r="BG232" s="56">
        <f t="shared" si="44"/>
        <v>21.426412827512927</v>
      </c>
      <c r="BH232" s="56">
        <f t="shared" si="45"/>
        <v>16.566395451404407</v>
      </c>
      <c r="BI232" s="57">
        <f t="shared" si="46"/>
        <v>12.508431119823555</v>
      </c>
    </row>
    <row r="234" spans="18:61" x14ac:dyDescent="0.3">
      <c r="R234" s="58" t="s">
        <v>109</v>
      </c>
      <c r="S234" s="12">
        <f>SUM(S229:S232)</f>
        <v>73669213.326299965</v>
      </c>
      <c r="T234" s="12">
        <f t="shared" ref="T234:AD234" si="59">SUM(T229:T232)</f>
        <v>413770376.1365993</v>
      </c>
      <c r="U234" s="12">
        <f t="shared" si="59"/>
        <v>1157148186.6336005</v>
      </c>
      <c r="V234" s="12">
        <f t="shared" si="59"/>
        <v>780698626.61249876</v>
      </c>
      <c r="W234" s="12">
        <f t="shared" si="59"/>
        <v>504601483.79550093</v>
      </c>
      <c r="X234" s="12">
        <f t="shared" si="59"/>
        <v>634322210.06009805</v>
      </c>
      <c r="Y234" s="12">
        <f t="shared" si="59"/>
        <v>89937098.293500036</v>
      </c>
      <c r="Z234" s="12">
        <f t="shared" si="59"/>
        <v>5150250231.8307018</v>
      </c>
      <c r="AA234" s="12">
        <f t="shared" si="59"/>
        <v>6547232190.9140987</v>
      </c>
      <c r="AB234" s="12">
        <f t="shared" si="59"/>
        <v>6775213007.2320013</v>
      </c>
      <c r="AC234" s="12">
        <f t="shared" si="59"/>
        <v>2852502343.0412989</v>
      </c>
      <c r="AD234" s="12">
        <f t="shared" si="59"/>
        <v>3695326321.5008988</v>
      </c>
      <c r="AE234" s="12"/>
      <c r="AF234" s="12"/>
      <c r="AG234" s="12"/>
      <c r="AH234" s="12"/>
      <c r="AI234" s="12"/>
      <c r="AJ234" s="12">
        <f>SUM(AJ229:AJ232)</f>
        <v>1261.2646854173768</v>
      </c>
      <c r="AK234" s="12">
        <f t="shared" ref="AK234:AU234" si="60">SUM(AK229:AK232)</f>
        <v>5025.7447526019696</v>
      </c>
      <c r="AL234" s="12">
        <f t="shared" si="60"/>
        <v>13253.975808560426</v>
      </c>
      <c r="AM234" s="12">
        <f t="shared" si="60"/>
        <v>9087.1659885355075</v>
      </c>
      <c r="AN234" s="12">
        <f t="shared" si="60"/>
        <v>6031.1276552560112</v>
      </c>
      <c r="AO234" s="12">
        <f t="shared" si="60"/>
        <v>7466.9683453866855</v>
      </c>
      <c r="AP234" s="12">
        <f t="shared" si="60"/>
        <v>1441.3291350306667</v>
      </c>
      <c r="AQ234" s="12">
        <f t="shared" si="60"/>
        <v>57452.451730158515</v>
      </c>
      <c r="AR234" s="12">
        <f t="shared" si="60"/>
        <v>72915.235496408772</v>
      </c>
      <c r="AS234" s="12">
        <f t="shared" si="60"/>
        <v>75438.688317438704</v>
      </c>
      <c r="AT234" s="12">
        <f t="shared" si="60"/>
        <v>32019.353956282717</v>
      </c>
      <c r="AU234" s="12">
        <f t="shared" si="60"/>
        <v>41348.325491808151</v>
      </c>
      <c r="AV234" s="12"/>
      <c r="AW234" s="12"/>
      <c r="AX234" s="12">
        <f>SUM(AX229:AX232)</f>
        <v>1660.1196937673515</v>
      </c>
      <c r="AY234" s="12">
        <f t="shared" ref="AY234:BI234" si="61">SUM(AY229:AY232)</f>
        <v>2060.4069992628606</v>
      </c>
      <c r="AZ234" s="12">
        <f t="shared" si="61"/>
        <v>5333.1926900282015</v>
      </c>
      <c r="BA234" s="12">
        <f t="shared" si="61"/>
        <v>3623.8643432680424</v>
      </c>
      <c r="BB234" s="12">
        <f t="shared" si="61"/>
        <v>2458.4196860226275</v>
      </c>
      <c r="BC234" s="12">
        <f t="shared" si="61"/>
        <v>3073.2058877172844</v>
      </c>
      <c r="BD234" s="12">
        <f t="shared" si="61"/>
        <v>492.88005164677588</v>
      </c>
      <c r="BE234" s="12">
        <f t="shared" si="61"/>
        <v>9379.8389789813245</v>
      </c>
      <c r="BF234" s="12">
        <f t="shared" si="61"/>
        <v>7875.9713824809878</v>
      </c>
      <c r="BG234" s="12">
        <f t="shared" si="61"/>
        <v>8347.6902822845877</v>
      </c>
      <c r="BH234" s="12">
        <f t="shared" si="61"/>
        <v>3509.5856759851272</v>
      </c>
      <c r="BI234" s="21">
        <f t="shared" si="61"/>
        <v>3421.6214170478888</v>
      </c>
    </row>
    <row r="235" spans="18:61" x14ac:dyDescent="0.3">
      <c r="R235" s="62" t="s">
        <v>110</v>
      </c>
      <c r="S235" s="79">
        <f>SUM(S229:S232)/SUM(S220:S232)</f>
        <v>0.8381347965439363</v>
      </c>
      <c r="T235" s="79">
        <f t="shared" ref="T235:AD235" si="62">SUM(T229:T232)/SUM(T220:T232)</f>
        <v>0.96431487284779371</v>
      </c>
      <c r="U235" s="79">
        <f t="shared" si="62"/>
        <v>0.97804419523081343</v>
      </c>
      <c r="V235" s="79">
        <f t="shared" si="62"/>
        <v>0.97592409127731761</v>
      </c>
      <c r="W235" s="79">
        <f t="shared" si="62"/>
        <v>0.96278174957956819</v>
      </c>
      <c r="X235" s="79">
        <f t="shared" si="62"/>
        <v>0.98111970091300116</v>
      </c>
      <c r="Y235" s="79">
        <f t="shared" si="62"/>
        <v>0.9266384580066902</v>
      </c>
      <c r="Z235" s="79">
        <f t="shared" si="62"/>
        <v>0.99554942465752083</v>
      </c>
      <c r="AA235" s="79">
        <f t="shared" si="62"/>
        <v>0.99609506632706968</v>
      </c>
      <c r="AB235" s="79">
        <f t="shared" si="62"/>
        <v>0.99578966056159046</v>
      </c>
      <c r="AC235" s="79">
        <f t="shared" si="62"/>
        <v>0.99600021024813479</v>
      </c>
      <c r="AD235" s="79">
        <f t="shared" si="62"/>
        <v>0.9957271946729338</v>
      </c>
      <c r="AE235" s="11"/>
      <c r="AF235" s="11"/>
      <c r="AG235" s="11"/>
      <c r="AH235" s="11"/>
      <c r="AI235" s="11"/>
      <c r="AJ235" s="79">
        <f>SUM(AJ229:AJ232)/(SUM(AJ222:AJ232))</f>
        <v>0.576878720581948</v>
      </c>
      <c r="AK235" s="79">
        <f t="shared" ref="AK235:AU235" si="63">SUM(AK229:AK232)/(SUM(AK222:AK232))</f>
        <v>0.84288287526108985</v>
      </c>
      <c r="AL235" s="79">
        <f t="shared" si="63"/>
        <v>0.92632502868405142</v>
      </c>
      <c r="AM235" s="79">
        <f t="shared" si="63"/>
        <v>0.90269298396299613</v>
      </c>
      <c r="AN235" s="79">
        <f t="shared" si="63"/>
        <v>0.85980724722034085</v>
      </c>
      <c r="AO235" s="79">
        <f t="shared" si="63"/>
        <v>0.89217124485177846</v>
      </c>
      <c r="AP235" s="79">
        <f t="shared" si="63"/>
        <v>0.63003489075266417</v>
      </c>
      <c r="AQ235" s="79">
        <f t="shared" si="63"/>
        <v>0.98254603349134206</v>
      </c>
      <c r="AR235" s="79">
        <f t="shared" si="63"/>
        <v>0.98583281800279199</v>
      </c>
      <c r="AS235" s="79">
        <f t="shared" si="63"/>
        <v>0.98588929539349213</v>
      </c>
      <c r="AT235" s="79">
        <f t="shared" si="63"/>
        <v>0.97264226442026713</v>
      </c>
      <c r="AU235" s="79">
        <f t="shared" si="63"/>
        <v>0.97756573874900998</v>
      </c>
      <c r="AV235" s="79"/>
      <c r="AW235" s="79"/>
      <c r="AX235" s="79">
        <f>SUM(AX229:AX232)/(SUM(AX222:AX232))</f>
        <v>0.57687872058194789</v>
      </c>
      <c r="AY235" s="79">
        <f t="shared" ref="AY235:BI235" si="64">SUM(AY229:AY232)/(SUM(AY222:AY232))</f>
        <v>0.84288287526108985</v>
      </c>
      <c r="AZ235" s="79">
        <f t="shared" si="64"/>
        <v>0.92632502868405142</v>
      </c>
      <c r="BA235" s="79">
        <f t="shared" si="64"/>
        <v>0.90269298396299613</v>
      </c>
      <c r="BB235" s="79">
        <f t="shared" si="64"/>
        <v>0.85980724722034085</v>
      </c>
      <c r="BC235" s="79">
        <f t="shared" si="64"/>
        <v>0.89217124485177857</v>
      </c>
      <c r="BD235" s="79">
        <f t="shared" si="64"/>
        <v>0.63003489075266428</v>
      </c>
      <c r="BE235" s="79">
        <f t="shared" si="64"/>
        <v>0.98254603349134195</v>
      </c>
      <c r="BF235" s="79">
        <f t="shared" si="64"/>
        <v>0.98583281800279199</v>
      </c>
      <c r="BG235" s="79">
        <f t="shared" si="64"/>
        <v>0.98588929539349202</v>
      </c>
      <c r="BH235" s="79">
        <f t="shared" si="64"/>
        <v>0.97264226442026713</v>
      </c>
      <c r="BI235" s="80">
        <f t="shared" si="64"/>
        <v>0.97756573874900987</v>
      </c>
    </row>
    <row r="237" spans="18:61" x14ac:dyDescent="0.3">
      <c r="S237" s="82" t="s">
        <v>42</v>
      </c>
      <c r="T237" s="1">
        <v>26</v>
      </c>
      <c r="U237" s="1">
        <v>28</v>
      </c>
      <c r="V237" s="1">
        <v>30</v>
      </c>
      <c r="W237" s="1">
        <v>32</v>
      </c>
      <c r="X237" s="1">
        <v>34</v>
      </c>
      <c r="Y237" s="1">
        <v>36</v>
      </c>
      <c r="Z237" s="1">
        <v>38</v>
      </c>
      <c r="AA237" s="1">
        <v>40</v>
      </c>
      <c r="AB237" s="1">
        <v>42</v>
      </c>
      <c r="AC237" s="1">
        <v>44</v>
      </c>
      <c r="AD237" s="1">
        <v>46</v>
      </c>
      <c r="AE237" s="1">
        <v>48</v>
      </c>
    </row>
    <row r="238" spans="18:61" x14ac:dyDescent="0.3">
      <c r="S238" s="42" t="s">
        <v>112</v>
      </c>
      <c r="T238" s="64">
        <v>0.1</v>
      </c>
      <c r="U238" s="83">
        <v>0.99722222222222223</v>
      </c>
      <c r="V238" s="83">
        <v>2.1783333333333332</v>
      </c>
      <c r="W238" s="83">
        <v>3.3541666666666665</v>
      </c>
      <c r="X238" s="83">
        <v>4.3902777777777775</v>
      </c>
      <c r="Y238" s="83">
        <v>5.4672222222222224</v>
      </c>
      <c r="Z238" s="83">
        <v>6.6483333333333334</v>
      </c>
      <c r="AA238" s="83">
        <v>24.337777777777777</v>
      </c>
      <c r="AB238" s="83">
        <v>48.573333333333331</v>
      </c>
      <c r="AC238" s="83">
        <v>72.424166666666665</v>
      </c>
      <c r="AD238" s="83">
        <v>96.613055555555562</v>
      </c>
      <c r="AE238" s="83">
        <v>168.55722222222221</v>
      </c>
    </row>
    <row r="239" spans="18:61" ht="57.6" x14ac:dyDescent="0.3">
      <c r="S239" s="84" t="s">
        <v>113</v>
      </c>
      <c r="T239" s="85">
        <v>1660.1196937673515</v>
      </c>
      <c r="U239" s="85">
        <v>2060.4069992628606</v>
      </c>
      <c r="V239" s="85">
        <v>5333.1926900282015</v>
      </c>
      <c r="W239" s="85">
        <v>3623.8643432680424</v>
      </c>
      <c r="X239" s="85">
        <v>2458.4196860226275</v>
      </c>
      <c r="Y239" s="85">
        <v>3073.2058877172844</v>
      </c>
      <c r="Z239" s="85">
        <v>492.88005164677588</v>
      </c>
      <c r="AA239" s="85">
        <v>9379.8389789813245</v>
      </c>
      <c r="AB239" s="85">
        <v>7875.9713824809878</v>
      </c>
      <c r="AC239" s="85">
        <v>8347.6902822845877</v>
      </c>
      <c r="AD239" s="85">
        <v>3509.5856759851272</v>
      </c>
      <c r="AE239" s="85">
        <v>3421.6214170478888</v>
      </c>
    </row>
  </sheetData>
  <mergeCells count="152">
    <mergeCell ref="R217:AD217"/>
    <mergeCell ref="AF217:AG219"/>
    <mergeCell ref="AI217:AU217"/>
    <mergeCell ref="S219:AD219"/>
    <mergeCell ref="AJ219:AU219"/>
    <mergeCell ref="AX219:BI219"/>
    <mergeCell ref="AX179:BI179"/>
    <mergeCell ref="R174:BI176"/>
    <mergeCell ref="S205:U206"/>
    <mergeCell ref="R197:AU197"/>
    <mergeCell ref="R203:S203"/>
    <mergeCell ref="R213:BI215"/>
    <mergeCell ref="T168:AE168"/>
    <mergeCell ref="R177:AD177"/>
    <mergeCell ref="AF177:AG179"/>
    <mergeCell ref="AI177:AU177"/>
    <mergeCell ref="S179:AD179"/>
    <mergeCell ref="AJ179:AU179"/>
    <mergeCell ref="AZ156:AZ163"/>
    <mergeCell ref="BQ156:BQ163"/>
    <mergeCell ref="BR156:BR163"/>
    <mergeCell ref="AM156:AM163"/>
    <mergeCell ref="BS156:BS163"/>
    <mergeCell ref="S138:BB138"/>
    <mergeCell ref="S165:AE165"/>
    <mergeCell ref="AT156:AT163"/>
    <mergeCell ref="AU156:AU163"/>
    <mergeCell ref="AV156:AV163"/>
    <mergeCell ref="AW156:AW163"/>
    <mergeCell ref="AX156:AX163"/>
    <mergeCell ref="AY156:AY163"/>
    <mergeCell ref="AN156:AN163"/>
    <mergeCell ref="AO156:AO163"/>
    <mergeCell ref="AP156:AP163"/>
    <mergeCell ref="AQ156:AQ163"/>
    <mergeCell ref="AR156:AR163"/>
    <mergeCell ref="AS156:AS163"/>
    <mergeCell ref="BQ153:BQ155"/>
    <mergeCell ref="BR153:BR155"/>
    <mergeCell ref="BS153:BS155"/>
    <mergeCell ref="AG156:AG163"/>
    <mergeCell ref="AH156:AH163"/>
    <mergeCell ref="AI156:AI163"/>
    <mergeCell ref="AJ156:AJ163"/>
    <mergeCell ref="AK156:AK163"/>
    <mergeCell ref="AL156:AL163"/>
    <mergeCell ref="AU153:AU155"/>
    <mergeCell ref="AV153:AV155"/>
    <mergeCell ref="AW153:AW155"/>
    <mergeCell ref="AX153:AX155"/>
    <mergeCell ref="AY153:AY155"/>
    <mergeCell ref="AZ153:AZ155"/>
    <mergeCell ref="AO153:AO155"/>
    <mergeCell ref="AP153:AP155"/>
    <mergeCell ref="AQ153:AQ155"/>
    <mergeCell ref="AR153:AR155"/>
    <mergeCell ref="AS153:AS155"/>
    <mergeCell ref="AT153:AT155"/>
    <mergeCell ref="AK143:AK145"/>
    <mergeCell ref="AL143:AL145"/>
    <mergeCell ref="BR146:BR152"/>
    <mergeCell ref="BS146:BS152"/>
    <mergeCell ref="AG153:AG155"/>
    <mergeCell ref="AH153:AH155"/>
    <mergeCell ref="AI153:AI155"/>
    <mergeCell ref="AJ153:AJ155"/>
    <mergeCell ref="AK153:AK155"/>
    <mergeCell ref="AL153:AL155"/>
    <mergeCell ref="AM153:AM155"/>
    <mergeCell ref="AN153:AN155"/>
    <mergeCell ref="AV146:AV152"/>
    <mergeCell ref="AW146:AW152"/>
    <mergeCell ref="AX146:AX152"/>
    <mergeCell ref="AY146:AY152"/>
    <mergeCell ref="AZ146:AZ152"/>
    <mergeCell ref="BQ146:BQ152"/>
    <mergeCell ref="AP146:AP152"/>
    <mergeCell ref="AQ146:AQ152"/>
    <mergeCell ref="AR146:AR152"/>
    <mergeCell ref="AS146:AS152"/>
    <mergeCell ref="AT146:AT152"/>
    <mergeCell ref="AU146:AU152"/>
    <mergeCell ref="AX143:AX145"/>
    <mergeCell ref="AY143:AY145"/>
    <mergeCell ref="AZ143:AZ145"/>
    <mergeCell ref="BQ143:BQ145"/>
    <mergeCell ref="BR143:BR145"/>
    <mergeCell ref="AQ143:AQ145"/>
    <mergeCell ref="AR143:AR145"/>
    <mergeCell ref="AS143:AS145"/>
    <mergeCell ref="AT143:AT145"/>
    <mergeCell ref="AU143:AU145"/>
    <mergeCell ref="AV143:AV145"/>
    <mergeCell ref="AM143:AM145"/>
    <mergeCell ref="AN143:AN145"/>
    <mergeCell ref="AO143:AO145"/>
    <mergeCell ref="AP143:AP145"/>
    <mergeCell ref="W141:AF141"/>
    <mergeCell ref="AG141:AP141"/>
    <mergeCell ref="AQ141:AZ141"/>
    <mergeCell ref="BU141:BY143"/>
    <mergeCell ref="R143:R163"/>
    <mergeCell ref="AG143:AG145"/>
    <mergeCell ref="AH143:AH145"/>
    <mergeCell ref="AI143:AI145"/>
    <mergeCell ref="AJ143:AJ145"/>
    <mergeCell ref="BS143:BS145"/>
    <mergeCell ref="AG146:AG152"/>
    <mergeCell ref="AH146:AH152"/>
    <mergeCell ref="AI146:AI152"/>
    <mergeCell ref="AJ146:AJ152"/>
    <mergeCell ref="AK146:AK152"/>
    <mergeCell ref="AL146:AL152"/>
    <mergeCell ref="AM146:AM152"/>
    <mergeCell ref="AN146:AN152"/>
    <mergeCell ref="AO146:AO152"/>
    <mergeCell ref="AW143:AW145"/>
    <mergeCell ref="AV129:AV136"/>
    <mergeCell ref="R116:R136"/>
    <mergeCell ref="AV116:AV118"/>
    <mergeCell ref="AV119:AV125"/>
    <mergeCell ref="AV126:AV128"/>
    <mergeCell ref="W115:AF115"/>
    <mergeCell ref="AK115:AU115"/>
    <mergeCell ref="AV113:AV114"/>
    <mergeCell ref="R84:AM84"/>
    <mergeCell ref="AG113:AH113"/>
    <mergeCell ref="AU113:AU114"/>
    <mergeCell ref="R112:AV112"/>
    <mergeCell ref="W75:X75"/>
    <mergeCell ref="W76:X76"/>
    <mergeCell ref="W78:X78"/>
    <mergeCell ref="W79:X79"/>
    <mergeCell ref="W83:X83"/>
    <mergeCell ref="R69:X69"/>
    <mergeCell ref="U75:V75"/>
    <mergeCell ref="U76:V76"/>
    <mergeCell ref="U78:V78"/>
    <mergeCell ref="U79:V79"/>
    <mergeCell ref="U83:V83"/>
    <mergeCell ref="S51:U51"/>
    <mergeCell ref="R50:AJ50"/>
    <mergeCell ref="R1:AJ2"/>
    <mergeCell ref="R67:AJ68"/>
    <mergeCell ref="S70:T70"/>
    <mergeCell ref="R40:W40"/>
    <mergeCell ref="R34:AJ34"/>
    <mergeCell ref="R19:AJ19"/>
    <mergeCell ref="R3:AJ3"/>
    <mergeCell ref="Y4:AC4"/>
    <mergeCell ref="R9:W9"/>
    <mergeCell ref="S35:W3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Sample Info and Data Narrative</vt:lpstr>
      <vt:lpstr>Time-Int. Data by Analyte </vt:lpstr>
      <vt:lpstr>SVOC Data Preparation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Joseph</dc:creator>
  <cp:lastModifiedBy>Martin, Joseph</cp:lastModifiedBy>
  <dcterms:created xsi:type="dcterms:W3CDTF">2025-09-23T20:33:12Z</dcterms:created>
  <dcterms:modified xsi:type="dcterms:W3CDTF">2025-09-30T17:24:10Z</dcterms:modified>
</cp:coreProperties>
</file>