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schlosser_paul_epa_gov/Documents/mcsim-5.6.5/template_montecarlo/pbpk_template_project/Inputs/"/>
    </mc:Choice>
  </mc:AlternateContent>
  <xr:revisionPtr revIDLastSave="164" documentId="14_{D66F89EB-02F9-4A6A-A3E7-7BB45E04AA7D}" xr6:coauthVersionLast="47" xr6:coauthVersionMax="47" xr10:uidLastSave="{E3D6135C-394D-45E8-A28A-805A21057138}"/>
  <bookViews>
    <workbookView xWindow="3975" yWindow="1890" windowWidth="23415" windowHeight="13425" xr2:uid="{089E7848-11EB-427A-89EA-83825F220BA0}"/>
  </bookViews>
  <sheets>
    <sheet name="MaleRat_2blood_noapprox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8" i="11" l="1"/>
  <c r="G50" i="11" s="1"/>
  <c r="G46" i="11"/>
  <c r="E63" i="11" l="1"/>
  <c r="E64" i="11" s="1"/>
  <c r="E79" i="11"/>
  <c r="E50" i="11"/>
  <c r="E24" i="11" l="1"/>
  <c r="J39" i="11" l="1"/>
  <c r="J38" i="11"/>
  <c r="K38" i="11" s="1"/>
  <c r="K39" i="11" s="1"/>
  <c r="I38" i="11"/>
  <c r="H38" i="11"/>
  <c r="H40" i="11" s="1"/>
  <c r="G51" i="11"/>
  <c r="G52" i="11" l="1"/>
  <c r="E25" i="11" s="1"/>
  <c r="F50" i="11" s="1"/>
  <c r="E86" i="11"/>
  <c r="H29" i="11"/>
  <c r="E76" i="11"/>
  <c r="G38" i="11"/>
  <c r="G27" i="11"/>
  <c r="E15" i="11" l="1"/>
  <c r="E22" i="11" l="1"/>
  <c r="E16" i="11" l="1"/>
</calcChain>
</file>

<file path=xl/sharedStrings.xml><?xml version="1.0" encoding="utf-8"?>
<sst xmlns="http://schemas.openxmlformats.org/spreadsheetml/2006/main" count="332" uniqueCount="261">
  <si>
    <t>Code</t>
  </si>
  <si>
    <t>Model Information</t>
  </si>
  <si>
    <t>Possible Answers</t>
  </si>
  <si>
    <t>Value</t>
  </si>
  <si>
    <t>chem.name</t>
  </si>
  <si>
    <t>Chemical Name</t>
  </si>
  <si>
    <t>species</t>
  </si>
  <si>
    <t>Species</t>
  </si>
  <si>
    <t>sex</t>
  </si>
  <si>
    <t>Sex</t>
  </si>
  <si>
    <t>M.units</t>
  </si>
  <si>
    <t>Mass units</t>
  </si>
  <si>
    <t>mg, ug, ng</t>
  </si>
  <si>
    <t>V.units</t>
  </si>
  <si>
    <t>Volume units</t>
  </si>
  <si>
    <t>mL, L</t>
  </si>
  <si>
    <t>T.units</t>
  </si>
  <si>
    <t>Time units</t>
  </si>
  <si>
    <t>min, h, days</t>
  </si>
  <si>
    <t>Y or N</t>
  </si>
  <si>
    <t>Free_constant</t>
  </si>
  <si>
    <t>Free fraction is constant?</t>
  </si>
  <si>
    <t>N</t>
  </si>
  <si>
    <t>One or two (venous and arterial) blood compartments?</t>
  </si>
  <si>
    <t>1 or 2</t>
  </si>
  <si>
    <t>Model Parameter</t>
  </si>
  <si>
    <t>Units</t>
  </si>
  <si>
    <t>AS_co</t>
  </si>
  <si>
    <t>Allometric Scaling Exponent: Cardiac Output</t>
  </si>
  <si>
    <t>AS_met</t>
  </si>
  <si>
    <t>Allometric Scaling Exponent: Maximum Rate of Saturable Metabolism</t>
  </si>
  <si>
    <t>AS_cl</t>
  </si>
  <si>
    <t>Allometric Scaling Exponent: Clearance Parameters</t>
  </si>
  <si>
    <t>Q_cardiacc</t>
  </si>
  <si>
    <t>Cardiac Output</t>
  </si>
  <si>
    <t>hcrit</t>
  </si>
  <si>
    <t>Hematocrit</t>
  </si>
  <si>
    <t>1/time</t>
  </si>
  <si>
    <t>VPR</t>
  </si>
  <si>
    <t>Inhalation: Ventilation Perfusion Ratio</t>
  </si>
  <si>
    <t>P_B</t>
  </si>
  <si>
    <t>Inhalation: Blood to air partition coefficient</t>
  </si>
  <si>
    <t>F_free</t>
  </si>
  <si>
    <t>F_unabs</t>
  </si>
  <si>
    <t>Fraction Unabsorbed</t>
  </si>
  <si>
    <t>Transport Maximum</t>
  </si>
  <si>
    <t>Transport Affinity Constant</t>
  </si>
  <si>
    <t>mass/volume</t>
  </si>
  <si>
    <t>k_bilec</t>
  </si>
  <si>
    <t>Biliary Excretion Rate</t>
  </si>
  <si>
    <t>Rate Constant to Urine</t>
  </si>
  <si>
    <t>Rate Constant to Feces from Fecal Storage</t>
  </si>
  <si>
    <t>k_absgi</t>
  </si>
  <si>
    <t>k_absli</t>
  </si>
  <si>
    <t>k_absli2</t>
  </si>
  <si>
    <t>k_unabs</t>
  </si>
  <si>
    <t>Rate Unabsorbed fraction of Dose goes to Fecal Storage</t>
  </si>
  <si>
    <t>k_ustc</t>
  </si>
  <si>
    <t>affinity constant for liver binding (saturable)</t>
  </si>
  <si>
    <t>maximum binding capacity (liver, saturable)</t>
  </si>
  <si>
    <t>mass/time</t>
  </si>
  <si>
    <t>dissociation rate constant (liver)</t>
  </si>
  <si>
    <t>Metabolism: Liver: Saturable: Maximum Rate Constant</t>
  </si>
  <si>
    <t>Metabolism: Liver: Saturable: Affinity Constant</t>
  </si>
  <si>
    <t>Metabolism: Liver: 1st order rate constant</t>
  </si>
  <si>
    <t>mass/time/BW^AS_cl</t>
  </si>
  <si>
    <t>Metabolism: Other Metabolizing Tissues: Saturable: Maximum Rate</t>
  </si>
  <si>
    <t>Metabolism: Other Metabolizing Tissues: Saturable: Affinity Constant</t>
  </si>
  <si>
    <t>Metabolism: Lung: Saturable: Maximum Rate Constant</t>
  </si>
  <si>
    <t>Metabolism: Lung: Saturable: Affinity Constant</t>
  </si>
  <si>
    <t>Metabolism: Lung: 1st order rate constant</t>
  </si>
  <si>
    <t>MOLWT</t>
  </si>
  <si>
    <t>Molecular Weight of Chemical</t>
  </si>
  <si>
    <t>g/mol</t>
  </si>
  <si>
    <t>Plotting Information</t>
  </si>
  <si>
    <t>r.plots</t>
  </si>
  <si>
    <t>Make plots in R (Y or N)</t>
  </si>
  <si>
    <t>A.units</t>
  </si>
  <si>
    <t>Units of Data - Amounts</t>
  </si>
  <si>
    <t>C.units</t>
  </si>
  <si>
    <t>Units of Data - Concentrations</t>
  </si>
  <si>
    <t>V_blc</t>
  </si>
  <si>
    <t>blood plasma volume fraction</t>
  </si>
  <si>
    <t>lung volume fraction - inhalation</t>
  </si>
  <si>
    <t>V_luc</t>
  </si>
  <si>
    <t>liver volume fraction</t>
  </si>
  <si>
    <t>kidney volume fraction</t>
  </si>
  <si>
    <t>kidney filtrate volume fraction</t>
  </si>
  <si>
    <t xml:space="preserve">tissue compartment 3 volume fraction - </t>
  </si>
  <si>
    <t xml:space="preserve">tissue compartment 4 volume fraction - </t>
  </si>
  <si>
    <t xml:space="preserve">tissue compartment 5 volume fraction - </t>
  </si>
  <si>
    <t>V_gic</t>
  </si>
  <si>
    <t>V_lic</t>
  </si>
  <si>
    <t>V_kic</t>
  </si>
  <si>
    <t>V_filc</t>
  </si>
  <si>
    <t>V_tc1c</t>
  </si>
  <si>
    <t>V_tc2c</t>
  </si>
  <si>
    <t>V_tc3c</t>
  </si>
  <si>
    <t>V_tc4c</t>
  </si>
  <si>
    <t>V_tc5c</t>
  </si>
  <si>
    <t>V_omc</t>
  </si>
  <si>
    <t>liver blood flow rate fraction</t>
  </si>
  <si>
    <t>kidney blood flow rate fraction</t>
  </si>
  <si>
    <t xml:space="preserve">tissue compartment 3 blood flow rate fraction - </t>
  </si>
  <si>
    <t xml:space="preserve">tissue compartment 4 blood flow rate fraction - </t>
  </si>
  <si>
    <t xml:space="preserve">tissue compartment 5 blood flow rate fraction - </t>
  </si>
  <si>
    <t>Q_gic</t>
  </si>
  <si>
    <t>Q_lic</t>
  </si>
  <si>
    <t>Q_kic</t>
  </si>
  <si>
    <t>Q_tc1c</t>
  </si>
  <si>
    <t>Q_tc2c</t>
  </si>
  <si>
    <t>Q_tc3c</t>
  </si>
  <si>
    <t>Q_tc4c</t>
  </si>
  <si>
    <t>Q_tc5c</t>
  </si>
  <si>
    <t>Q_omc</t>
  </si>
  <si>
    <t>lung:blood partition coefficient - inhalation</t>
  </si>
  <si>
    <t>liver:blood partition coefficient</t>
  </si>
  <si>
    <t>kidney:blood partition coefficient</t>
  </si>
  <si>
    <t xml:space="preserve">tissue compartment 3:blood partition coefficient - </t>
  </si>
  <si>
    <t xml:space="preserve">tissue compartment 4:blood partition coefficient - </t>
  </si>
  <si>
    <t xml:space="preserve">tissue compartment 5:blood partition coefficient - </t>
  </si>
  <si>
    <t>Notes</t>
  </si>
  <si>
    <t>Compartment Parameter</t>
  </si>
  <si>
    <t>P_lu</t>
  </si>
  <si>
    <t>P_gi</t>
  </si>
  <si>
    <t>P_li</t>
  </si>
  <si>
    <t>P_ki</t>
  </si>
  <si>
    <t>P_tc1</t>
  </si>
  <si>
    <t>P_tc2</t>
  </si>
  <si>
    <t>P_tc3</t>
  </si>
  <si>
    <t>P_tc4</t>
  </si>
  <si>
    <t>P_tc5</t>
  </si>
  <si>
    <t>P_om</t>
  </si>
  <si>
    <t xml:space="preserve">other metabolizing tissues volume fraction - </t>
  </si>
  <si>
    <t xml:space="preserve">other metabolizing tissues blood flow rate fraction - </t>
  </si>
  <si>
    <t xml:space="preserve">other metabolizing tissues:blood partition coefficient - </t>
  </si>
  <si>
    <t>venous_ss</t>
  </si>
  <si>
    <t>arterial_ss</t>
  </si>
  <si>
    <t>V_venc</t>
  </si>
  <si>
    <t>venous blood volume fraction</t>
  </si>
  <si>
    <t>V_artc</t>
  </si>
  <si>
    <t>arterial blood volume fraction</t>
  </si>
  <si>
    <t>V_max_reabsc</t>
  </si>
  <si>
    <t>K_m_reabs</t>
  </si>
  <si>
    <t>k_urinec</t>
  </si>
  <si>
    <t>k_fst</t>
  </si>
  <si>
    <t>k_fecesc</t>
  </si>
  <si>
    <t>V_max_lic</t>
  </si>
  <si>
    <t>K_m_li</t>
  </si>
  <si>
    <t>k_met_lic</t>
  </si>
  <si>
    <t>V_max_omc</t>
  </si>
  <si>
    <t>K_m_om</t>
  </si>
  <si>
    <t>V_max_luc</t>
  </si>
  <si>
    <t>K_m_lu</t>
  </si>
  <si>
    <t>k_met_luc</t>
  </si>
  <si>
    <t>V_rbc</t>
  </si>
  <si>
    <t>rest of body volume fraction</t>
  </si>
  <si>
    <t xml:space="preserve">tissue compartment 2 volume fraction - </t>
  </si>
  <si>
    <t>Q_rbc</t>
  </si>
  <si>
    <t>rest of body blood flow rate fraction</t>
  </si>
  <si>
    <t xml:space="preserve">tissue compartment 2 blood flow rate fraction - </t>
  </si>
  <si>
    <t>P_rb</t>
  </si>
  <si>
    <t>rest of body:blood partition coefficient</t>
  </si>
  <si>
    <t xml:space="preserve">tissue compartment 2:blood partition coefficient - </t>
  </si>
  <si>
    <t>Include cardiac depression term (based on concentration in rest of body compartment)</t>
  </si>
  <si>
    <t>KIV</t>
  </si>
  <si>
    <t>NV</t>
  </si>
  <si>
    <t>Cardiac Depression: Inhibition Constant</t>
  </si>
  <si>
    <t>Cardiac Depression: Hill Coefficient</t>
  </si>
  <si>
    <t>CDSW</t>
  </si>
  <si>
    <t>k_ven_ustc</t>
  </si>
  <si>
    <t>Rate Constant to Urinary Storage from Venous Blood</t>
  </si>
  <si>
    <t>Rate Constant to Urinary Storage from Kidney Filtrate</t>
  </si>
  <si>
    <t>F_inh</t>
  </si>
  <si>
    <t>Inhalation: Fraction Absorbed</t>
  </si>
  <si>
    <t>Use the units specified here for the parameters below unless otherwise specified.</t>
  </si>
  <si>
    <t>The model is automatically converted to, run, and output in units of mg, L, h.</t>
  </si>
  <si>
    <t xml:space="preserve">tissue compartment 1:blood partition coefficient - </t>
  </si>
  <si>
    <t xml:space="preserve">tissue compartment 1 blood flow rate fraction - </t>
  </si>
  <si>
    <t xml:space="preserve">tissue compartment 1 volume fraction - </t>
  </si>
  <si>
    <t>GE_ss</t>
  </si>
  <si>
    <t>Model gas exchange using steady state approximation?</t>
  </si>
  <si>
    <t>Model venous blood using steady state approximation?</t>
  </si>
  <si>
    <t>Model arterial blood using steady state approximation?</t>
  </si>
  <si>
    <t>exist_lung</t>
  </si>
  <si>
    <t>Include an explicit lung compartment (as part of inhalation model)?</t>
  </si>
  <si>
    <t>Default Value</t>
  </si>
  <si>
    <t>Columns F and further right can be used for notes and will not be used by the model simulation code.</t>
  </si>
  <si>
    <t>Y</t>
  </si>
  <si>
    <t>Kidney filtrate flow rate fraction</t>
  </si>
  <si>
    <t>k_GFRc</t>
  </si>
  <si>
    <t>fraction of cardiac output</t>
  </si>
  <si>
    <t>fraction of total body volume</t>
  </si>
  <si>
    <t>Not Currently Used</t>
  </si>
  <si>
    <t>volume/time/BW^AS_co</t>
  </si>
  <si>
    <t>mass/time/BW^AS_met</t>
  </si>
  <si>
    <t>1/time/BW^AS_cl</t>
  </si>
  <si>
    <t>mg/L</t>
  </si>
  <si>
    <t>Q_bal</t>
  </si>
  <si>
    <t>Blood Flow Fraction Balance Check</t>
  </si>
  <si>
    <t>Should be Zero</t>
  </si>
  <si>
    <t>V_bal</t>
  </si>
  <si>
    <t>Volume Fraction Check</t>
  </si>
  <si>
    <t>Should be between 0.8 and 1.2</t>
  </si>
  <si>
    <t>k_enz_resyn</t>
  </si>
  <si>
    <t>Enzyme resynthesis rate</t>
  </si>
  <si>
    <t>k_enz_loss</t>
  </si>
  <si>
    <t xml:space="preserve">Second order rate constant for enzyme destruction </t>
  </si>
  <si>
    <t>volume/mass</t>
  </si>
  <si>
    <t>PFOA</t>
  </si>
  <si>
    <t>rat</t>
  </si>
  <si>
    <t>male</t>
  </si>
  <si>
    <t>ug</t>
  </si>
  <si>
    <t>L</t>
  </si>
  <si>
    <t>h</t>
  </si>
  <si>
    <t>Values from Paper</t>
  </si>
  <si>
    <t>Rate Constant to Feces from GI tissue</t>
  </si>
  <si>
    <t>Oral Absorption Rate from GI lumen to GI tissue</t>
  </si>
  <si>
    <t>Oral Absorption Rate from GI lumen to liver</t>
  </si>
  <si>
    <t>Oral Absorption Rate from GI tissue to liver</t>
  </si>
  <si>
    <t>GI tissue volume fraction</t>
  </si>
  <si>
    <t>GI tissue blood flow rate fraction</t>
  </si>
  <si>
    <t>GI tissue:blood partition coefficient</t>
  </si>
  <si>
    <t>K_m_bind_li</t>
  </si>
  <si>
    <t>V_max_bind_li</t>
  </si>
  <si>
    <t>k_off_li</t>
  </si>
  <si>
    <t>AS_cl_met</t>
  </si>
  <si>
    <t>Allometric Scaling Exponent: First Order Metabolic Parameters</t>
  </si>
  <si>
    <t>This should be (AS_met - 1), if representing V_max/K_m/V_tissue.</t>
  </si>
  <si>
    <t>k_loss</t>
  </si>
  <si>
    <t>Direct blood loss rate constant</t>
  </si>
  <si>
    <t>volume/time</t>
  </si>
  <si>
    <t>For two blood compartment models, loss comes from venous blood and only available when not using the steady state assumption.</t>
  </si>
  <si>
    <t>Free Fraction of chemical in plasma (initial value)</t>
  </si>
  <si>
    <t>num.blood.comp</t>
  </si>
  <si>
    <t>2</t>
  </si>
  <si>
    <t>from IRIS DCM report</t>
  </si>
  <si>
    <t>If setting GE_ss to "N", then exist_lung must be set to "Y", otherwise air cannot interact with the body. (If exist_lung is "Y", then GE_ss can be "Y" or "N".)</t>
  </si>
  <si>
    <t>*Paper counts flow to filtrate when computing the flow in the rest of the body compartment. Changed value in flow to rest of body so that this checked.</t>
  </si>
  <si>
    <t>same as liver</t>
  </si>
  <si>
    <t>0.141 + GFR</t>
  </si>
  <si>
    <t>Kidney blood flow now includes GFR. This subtracts that total kidney flow and liver flow.</t>
  </si>
  <si>
    <t>Fitted</t>
  </si>
  <si>
    <t>Loccisano</t>
  </si>
  <si>
    <t>&lt;-- L/h/kg^0.75 inhaled by a 0.29 kg rat</t>
  </si>
  <si>
    <t>&lt;-- 0.7 x " for alveolar ventilation</t>
  </si>
  <si>
    <t>" x (1-Hct)</t>
  </si>
  <si>
    <t>Q_ccinh</t>
  </si>
  <si>
    <t>Cardiac Output during inhalation (if different from Q_cardiacc)</t>
  </si>
  <si>
    <t>QC_exp:</t>
  </si>
  <si>
    <t>QP_exp:</t>
  </si>
  <si>
    <t xml:space="preserve">Qccinh*VPR = QP_exp? </t>
  </si>
  <si>
    <t>&lt;== Total blood volume from Loccisano et al.</t>
  </si>
  <si>
    <t xml:space="preserve">25% of total blood volume assumed to be arterial based on conclusions from </t>
  </si>
  <si>
    <t xml:space="preserve">Brown et al. (1997), DOI: 10.1177/074823379701300401 </t>
  </si>
  <si>
    <t>Breathing frequency:</t>
  </si>
  <si>
    <t>(breaths per min) from Table 4 of Miller et al., "Assuming independence of body weight" value</t>
  </si>
  <si>
    <t>Tidal volume</t>
  </si>
  <si>
    <t>From Miller et al. (2016, HERO ID 3477387) for a 0.29 kg Sprague-Dawley rat:</t>
  </si>
  <si>
    <t>(L/breath) from Table 5 of Miller et al. for nose-only exposure</t>
  </si>
  <si>
    <t>&lt;-- inhalation rate (L/h) = tidak volume x breathing frequency x 60 min/h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</si>
</sst>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3" borderId="0" xfId="0" applyFill="1"/>
    <xf numFmtId="2" fontId="0" fillId="0" borderId="0" xfId="0" applyNumberFormat="1"/>
    <xf numFmtId="11" fontId="0" fillId="0" borderId="0" xfId="0" applyNumberFormat="1"/>
    <xf numFmtId="0" fontId="0" fillId="4" borderId="0" xfId="0" applyFill="1"/>
    <xf numFmtId="0" fontId="0" fillId="0" borderId="0" xfId="0" applyAlignment="1">
      <alignment horizontal="left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95E22-A857-445F-B425-EEB299BEFEDD}">
  <dimension ref="A1:K105"/>
  <sheetViews>
    <sheetView tabSelected="1" topLeftCell="A36" zoomScaleNormal="100" workbookViewId="0">
      <selection activeCell="G52" sqref="G52"/>
    </sheetView>
  </sheetViews>
  <sheetFormatPr defaultRowHeight="15" x14ac:dyDescent="0.25"/>
  <cols>
    <col min="1" max="1" width="13.7109375" style="1" bestFit="1" customWidth="1"/>
    <col min="2" max="2" width="53" customWidth="1"/>
    <col min="3" max="3" width="22" customWidth="1"/>
    <col min="4" max="4" width="13.140625" customWidth="1"/>
    <col min="5" max="5" width="22.28515625" bestFit="1" customWidth="1"/>
    <col min="6" max="6" width="20.28515625" customWidth="1"/>
    <col min="7" max="7" width="13.57031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186</v>
      </c>
      <c r="E1" s="1" t="s">
        <v>3</v>
      </c>
      <c r="F1" s="1" t="s">
        <v>121</v>
      </c>
    </row>
    <row r="2" spans="1:6" x14ac:dyDescent="0.25">
      <c r="A2" s="1" t="s">
        <v>4</v>
      </c>
      <c r="B2" t="s">
        <v>5</v>
      </c>
      <c r="E2" t="s">
        <v>209</v>
      </c>
      <c r="F2" t="s">
        <v>187</v>
      </c>
    </row>
    <row r="3" spans="1:6" x14ac:dyDescent="0.25">
      <c r="A3" s="1" t="s">
        <v>6</v>
      </c>
      <c r="B3" t="s">
        <v>7</v>
      </c>
      <c r="E3" t="s">
        <v>210</v>
      </c>
    </row>
    <row r="4" spans="1:6" x14ac:dyDescent="0.25">
      <c r="A4" s="1" t="s">
        <v>8</v>
      </c>
      <c r="B4" t="s">
        <v>9</v>
      </c>
      <c r="E4" t="s">
        <v>211</v>
      </c>
    </row>
    <row r="5" spans="1:6" x14ac:dyDescent="0.25">
      <c r="A5" s="1" t="s">
        <v>10</v>
      </c>
      <c r="B5" t="s">
        <v>11</v>
      </c>
      <c r="C5" t="s">
        <v>12</v>
      </c>
      <c r="E5" t="s">
        <v>212</v>
      </c>
      <c r="F5" t="s">
        <v>175</v>
      </c>
    </row>
    <row r="6" spans="1:6" x14ac:dyDescent="0.25">
      <c r="A6" s="1" t="s">
        <v>13</v>
      </c>
      <c r="B6" t="s">
        <v>14</v>
      </c>
      <c r="C6" t="s">
        <v>15</v>
      </c>
      <c r="E6" t="s">
        <v>213</v>
      </c>
      <c r="F6" t="s">
        <v>176</v>
      </c>
    </row>
    <row r="7" spans="1:6" x14ac:dyDescent="0.25">
      <c r="A7" s="1" t="s">
        <v>16</v>
      </c>
      <c r="B7" t="s">
        <v>17</v>
      </c>
      <c r="C7" t="s">
        <v>18</v>
      </c>
      <c r="E7" t="s">
        <v>214</v>
      </c>
    </row>
    <row r="8" spans="1:6" x14ac:dyDescent="0.25">
      <c r="A8" s="1" t="s">
        <v>20</v>
      </c>
      <c r="B8" t="s">
        <v>21</v>
      </c>
      <c r="C8" t="s">
        <v>19</v>
      </c>
      <c r="E8" t="s">
        <v>188</v>
      </c>
    </row>
    <row r="9" spans="1:6" x14ac:dyDescent="0.25">
      <c r="A9" s="1" t="s">
        <v>234</v>
      </c>
      <c r="B9" t="s">
        <v>23</v>
      </c>
      <c r="C9" t="s">
        <v>24</v>
      </c>
      <c r="D9" s="2">
        <v>2</v>
      </c>
      <c r="E9" s="2" t="s">
        <v>235</v>
      </c>
    </row>
    <row r="10" spans="1:6" x14ac:dyDescent="0.25">
      <c r="A10" s="1" t="s">
        <v>136</v>
      </c>
      <c r="B10" t="s">
        <v>182</v>
      </c>
      <c r="C10" t="s">
        <v>19</v>
      </c>
      <c r="D10" t="s">
        <v>188</v>
      </c>
      <c r="E10" t="s">
        <v>22</v>
      </c>
    </row>
    <row r="11" spans="1:6" x14ac:dyDescent="0.25">
      <c r="A11" s="1" t="s">
        <v>137</v>
      </c>
      <c r="B11" t="s">
        <v>183</v>
      </c>
      <c r="C11" t="s">
        <v>19</v>
      </c>
      <c r="D11" t="s">
        <v>188</v>
      </c>
      <c r="E11" t="s">
        <v>22</v>
      </c>
    </row>
    <row r="12" spans="1:6" x14ac:dyDescent="0.25">
      <c r="A12" s="1" t="s">
        <v>180</v>
      </c>
      <c r="B12" t="s">
        <v>181</v>
      </c>
      <c r="C12" t="s">
        <v>19</v>
      </c>
      <c r="D12" t="s">
        <v>188</v>
      </c>
      <c r="E12" t="s">
        <v>22</v>
      </c>
      <c r="F12" t="s">
        <v>237</v>
      </c>
    </row>
    <row r="13" spans="1:6" x14ac:dyDescent="0.25">
      <c r="A13" s="1" t="s">
        <v>184</v>
      </c>
      <c r="B13" t="s">
        <v>185</v>
      </c>
      <c r="C13" t="s">
        <v>19</v>
      </c>
      <c r="D13" t="s">
        <v>188</v>
      </c>
      <c r="E13" t="s">
        <v>188</v>
      </c>
    </row>
    <row r="14" spans="1:6" x14ac:dyDescent="0.25">
      <c r="A14" s="1" t="s">
        <v>169</v>
      </c>
      <c r="B14" t="s">
        <v>164</v>
      </c>
      <c r="C14" t="s">
        <v>19</v>
      </c>
      <c r="D14" t="s">
        <v>22</v>
      </c>
      <c r="E14" t="s">
        <v>22</v>
      </c>
    </row>
    <row r="15" spans="1:6" x14ac:dyDescent="0.25">
      <c r="A15" s="1" t="s">
        <v>198</v>
      </c>
      <c r="B15" t="s">
        <v>199</v>
      </c>
      <c r="C15" t="s">
        <v>200</v>
      </c>
      <c r="E15">
        <f>1-SUM(E77:E86)</f>
        <v>0</v>
      </c>
      <c r="F15" t="s">
        <v>238</v>
      </c>
    </row>
    <row r="16" spans="1:6" x14ac:dyDescent="0.25">
      <c r="A16" s="1" t="s">
        <v>201</v>
      </c>
      <c r="B16" t="s">
        <v>202</v>
      </c>
      <c r="C16" t="s">
        <v>203</v>
      </c>
      <c r="E16">
        <f>SUM(E62:E76)</f>
        <v>0.84</v>
      </c>
    </row>
    <row r="18" spans="1:9" x14ac:dyDescent="0.25">
      <c r="A18" s="1" t="s">
        <v>0</v>
      </c>
      <c r="B18" s="1" t="s">
        <v>25</v>
      </c>
      <c r="C18" s="1" t="s">
        <v>26</v>
      </c>
      <c r="D18" s="1" t="s">
        <v>186</v>
      </c>
      <c r="E18" s="1" t="s">
        <v>3</v>
      </c>
      <c r="F18" s="1" t="s">
        <v>215</v>
      </c>
    </row>
    <row r="19" spans="1:9" x14ac:dyDescent="0.25">
      <c r="A19" s="1" t="s">
        <v>71</v>
      </c>
      <c r="B19" t="s">
        <v>72</v>
      </c>
      <c r="C19" t="s">
        <v>73</v>
      </c>
      <c r="D19">
        <v>0</v>
      </c>
      <c r="E19" s="3">
        <v>414.07</v>
      </c>
    </row>
    <row r="20" spans="1:9" x14ac:dyDescent="0.25">
      <c r="A20" s="1" t="s">
        <v>27</v>
      </c>
      <c r="B20" t="s">
        <v>28</v>
      </c>
      <c r="D20">
        <v>0.75</v>
      </c>
      <c r="E20">
        <v>0.75</v>
      </c>
    </row>
    <row r="21" spans="1:9" x14ac:dyDescent="0.25">
      <c r="A21" s="1" t="s">
        <v>29</v>
      </c>
      <c r="B21" t="s">
        <v>30</v>
      </c>
      <c r="D21">
        <v>0.75</v>
      </c>
      <c r="E21">
        <v>0.75</v>
      </c>
    </row>
    <row r="22" spans="1:9" x14ac:dyDescent="0.25">
      <c r="A22" s="1" t="s">
        <v>226</v>
      </c>
      <c r="B22" t="s">
        <v>227</v>
      </c>
      <c r="D22">
        <v>-0.25</v>
      </c>
      <c r="E22">
        <f>E21-1</f>
        <v>-0.25</v>
      </c>
      <c r="F22" t="s">
        <v>228</v>
      </c>
    </row>
    <row r="23" spans="1:9" x14ac:dyDescent="0.25">
      <c r="A23" s="1" t="s">
        <v>31</v>
      </c>
      <c r="B23" t="s">
        <v>32</v>
      </c>
      <c r="D23">
        <v>-0.25</v>
      </c>
      <c r="E23">
        <v>-0.25</v>
      </c>
    </row>
    <row r="24" spans="1:9" x14ac:dyDescent="0.25">
      <c r="A24" s="1" t="s">
        <v>33</v>
      </c>
      <c r="B24" t="s">
        <v>34</v>
      </c>
      <c r="C24" t="s">
        <v>194</v>
      </c>
      <c r="D24">
        <v>0</v>
      </c>
      <c r="E24">
        <f>F24*(1-E100)</f>
        <v>7.5600000000000005</v>
      </c>
      <c r="F24">
        <v>14</v>
      </c>
      <c r="G24" t="s">
        <v>242</v>
      </c>
      <c r="H24" t="s">
        <v>243</v>
      </c>
    </row>
    <row r="25" spans="1:9" x14ac:dyDescent="0.25">
      <c r="A25" s="1" t="s">
        <v>247</v>
      </c>
      <c r="B25" s="4" t="s">
        <v>248</v>
      </c>
      <c r="C25" s="4" t="s">
        <v>194</v>
      </c>
      <c r="D25" s="4">
        <v>0</v>
      </c>
      <c r="E25" s="4">
        <f>G52</f>
        <v>19.46384735118037</v>
      </c>
    </row>
    <row r="26" spans="1:9" x14ac:dyDescent="0.25">
      <c r="A26" s="1" t="s">
        <v>43</v>
      </c>
      <c r="B26" t="s">
        <v>44</v>
      </c>
      <c r="D26">
        <v>0</v>
      </c>
    </row>
    <row r="27" spans="1:9" x14ac:dyDescent="0.25">
      <c r="A27" s="1" t="s">
        <v>142</v>
      </c>
      <c r="B27" t="s">
        <v>45</v>
      </c>
      <c r="C27" t="s">
        <v>195</v>
      </c>
      <c r="D27">
        <v>0</v>
      </c>
      <c r="E27" s="6">
        <v>270000</v>
      </c>
      <c r="F27" s="5"/>
      <c r="G27">
        <f>0.013*G28</f>
        <v>1.95</v>
      </c>
      <c r="H27" s="6">
        <v>270000</v>
      </c>
      <c r="I27">
        <v>340</v>
      </c>
    </row>
    <row r="28" spans="1:9" x14ac:dyDescent="0.25">
      <c r="A28" s="1" t="s">
        <v>143</v>
      </c>
      <c r="B28" t="s">
        <v>46</v>
      </c>
      <c r="C28" t="s">
        <v>47</v>
      </c>
      <c r="D28">
        <v>1</v>
      </c>
      <c r="E28" s="6">
        <v>67000</v>
      </c>
      <c r="F28" s="5"/>
      <c r="G28">
        <v>150</v>
      </c>
      <c r="H28" s="6">
        <v>67000</v>
      </c>
      <c r="I28">
        <v>48000</v>
      </c>
    </row>
    <row r="29" spans="1:9" x14ac:dyDescent="0.25">
      <c r="A29" s="1" t="s">
        <v>48</v>
      </c>
      <c r="B29" t="s">
        <v>49</v>
      </c>
      <c r="C29" t="s">
        <v>196</v>
      </c>
      <c r="D29">
        <v>0</v>
      </c>
      <c r="E29">
        <v>0.35</v>
      </c>
      <c r="G29">
        <v>0.01</v>
      </c>
      <c r="H29">
        <f>0.35</f>
        <v>0.35</v>
      </c>
    </row>
    <row r="30" spans="1:9" x14ac:dyDescent="0.25">
      <c r="A30" s="1" t="s">
        <v>144</v>
      </c>
      <c r="B30" t="s">
        <v>50</v>
      </c>
      <c r="C30" t="s">
        <v>196</v>
      </c>
      <c r="D30">
        <v>0</v>
      </c>
      <c r="E30">
        <v>0.1</v>
      </c>
      <c r="G30">
        <v>0.1</v>
      </c>
      <c r="H30">
        <v>0.1</v>
      </c>
    </row>
    <row r="31" spans="1:9" x14ac:dyDescent="0.25">
      <c r="A31" s="1" t="s">
        <v>145</v>
      </c>
      <c r="B31" t="s">
        <v>216</v>
      </c>
      <c r="C31" t="s">
        <v>37</v>
      </c>
      <c r="D31">
        <v>0</v>
      </c>
    </row>
    <row r="32" spans="1:9" x14ac:dyDescent="0.25">
      <c r="A32" s="1" t="s">
        <v>146</v>
      </c>
      <c r="B32" t="s">
        <v>51</v>
      </c>
      <c r="C32" t="s">
        <v>196</v>
      </c>
      <c r="D32">
        <v>0</v>
      </c>
      <c r="E32">
        <v>0.6</v>
      </c>
      <c r="G32">
        <v>0.6</v>
      </c>
      <c r="H32">
        <v>0.6</v>
      </c>
    </row>
    <row r="33" spans="1:11" x14ac:dyDescent="0.25">
      <c r="A33" s="1" t="s">
        <v>52</v>
      </c>
      <c r="B33" t="s">
        <v>217</v>
      </c>
      <c r="C33" t="s">
        <v>37</v>
      </c>
      <c r="D33">
        <v>0</v>
      </c>
    </row>
    <row r="34" spans="1:11" x14ac:dyDescent="0.25">
      <c r="A34" s="1" t="s">
        <v>53</v>
      </c>
      <c r="B34" t="s">
        <v>218</v>
      </c>
      <c r="C34" t="s">
        <v>37</v>
      </c>
      <c r="D34">
        <v>0</v>
      </c>
      <c r="E34">
        <v>31.3</v>
      </c>
      <c r="G34">
        <v>31.3</v>
      </c>
      <c r="H34">
        <v>31.3</v>
      </c>
      <c r="I34">
        <v>0.5</v>
      </c>
    </row>
    <row r="35" spans="1:11" x14ac:dyDescent="0.25">
      <c r="A35" s="1" t="s">
        <v>54</v>
      </c>
      <c r="B35" t="s">
        <v>219</v>
      </c>
      <c r="C35" t="s">
        <v>37</v>
      </c>
      <c r="D35">
        <v>0</v>
      </c>
    </row>
    <row r="36" spans="1:11" x14ac:dyDescent="0.25">
      <c r="A36" s="1" t="s">
        <v>55</v>
      </c>
      <c r="B36" t="s">
        <v>56</v>
      </c>
      <c r="C36" t="s">
        <v>37</v>
      </c>
      <c r="D36">
        <v>0</v>
      </c>
      <c r="E36">
        <v>1E-3</v>
      </c>
      <c r="G36">
        <v>1E-3</v>
      </c>
      <c r="H36">
        <v>1E-3</v>
      </c>
    </row>
    <row r="37" spans="1:11" x14ac:dyDescent="0.25">
      <c r="A37" s="1" t="s">
        <v>170</v>
      </c>
      <c r="B37" t="s">
        <v>171</v>
      </c>
      <c r="C37" t="s">
        <v>196</v>
      </c>
      <c r="D37">
        <v>0</v>
      </c>
    </row>
    <row r="38" spans="1:11" x14ac:dyDescent="0.25">
      <c r="A38" s="1" t="s">
        <v>57</v>
      </c>
      <c r="B38" t="s">
        <v>172</v>
      </c>
      <c r="C38" t="s">
        <v>196</v>
      </c>
      <c r="D38">
        <v>0</v>
      </c>
      <c r="E38">
        <v>634.5</v>
      </c>
      <c r="G38">
        <f xml:space="preserve"> 0.0066/((0.363^0.75)*0.00084*24)</f>
        <v>0.70004093951126367</v>
      </c>
      <c r="H38">
        <f xml:space="preserve"> 0.0066/((0.363^0.75)*0.00084*24)</f>
        <v>0.70004093951126367</v>
      </c>
      <c r="I38">
        <f>0.0705*14*(1-0.46)/0.00084</f>
        <v>634.5</v>
      </c>
      <c r="J38">
        <f>0.0705*14*(1-0.46)*(0.29^0.75)</f>
        <v>0.21062475396946564</v>
      </c>
      <c r="K38">
        <f>J38*24</f>
        <v>5.0549940952671752</v>
      </c>
    </row>
    <row r="39" spans="1:11" x14ac:dyDescent="0.25">
      <c r="A39" s="1" t="s">
        <v>223</v>
      </c>
      <c r="B39" t="s">
        <v>58</v>
      </c>
      <c r="C39" t="s">
        <v>47</v>
      </c>
      <c r="D39">
        <v>1</v>
      </c>
      <c r="J39">
        <f>0.066/24</f>
        <v>2.7500000000000003E-3</v>
      </c>
      <c r="K39">
        <f>0.0066/K38</f>
        <v>1.3056395073100804E-3</v>
      </c>
    </row>
    <row r="40" spans="1:11" x14ac:dyDescent="0.25">
      <c r="A40" s="1" t="s">
        <v>224</v>
      </c>
      <c r="B40" t="s">
        <v>59</v>
      </c>
      <c r="C40" t="s">
        <v>60</v>
      </c>
      <c r="D40">
        <v>0</v>
      </c>
      <c r="H40">
        <f>H38/I38</f>
        <v>1.103295412941314E-3</v>
      </c>
    </row>
    <row r="41" spans="1:11" x14ac:dyDescent="0.25">
      <c r="A41" s="1" t="s">
        <v>225</v>
      </c>
      <c r="B41" t="s">
        <v>61</v>
      </c>
      <c r="C41" t="s">
        <v>37</v>
      </c>
      <c r="D41">
        <v>0</v>
      </c>
    </row>
    <row r="42" spans="1:11" x14ac:dyDescent="0.25">
      <c r="A42" s="1" t="s">
        <v>147</v>
      </c>
      <c r="B42" t="s">
        <v>62</v>
      </c>
      <c r="C42" t="s">
        <v>195</v>
      </c>
      <c r="D42">
        <v>0</v>
      </c>
    </row>
    <row r="43" spans="1:11" x14ac:dyDescent="0.25">
      <c r="A43" s="1" t="s">
        <v>148</v>
      </c>
      <c r="B43" t="s">
        <v>63</v>
      </c>
      <c r="C43" t="s">
        <v>47</v>
      </c>
      <c r="D43">
        <v>1</v>
      </c>
    </row>
    <row r="44" spans="1:11" x14ac:dyDescent="0.25">
      <c r="A44" s="1" t="s">
        <v>149</v>
      </c>
      <c r="B44" t="s">
        <v>64</v>
      </c>
      <c r="C44" t="s">
        <v>65</v>
      </c>
      <c r="D44">
        <v>0</v>
      </c>
      <c r="F44" t="s">
        <v>258</v>
      </c>
    </row>
    <row r="45" spans="1:11" x14ac:dyDescent="0.25">
      <c r="A45" s="1" t="s">
        <v>150</v>
      </c>
      <c r="B45" t="s">
        <v>66</v>
      </c>
      <c r="C45" t="s">
        <v>195</v>
      </c>
      <c r="D45">
        <v>0</v>
      </c>
      <c r="F45" t="s">
        <v>255</v>
      </c>
      <c r="G45">
        <v>166</v>
      </c>
      <c r="H45" s="8" t="s">
        <v>256</v>
      </c>
    </row>
    <row r="46" spans="1:11" x14ac:dyDescent="0.25">
      <c r="A46" s="1" t="s">
        <v>151</v>
      </c>
      <c r="B46" t="s">
        <v>67</v>
      </c>
      <c r="C46" t="s">
        <v>47</v>
      </c>
      <c r="D46">
        <v>1</v>
      </c>
      <c r="F46" t="s">
        <v>257</v>
      </c>
      <c r="G46">
        <f>(-0.060911+0.0013795*290)/166</f>
        <v>2.0430361445783135E-3</v>
      </c>
      <c r="H46" t="s">
        <v>259</v>
      </c>
    </row>
    <row r="47" spans="1:11" x14ac:dyDescent="0.25">
      <c r="A47" s="1" t="s">
        <v>152</v>
      </c>
      <c r="B47" t="s">
        <v>68</v>
      </c>
      <c r="C47" t="s">
        <v>195</v>
      </c>
      <c r="D47">
        <v>0</v>
      </c>
    </row>
    <row r="48" spans="1:11" x14ac:dyDescent="0.25">
      <c r="A48" s="1" t="s">
        <v>153</v>
      </c>
      <c r="B48" t="s">
        <v>69</v>
      </c>
      <c r="C48" t="s">
        <v>47</v>
      </c>
      <c r="D48">
        <v>1</v>
      </c>
      <c r="G48">
        <f>G46*G45*60</f>
        <v>20.348640000000003</v>
      </c>
      <c r="H48" t="s">
        <v>260</v>
      </c>
    </row>
    <row r="49" spans="1:8" x14ac:dyDescent="0.25">
      <c r="A49" s="1" t="s">
        <v>154</v>
      </c>
      <c r="B49" t="s">
        <v>70</v>
      </c>
      <c r="C49" t="s">
        <v>65</v>
      </c>
      <c r="D49">
        <v>0</v>
      </c>
      <c r="F49" s="7" t="s">
        <v>251</v>
      </c>
    </row>
    <row r="50" spans="1:8" x14ac:dyDescent="0.25">
      <c r="A50" s="1" t="s">
        <v>38</v>
      </c>
      <c r="B50" t="s">
        <v>39</v>
      </c>
      <c r="D50">
        <v>0</v>
      </c>
      <c r="E50" s="4">
        <f>1/(1-E100)</f>
        <v>1.8518518518518516</v>
      </c>
      <c r="F50" s="7">
        <f>E50*E25</f>
        <v>36.044161761445125</v>
      </c>
      <c r="G50">
        <f>G48/(0.29^0.75)</f>
        <v>51.491659659207322</v>
      </c>
      <c r="H50" t="s">
        <v>244</v>
      </c>
    </row>
    <row r="51" spans="1:8" x14ac:dyDescent="0.25">
      <c r="A51" s="1" t="s">
        <v>173</v>
      </c>
      <c r="B51" t="s">
        <v>174</v>
      </c>
      <c r="D51">
        <v>1</v>
      </c>
      <c r="F51" s="3" t="s">
        <v>250</v>
      </c>
      <c r="G51">
        <f>0.7*G50</f>
        <v>36.044161761445125</v>
      </c>
      <c r="H51" t="s">
        <v>245</v>
      </c>
    </row>
    <row r="52" spans="1:8" x14ac:dyDescent="0.25">
      <c r="A52" s="1" t="s">
        <v>40</v>
      </c>
      <c r="B52" t="s">
        <v>41</v>
      </c>
      <c r="D52">
        <v>1</v>
      </c>
      <c r="E52">
        <v>100000</v>
      </c>
      <c r="F52" s="3" t="s">
        <v>249</v>
      </c>
      <c r="G52">
        <f>G51*(1-E100)</f>
        <v>19.46384735118037</v>
      </c>
      <c r="H52" t="s">
        <v>246</v>
      </c>
    </row>
    <row r="53" spans="1:8" x14ac:dyDescent="0.25">
      <c r="A53" s="1" t="s">
        <v>190</v>
      </c>
      <c r="B53" t="s">
        <v>189</v>
      </c>
      <c r="C53" t="s">
        <v>191</v>
      </c>
      <c r="D53">
        <v>0</v>
      </c>
      <c r="E53">
        <v>7.0499999999999993E-2</v>
      </c>
    </row>
    <row r="54" spans="1:8" x14ac:dyDescent="0.25">
      <c r="A54" s="1" t="s">
        <v>165</v>
      </c>
      <c r="B54" t="s">
        <v>167</v>
      </c>
      <c r="C54" t="s">
        <v>197</v>
      </c>
      <c r="D54">
        <v>1</v>
      </c>
    </row>
    <row r="55" spans="1:8" x14ac:dyDescent="0.25">
      <c r="A55" s="1" t="s">
        <v>166</v>
      </c>
      <c r="B55" t="s">
        <v>168</v>
      </c>
      <c r="D55">
        <v>0</v>
      </c>
    </row>
    <row r="56" spans="1:8" x14ac:dyDescent="0.25">
      <c r="A56" s="1" t="s">
        <v>204</v>
      </c>
      <c r="B56" t="s">
        <v>205</v>
      </c>
      <c r="C56" t="s">
        <v>37</v>
      </c>
      <c r="D56">
        <v>0</v>
      </c>
    </row>
    <row r="57" spans="1:8" x14ac:dyDescent="0.25">
      <c r="A57" s="1" t="s">
        <v>206</v>
      </c>
      <c r="B57" t="s">
        <v>207</v>
      </c>
      <c r="C57" t="s">
        <v>208</v>
      </c>
      <c r="D57">
        <v>0</v>
      </c>
    </row>
    <row r="58" spans="1:8" x14ac:dyDescent="0.25">
      <c r="A58" s="1" t="s">
        <v>229</v>
      </c>
      <c r="B58" t="s">
        <v>230</v>
      </c>
      <c r="C58" t="s">
        <v>231</v>
      </c>
      <c r="D58">
        <v>0</v>
      </c>
      <c r="F58" t="s">
        <v>232</v>
      </c>
    </row>
    <row r="59" spans="1:8" x14ac:dyDescent="0.25">
      <c r="A59" s="1" t="s">
        <v>42</v>
      </c>
      <c r="B59" t="s">
        <v>233</v>
      </c>
      <c r="D59">
        <v>1</v>
      </c>
      <c r="E59">
        <v>6.0000000000000001E-3</v>
      </c>
    </row>
    <row r="61" spans="1:8" x14ac:dyDescent="0.25">
      <c r="A61" s="1" t="s">
        <v>0</v>
      </c>
      <c r="B61" s="1" t="s">
        <v>122</v>
      </c>
      <c r="C61" s="1" t="s">
        <v>26</v>
      </c>
      <c r="D61" s="1" t="s">
        <v>186</v>
      </c>
      <c r="E61" s="1" t="s">
        <v>3</v>
      </c>
    </row>
    <row r="62" spans="1:8" x14ac:dyDescent="0.25">
      <c r="A62" s="1" t="s">
        <v>81</v>
      </c>
      <c r="B62" t="s">
        <v>82</v>
      </c>
      <c r="C62" t="s">
        <v>192</v>
      </c>
      <c r="D62">
        <v>1</v>
      </c>
      <c r="F62">
        <v>3.1199999999999999E-2</v>
      </c>
      <c r="G62" t="s">
        <v>252</v>
      </c>
    </row>
    <row r="63" spans="1:8" x14ac:dyDescent="0.25">
      <c r="A63" s="1" t="s">
        <v>138</v>
      </c>
      <c r="B63" t="s">
        <v>139</v>
      </c>
      <c r="C63" t="s">
        <v>192</v>
      </c>
      <c r="D63">
        <v>1</v>
      </c>
      <c r="E63">
        <f>0.25*F62</f>
        <v>7.7999999999999996E-3</v>
      </c>
      <c r="F63" t="s">
        <v>253</v>
      </c>
    </row>
    <row r="64" spans="1:8" x14ac:dyDescent="0.25">
      <c r="A64" s="1" t="s">
        <v>140</v>
      </c>
      <c r="B64" t="s">
        <v>141</v>
      </c>
      <c r="C64" t="s">
        <v>192</v>
      </c>
      <c r="D64">
        <v>1</v>
      </c>
      <c r="E64">
        <f>F62-E63</f>
        <v>2.3399999999999997E-2</v>
      </c>
      <c r="F64" t="s">
        <v>254</v>
      </c>
    </row>
    <row r="65" spans="1:6" x14ac:dyDescent="0.25">
      <c r="A65" s="1" t="s">
        <v>84</v>
      </c>
      <c r="B65" t="s">
        <v>83</v>
      </c>
      <c r="C65" t="s">
        <v>192</v>
      </c>
      <c r="D65">
        <v>1</v>
      </c>
      <c r="E65" s="4">
        <v>1.15E-2</v>
      </c>
      <c r="F65" t="s">
        <v>236</v>
      </c>
    </row>
    <row r="66" spans="1:6" x14ac:dyDescent="0.25">
      <c r="A66" s="1" t="s">
        <v>91</v>
      </c>
      <c r="B66" t="s">
        <v>220</v>
      </c>
      <c r="C66" t="s">
        <v>192</v>
      </c>
      <c r="D66">
        <v>1</v>
      </c>
    </row>
    <row r="67" spans="1:6" x14ac:dyDescent="0.25">
      <c r="A67" s="1" t="s">
        <v>92</v>
      </c>
      <c r="B67" t="s">
        <v>85</v>
      </c>
      <c r="C67" t="s">
        <v>192</v>
      </c>
      <c r="D67">
        <v>1</v>
      </c>
      <c r="E67">
        <v>3.5000000000000003E-2</v>
      </c>
    </row>
    <row r="68" spans="1:6" x14ac:dyDescent="0.25">
      <c r="A68" s="1" t="s">
        <v>93</v>
      </c>
      <c r="B68" t="s">
        <v>86</v>
      </c>
      <c r="C68" t="s">
        <v>192</v>
      </c>
      <c r="D68">
        <v>1</v>
      </c>
      <c r="E68">
        <v>8.3999999999999995E-3</v>
      </c>
    </row>
    <row r="69" spans="1:6" x14ac:dyDescent="0.25">
      <c r="A69" s="1" t="s">
        <v>94</v>
      </c>
      <c r="B69" t="s">
        <v>87</v>
      </c>
      <c r="C69" t="s">
        <v>192</v>
      </c>
      <c r="D69">
        <v>1</v>
      </c>
      <c r="E69">
        <v>8.4000000000000003E-4</v>
      </c>
    </row>
    <row r="70" spans="1:6" x14ac:dyDescent="0.25">
      <c r="A70" s="1" t="s">
        <v>95</v>
      </c>
      <c r="B70" t="s">
        <v>179</v>
      </c>
      <c r="C70" t="s">
        <v>192</v>
      </c>
      <c r="D70">
        <v>1</v>
      </c>
    </row>
    <row r="71" spans="1:6" x14ac:dyDescent="0.25">
      <c r="A71" s="1" t="s">
        <v>96</v>
      </c>
      <c r="B71" t="s">
        <v>157</v>
      </c>
      <c r="C71" t="s">
        <v>192</v>
      </c>
      <c r="D71">
        <v>1</v>
      </c>
    </row>
    <row r="72" spans="1:6" x14ac:dyDescent="0.25">
      <c r="A72" s="1" t="s">
        <v>97</v>
      </c>
      <c r="B72" t="s">
        <v>88</v>
      </c>
      <c r="C72" t="s">
        <v>192</v>
      </c>
      <c r="D72">
        <v>1</v>
      </c>
    </row>
    <row r="73" spans="1:6" x14ac:dyDescent="0.25">
      <c r="A73" s="1" t="s">
        <v>98</v>
      </c>
      <c r="B73" t="s">
        <v>89</v>
      </c>
      <c r="C73" t="s">
        <v>192</v>
      </c>
      <c r="D73">
        <v>1</v>
      </c>
    </row>
    <row r="74" spans="1:6" x14ac:dyDescent="0.25">
      <c r="A74" s="1" t="s">
        <v>99</v>
      </c>
      <c r="B74" t="s">
        <v>90</v>
      </c>
      <c r="C74" t="s">
        <v>192</v>
      </c>
      <c r="D74">
        <v>1</v>
      </c>
    </row>
    <row r="75" spans="1:6" x14ac:dyDescent="0.25">
      <c r="A75" s="1" t="s">
        <v>100</v>
      </c>
      <c r="B75" t="s">
        <v>133</v>
      </c>
      <c r="C75" t="s">
        <v>192</v>
      </c>
      <c r="D75">
        <v>1</v>
      </c>
    </row>
    <row r="76" spans="1:6" x14ac:dyDescent="0.25">
      <c r="A76" s="1" t="s">
        <v>155</v>
      </c>
      <c r="B76" t="s">
        <v>156</v>
      </c>
      <c r="C76" t="s">
        <v>192</v>
      </c>
      <c r="D76">
        <v>1</v>
      </c>
      <c r="E76">
        <f>0.84-SUM(E63:E75)</f>
        <v>0.75305999999999995</v>
      </c>
    </row>
    <row r="77" spans="1:6" x14ac:dyDescent="0.25">
      <c r="A77" s="1" t="s">
        <v>106</v>
      </c>
      <c r="B77" t="s">
        <v>221</v>
      </c>
      <c r="C77" t="s">
        <v>191</v>
      </c>
      <c r="D77">
        <v>0</v>
      </c>
    </row>
    <row r="78" spans="1:6" x14ac:dyDescent="0.25">
      <c r="A78" s="1" t="s">
        <v>107</v>
      </c>
      <c r="B78" t="s">
        <v>101</v>
      </c>
      <c r="C78" t="s">
        <v>191</v>
      </c>
      <c r="D78">
        <v>0</v>
      </c>
      <c r="E78">
        <v>0.183</v>
      </c>
    </row>
    <row r="79" spans="1:6" x14ac:dyDescent="0.25">
      <c r="A79" s="1" t="s">
        <v>108</v>
      </c>
      <c r="B79" t="s">
        <v>102</v>
      </c>
      <c r="C79" t="s">
        <v>191</v>
      </c>
      <c r="D79">
        <v>0</v>
      </c>
      <c r="E79" s="4">
        <f>0.141+$E53</f>
        <v>0.21149999999999997</v>
      </c>
      <c r="F79" s="4" t="s">
        <v>240</v>
      </c>
    </row>
    <row r="80" spans="1:6" x14ac:dyDescent="0.25">
      <c r="A80" s="1" t="s">
        <v>109</v>
      </c>
      <c r="B80" t="s">
        <v>178</v>
      </c>
      <c r="C80" t="s">
        <v>191</v>
      </c>
      <c r="D80">
        <v>0</v>
      </c>
    </row>
    <row r="81" spans="1:6" x14ac:dyDescent="0.25">
      <c r="A81" s="1" t="s">
        <v>110</v>
      </c>
      <c r="B81" t="s">
        <v>160</v>
      </c>
      <c r="C81" t="s">
        <v>191</v>
      </c>
      <c r="D81">
        <v>0</v>
      </c>
    </row>
    <row r="82" spans="1:6" x14ac:dyDescent="0.25">
      <c r="A82" s="1" t="s">
        <v>111</v>
      </c>
      <c r="B82" t="s">
        <v>103</v>
      </c>
      <c r="C82" t="s">
        <v>191</v>
      </c>
      <c r="D82">
        <v>0</v>
      </c>
    </row>
    <row r="83" spans="1:6" x14ac:dyDescent="0.25">
      <c r="A83" s="1" t="s">
        <v>112</v>
      </c>
      <c r="B83" t="s">
        <v>104</v>
      </c>
      <c r="C83" t="s">
        <v>191</v>
      </c>
      <c r="D83">
        <v>0</v>
      </c>
    </row>
    <row r="84" spans="1:6" x14ac:dyDescent="0.25">
      <c r="A84" s="1" t="s">
        <v>113</v>
      </c>
      <c r="B84" t="s">
        <v>105</v>
      </c>
      <c r="C84" t="s">
        <v>191</v>
      </c>
      <c r="D84">
        <v>0</v>
      </c>
    </row>
    <row r="85" spans="1:6" x14ac:dyDescent="0.25">
      <c r="A85" s="1" t="s">
        <v>114</v>
      </c>
      <c r="B85" t="s">
        <v>134</v>
      </c>
      <c r="C85" t="s">
        <v>191</v>
      </c>
      <c r="D85">
        <v>0</v>
      </c>
    </row>
    <row r="86" spans="1:6" x14ac:dyDescent="0.25">
      <c r="A86" s="1" t="s">
        <v>158</v>
      </c>
      <c r="B86" t="s">
        <v>159</v>
      </c>
      <c r="C86" t="s">
        <v>191</v>
      </c>
      <c r="D86">
        <v>0</v>
      </c>
      <c r="E86">
        <f>1-SUM(E77:E85)</f>
        <v>0.60550000000000004</v>
      </c>
      <c r="F86" t="s">
        <v>241</v>
      </c>
    </row>
    <row r="87" spans="1:6" x14ac:dyDescent="0.25">
      <c r="A87" s="1" t="s">
        <v>123</v>
      </c>
      <c r="B87" t="s">
        <v>115</v>
      </c>
      <c r="D87">
        <v>1</v>
      </c>
      <c r="E87" s="4">
        <v>2.2000000000000002</v>
      </c>
      <c r="F87" t="s">
        <v>239</v>
      </c>
    </row>
    <row r="88" spans="1:6" x14ac:dyDescent="0.25">
      <c r="A88" s="1" t="s">
        <v>124</v>
      </c>
      <c r="B88" t="s">
        <v>222</v>
      </c>
      <c r="D88">
        <v>1</v>
      </c>
    </row>
    <row r="89" spans="1:6" x14ac:dyDescent="0.25">
      <c r="A89" s="1" t="s">
        <v>125</v>
      </c>
      <c r="B89" t="s">
        <v>116</v>
      </c>
      <c r="D89">
        <v>1</v>
      </c>
      <c r="E89">
        <v>2.2000000000000002</v>
      </c>
    </row>
    <row r="90" spans="1:6" x14ac:dyDescent="0.25">
      <c r="A90" s="1" t="s">
        <v>126</v>
      </c>
      <c r="B90" t="s">
        <v>117</v>
      </c>
      <c r="D90">
        <v>1</v>
      </c>
      <c r="E90">
        <v>1.05</v>
      </c>
    </row>
    <row r="91" spans="1:6" x14ac:dyDescent="0.25">
      <c r="A91" s="1" t="s">
        <v>127</v>
      </c>
      <c r="B91" t="s">
        <v>177</v>
      </c>
      <c r="D91">
        <v>1</v>
      </c>
    </row>
    <row r="92" spans="1:6" x14ac:dyDescent="0.25">
      <c r="A92" s="1" t="s">
        <v>128</v>
      </c>
      <c r="B92" t="s">
        <v>163</v>
      </c>
      <c r="D92">
        <v>1</v>
      </c>
    </row>
    <row r="93" spans="1:6" x14ac:dyDescent="0.25">
      <c r="A93" s="1" t="s">
        <v>129</v>
      </c>
      <c r="B93" t="s">
        <v>118</v>
      </c>
      <c r="D93">
        <v>1</v>
      </c>
    </row>
    <row r="94" spans="1:6" x14ac:dyDescent="0.25">
      <c r="A94" s="1" t="s">
        <v>130</v>
      </c>
      <c r="B94" t="s">
        <v>119</v>
      </c>
      <c r="D94">
        <v>1</v>
      </c>
    </row>
    <row r="95" spans="1:6" x14ac:dyDescent="0.25">
      <c r="A95" s="1" t="s">
        <v>131</v>
      </c>
      <c r="B95" t="s">
        <v>120</v>
      </c>
      <c r="D95">
        <v>1</v>
      </c>
    </row>
    <row r="96" spans="1:6" x14ac:dyDescent="0.25">
      <c r="A96" s="1" t="s">
        <v>132</v>
      </c>
      <c r="B96" t="s">
        <v>135</v>
      </c>
      <c r="D96">
        <v>1</v>
      </c>
    </row>
    <row r="97" spans="1:5" x14ac:dyDescent="0.25">
      <c r="A97" s="1" t="s">
        <v>161</v>
      </c>
      <c r="B97" t="s">
        <v>162</v>
      </c>
      <c r="D97">
        <v>1</v>
      </c>
      <c r="E97">
        <v>0.11</v>
      </c>
    </row>
    <row r="99" spans="1:5" x14ac:dyDescent="0.25">
      <c r="A99" s="1" t="s">
        <v>0</v>
      </c>
      <c r="B99" s="1" t="s">
        <v>25</v>
      </c>
      <c r="C99" s="1" t="s">
        <v>26</v>
      </c>
      <c r="D99" s="1" t="s">
        <v>186</v>
      </c>
      <c r="E99" s="1" t="s">
        <v>3</v>
      </c>
    </row>
    <row r="100" spans="1:5" x14ac:dyDescent="0.25">
      <c r="A100" s="1" t="s">
        <v>35</v>
      </c>
      <c r="B100" t="s">
        <v>36</v>
      </c>
      <c r="E100">
        <v>0.46</v>
      </c>
    </row>
    <row r="102" spans="1:5" x14ac:dyDescent="0.25">
      <c r="A102" s="1" t="s">
        <v>0</v>
      </c>
      <c r="B102" s="1" t="s">
        <v>74</v>
      </c>
      <c r="C102" s="1" t="s">
        <v>3</v>
      </c>
      <c r="D102" s="1"/>
      <c r="E102" s="1" t="s">
        <v>193</v>
      </c>
    </row>
    <row r="103" spans="1:5" x14ac:dyDescent="0.25">
      <c r="A103" s="1" t="s">
        <v>75</v>
      </c>
      <c r="B103" t="s">
        <v>76</v>
      </c>
    </row>
    <row r="104" spans="1:5" x14ac:dyDescent="0.25">
      <c r="A104" s="1" t="s">
        <v>77</v>
      </c>
      <c r="B104" t="s">
        <v>78</v>
      </c>
    </row>
    <row r="105" spans="1:5" x14ac:dyDescent="0.25">
      <c r="A105" s="1" t="s">
        <v>79</v>
      </c>
      <c r="B105" t="s">
        <v>80</v>
      </c>
    </row>
  </sheetData>
  <conditionalFormatting sqref="E15">
    <cfRule type="cellIs" dxfId="5" priority="1" operator="greaterThan">
      <formula>0</formula>
    </cfRule>
    <cfRule type="cellIs" dxfId="4" priority="2" operator="lessThan">
      <formula>0</formula>
    </cfRule>
    <cfRule type="cellIs" dxfId="3" priority="3" operator="equal">
      <formula>0</formula>
    </cfRule>
  </conditionalFormatting>
  <conditionalFormatting sqref="E16">
    <cfRule type="cellIs" dxfId="2" priority="4" operator="lessThan">
      <formula>0.8</formula>
    </cfRule>
    <cfRule type="cellIs" dxfId="1" priority="5" operator="greaterThan">
      <formula>1.2</formula>
    </cfRule>
    <cfRule type="cellIs" dxfId="0" priority="6" operator="between">
      <formula>0.8</formula>
      <formula>1.2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07526348C97345843FB1F7E3F5FF14" ma:contentTypeVersion="20" ma:contentTypeDescription="Create a new document." ma:contentTypeScope="" ma:versionID="1022ded5d06c8e179fc5cb1f3704017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2ba80736-48fa-4d73-aaff-bacaeeed013a" xmlns:ns6="41d9f072-86bf-4c63-b117-debf50ff4701" targetNamespace="http://schemas.microsoft.com/office/2006/metadata/properties" ma:root="true" ma:fieldsID="edea5721ce64dde47a72ba01132ba27b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2ba80736-48fa-4d73-aaff-bacaeeed013a"/>
    <xsd:import namespace="41d9f072-86bf-4c63-b117-debf50ff4701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6:SharedWithUsers" minOccurs="0"/>
                <xsd:element ref="ns6:SharedWithDetails" minOccurs="0"/>
                <xsd:element ref="ns5:MediaServiceGenerationTime" minOccurs="0"/>
                <xsd:element ref="ns5:MediaServiceEventHashCode" minOccurs="0"/>
                <xsd:element ref="ns5:MediaServiceAutoKeyPoints" minOccurs="0"/>
                <xsd:element ref="ns5:MediaServiceKeyPoints" minOccurs="0"/>
                <xsd:element ref="ns5:MediaServiceDateTaken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  <xsd:element ref="ns5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3f8140d4-46ad-4523-b80f-0b31c25fa229}" ma:internalName="TaxCatchAllLabel" ma:readOnly="true" ma:showField="CatchAllDataLabel" ma:web="41d9f072-86bf-4c63-b117-debf50ff47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3f8140d4-46ad-4523-b80f-0b31c25fa229}" ma:internalName="TaxCatchAll" ma:showField="CatchAllData" ma:web="41d9f072-86bf-4c63-b117-debf50ff47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a80736-48fa-4d73-aaff-bacaeeed01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1" nillable="true" ma:displayName="MediaServiceAutoTags" ma:internalName="MediaServiceAutoTags" ma:readOnly="true">
      <xsd:simpleType>
        <xsd:restriction base="dms:Text"/>
      </xsd:simpleType>
    </xsd:element>
    <xsd:element name="MediaServiceOCR" ma:index="3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41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4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d9f072-86bf-4c63-b117-debf50ff4701" elementFormDefault="qualified">
    <xsd:import namespace="http://schemas.microsoft.com/office/2006/documentManagement/types"/>
    <xsd:import namespace="http://schemas.microsoft.com/office/infopath/2007/PartnerControls"/>
    <xsd:element name="SharedWithUsers" ma:index="3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2020-10-14T20:30:29+00:00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e3f09c3df709400db2417a7161762d62 xmlns="4ffa91fb-a0ff-4ac5-b2db-65c790d184a4">
      <Terms xmlns="http://schemas.microsoft.com/office/infopath/2007/PartnerControls"/>
    </e3f09c3df709400db2417a7161762d62>
    <lcf76f155ced4ddcb4097134ff3c332f xmlns="2ba80736-48fa-4d73-aaff-bacaeeed013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011AFB3F-BB20-4A7B-8AFF-D3F59F8128F8}"/>
</file>

<file path=customXml/itemProps2.xml><?xml version="1.0" encoding="utf-8"?>
<ds:datastoreItem xmlns:ds="http://schemas.openxmlformats.org/officeDocument/2006/customXml" ds:itemID="{AA939294-F21F-45CD-81A6-3A616888DAC5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93237db7-bebb-43bb-9414-bc3313990c09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4DC26B68-A11F-428F-9051-23DC6334A81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C4A2D8C-C5B5-46A0-8FC1-3730CC1A83D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MaleRat_2blood_noapprox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Bernstein, Amanda</dc:creator>
  <cp:lastModifiedBy>Schlosser, Paul</cp:lastModifiedBy>
  <dcterms:created xsi:type="dcterms:W3CDTF">2020-10-14T17:32:53Z</dcterms:created>
  <dcterms:modified xsi:type="dcterms:W3CDTF">2025-08-20T15:20:13Z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0x010100C107526348C97345843FB1F7E3F5FF14</vt:lpwstr>
  </property>
  <property fmtid="{D5CDD505-2E9C-101B-9397-08002B2CF9AE}" pid="3" name="TaxKeyword">
    <vt:lpwstr/>
  </property>
  <property fmtid="{D5CDD505-2E9C-101B-9397-08002B2CF9AE}" pid="4" name="Document_x0020_Type">
    <vt:lpwstr/>
  </property>
  <property fmtid="{D5CDD505-2E9C-101B-9397-08002B2CF9AE}" pid="5" name="MediaServiceImageTags">
    <vt:lpwstr/>
  </property>
  <property fmtid="{D5CDD505-2E9C-101B-9397-08002B2CF9AE}" pid="6" name="EPA Subject">
    <vt:lpwstr/>
  </property>
  <property fmtid="{D5CDD505-2E9C-101B-9397-08002B2CF9AE}" pid="7" name="EPA_x0020_Subject">
    <vt:lpwstr/>
  </property>
  <property fmtid="{D5CDD505-2E9C-101B-9397-08002B2CF9AE}" pid="8" name="Document Type">
    <vt:lpwstr/>
  </property>
</Properties>
</file>