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hreadedComments/threadedComment3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threadedComments/threadedComment2.xml" ContentType="application/vnd.ms-excel.threadedcomment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externalLinks/externalLink1.xml" ContentType="application/vnd.openxmlformats-officedocument.spreadsheetml.externalLink+xml"/>
  <Override PartName="/xl/comments3.xml" ContentType="application/vnd.openxmlformats-officedocument.spreadsheetml.comments+xml"/>
  <Override PartName="/xl/comments2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\\iec.local\jen\CIRA_Synthesis\Maternal Health\02_Stressors and impacts\Full Analysis\Valuation\"/>
    </mc:Choice>
  </mc:AlternateContent>
  <xr:revisionPtr revIDLastSave="0" documentId="13_ncr:1_{2BBC8B50-E8AA-412F-8EB2-C1C08FE9C8B4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morbidity_import" sheetId="8" r:id="rId1"/>
    <sheet name="VSL_import" sheetId="9" r:id="rId2"/>
    <sheet name="GDP deflator" sheetId="6" r:id="rId3"/>
    <sheet name="PE-E" sheetId="7" r:id="rId4"/>
    <sheet name="SB" sheetId="5" r:id="rId5"/>
    <sheet name="LBW" sheetId="4" r:id="rId6"/>
    <sheet name="GD" sheetId="3" r:id="rId7"/>
    <sheet name="PTB" sheetId="2" r:id="rId8"/>
  </sheets>
  <externalReferences>
    <externalReference r:id="rId9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3" i="7" l="1"/>
  <c r="N13" i="7"/>
  <c r="Q13" i="7"/>
  <c r="P13" i="7"/>
  <c r="N14" i="7"/>
  <c r="O14" i="7" s="1"/>
  <c r="Q14" i="7" s="1"/>
  <c r="P14" i="7"/>
  <c r="N15" i="7"/>
  <c r="O15" i="7"/>
  <c r="P15" i="7"/>
  <c r="Q15" i="7"/>
  <c r="N16" i="7"/>
  <c r="O16" i="7"/>
  <c r="P16" i="7"/>
  <c r="N17" i="7"/>
  <c r="O17" i="7"/>
  <c r="P17" i="7"/>
  <c r="Q17" i="7"/>
  <c r="N18" i="7"/>
  <c r="O18" i="7"/>
  <c r="P18" i="7"/>
  <c r="Q18" i="7"/>
  <c r="C44" i="7"/>
  <c r="Q7" i="3"/>
  <c r="Q8" i="3"/>
  <c r="Q9" i="3"/>
  <c r="Q10" i="3"/>
  <c r="Q11" i="3"/>
  <c r="Q6" i="3"/>
  <c r="S6" i="3" s="1"/>
  <c r="P7" i="3"/>
  <c r="P8" i="3"/>
  <c r="P9" i="3"/>
  <c r="P10" i="3"/>
  <c r="P11" i="3"/>
  <c r="P6" i="3"/>
  <c r="R6" i="3" s="1"/>
  <c r="C19" i="3"/>
  <c r="D14" i="3"/>
  <c r="E14" i="3" s="1"/>
  <c r="B5" i="8"/>
  <c r="H3" i="2"/>
  <c r="H4" i="2"/>
  <c r="H5" i="2"/>
  <c r="H6" i="2"/>
  <c r="H2" i="2"/>
  <c r="H3" i="4"/>
  <c r="H4" i="4"/>
  <c r="H5" i="4"/>
  <c r="H6" i="4"/>
  <c r="H2" i="4"/>
  <c r="B6" i="8"/>
  <c r="G4" i="2"/>
  <c r="G3" i="2"/>
  <c r="R5" i="7"/>
  <c r="Q5" i="7"/>
  <c r="P5" i="7"/>
  <c r="O5" i="7"/>
  <c r="N5" i="7"/>
  <c r="M5" i="7"/>
  <c r="E4" i="6"/>
  <c r="A4" i="6"/>
  <c r="B28" i="5"/>
  <c r="B27" i="5"/>
  <c r="B26" i="5"/>
  <c r="B25" i="5"/>
  <c r="B24" i="5"/>
  <c r="B23" i="5"/>
  <c r="B20" i="5"/>
  <c r="B19" i="5"/>
  <c r="B18" i="5"/>
  <c r="B17" i="5"/>
  <c r="B16" i="5"/>
  <c r="B15" i="5"/>
  <c r="D13" i="5"/>
  <c r="B4" i="8" s="1"/>
  <c r="Q16" i="7" l="1"/>
  <c r="T6" i="3"/>
  <c r="A48" i="6"/>
  <c r="A47" i="6"/>
  <c r="A46" i="6"/>
  <c r="A45" i="6"/>
  <c r="A44" i="6"/>
  <c r="A43" i="6"/>
  <c r="A42" i="6"/>
  <c r="A41" i="6"/>
  <c r="A40" i="6"/>
  <c r="A39" i="6"/>
  <c r="A38" i="6"/>
  <c r="A37" i="6"/>
  <c r="A36" i="6"/>
  <c r="A35" i="6"/>
  <c r="A34" i="6"/>
  <c r="A33" i="6"/>
  <c r="A32" i="6"/>
  <c r="A31" i="6"/>
  <c r="A30" i="6"/>
  <c r="A29" i="6"/>
  <c r="A28" i="6"/>
  <c r="A27" i="6"/>
  <c r="A26" i="6"/>
  <c r="A25" i="6"/>
  <c r="A24" i="6"/>
  <c r="A23" i="6"/>
  <c r="A22" i="6"/>
  <c r="A21" i="6"/>
  <c r="A20" i="6"/>
  <c r="A19" i="6"/>
  <c r="A18" i="6"/>
  <c r="A17" i="6"/>
  <c r="A16" i="6"/>
  <c r="A15" i="6"/>
  <c r="A14" i="6"/>
  <c r="A13" i="6"/>
  <c r="A12" i="6"/>
  <c r="A11" i="6"/>
  <c r="A10" i="6"/>
  <c r="A9" i="6"/>
  <c r="A8" i="6"/>
  <c r="A7" i="6"/>
  <c r="A6" i="6"/>
  <c r="A5" i="6"/>
  <c r="D15" i="5"/>
  <c r="I15" i="5" s="1"/>
  <c r="C15" i="5"/>
  <c r="D16" i="5"/>
  <c r="I16" i="5" s="1"/>
  <c r="C16" i="5"/>
  <c r="D17" i="5"/>
  <c r="I17" i="5" s="1"/>
  <c r="C17" i="5"/>
  <c r="D18" i="5"/>
  <c r="I18" i="5" s="1"/>
  <c r="C18" i="5"/>
  <c r="D19" i="5"/>
  <c r="I19" i="5" s="1"/>
  <c r="C19" i="5"/>
  <c r="D20" i="5"/>
  <c r="I20" i="5" s="1"/>
  <c r="C20" i="5"/>
  <c r="D23" i="5"/>
  <c r="I23" i="5" s="1"/>
  <c r="C23" i="5"/>
  <c r="D24" i="5"/>
  <c r="I24" i="5" s="1"/>
  <c r="C24" i="5"/>
  <c r="D25" i="5"/>
  <c r="I25" i="5" s="1"/>
  <c r="C25" i="5"/>
  <c r="D26" i="5"/>
  <c r="I26" i="5" s="1"/>
  <c r="C26" i="5"/>
  <c r="D27" i="5"/>
  <c r="I27" i="5" s="1"/>
  <c r="C27" i="5"/>
  <c r="D28" i="5"/>
  <c r="I28" i="5" s="1"/>
  <c r="C28" i="5"/>
  <c r="S15" i="7" l="1"/>
  <c r="N22" i="7"/>
  <c r="S14" i="7"/>
  <c r="N21" i="7"/>
  <c r="S18" i="7"/>
  <c r="N25" i="7"/>
  <c r="S17" i="7"/>
  <c r="N24" i="7"/>
  <c r="S16" i="7"/>
  <c r="N23" i="7"/>
  <c r="N20" i="7"/>
  <c r="S13" i="7"/>
  <c r="H28" i="5"/>
  <c r="E28" i="5"/>
  <c r="F28" i="5" s="1"/>
  <c r="H27" i="5"/>
  <c r="E27" i="5"/>
  <c r="F27" i="5" s="1"/>
  <c r="H26" i="5"/>
  <c r="E26" i="5"/>
  <c r="F26" i="5" s="1"/>
  <c r="H25" i="5"/>
  <c r="E25" i="5"/>
  <c r="F25" i="5" s="1"/>
  <c r="H24" i="5"/>
  <c r="E24" i="5"/>
  <c r="F24" i="5" s="1"/>
  <c r="H23" i="5"/>
  <c r="E23" i="5"/>
  <c r="F23" i="5" s="1"/>
  <c r="H20" i="5"/>
  <c r="E20" i="5"/>
  <c r="H19" i="5"/>
  <c r="E19" i="5"/>
  <c r="H18" i="5"/>
  <c r="E18" i="5"/>
  <c r="H17" i="5"/>
  <c r="E17" i="5"/>
  <c r="H16" i="5"/>
  <c r="E16" i="5"/>
  <c r="H15" i="5"/>
  <c r="E15" i="5"/>
  <c r="C36" i="4"/>
  <c r="C35" i="4"/>
  <c r="C34" i="4"/>
  <c r="S33" i="4"/>
  <c r="R33" i="4"/>
  <c r="Q33" i="4"/>
  <c r="P33" i="4"/>
  <c r="O33" i="4"/>
  <c r="N33" i="4"/>
  <c r="C33" i="4"/>
  <c r="C32" i="4"/>
  <c r="C31" i="4"/>
  <c r="C30" i="4"/>
  <c r="C29" i="4"/>
  <c r="M25" i="4"/>
  <c r="M24" i="4"/>
  <c r="M23" i="4"/>
  <c r="C23" i="4"/>
  <c r="M22" i="4"/>
  <c r="C22" i="4"/>
  <c r="M21" i="4"/>
  <c r="M20" i="4"/>
  <c r="B13" i="4"/>
  <c r="C13" i="4" s="1"/>
  <c r="C12" i="4"/>
  <c r="C11" i="4"/>
  <c r="C10" i="4"/>
  <c r="C9" i="4"/>
  <c r="C8" i="4"/>
  <c r="C7" i="4"/>
  <c r="G6" i="4"/>
  <c r="D6" i="4"/>
  <c r="C6" i="4"/>
  <c r="G5" i="4"/>
  <c r="F5" i="4"/>
  <c r="F6" i="4" s="1"/>
  <c r="D5" i="4"/>
  <c r="C5" i="4"/>
  <c r="G4" i="4"/>
  <c r="D4" i="4"/>
  <c r="C4" i="4"/>
  <c r="G3" i="4"/>
  <c r="D3" i="4"/>
  <c r="C3" i="4"/>
  <c r="G2" i="4"/>
  <c r="F2" i="4"/>
  <c r="F3" i="4" s="1"/>
  <c r="F4" i="4" s="1"/>
  <c r="D2" i="4"/>
  <c r="C2" i="4"/>
  <c r="F9" i="9" l="1"/>
  <c r="F21" i="9"/>
  <c r="F10" i="9"/>
  <c r="F22" i="9"/>
  <c r="F11" i="9"/>
  <c r="F23" i="9"/>
  <c r="F12" i="9"/>
  <c r="F24" i="9"/>
  <c r="F13" i="9"/>
  <c r="F25" i="9"/>
  <c r="F14" i="9"/>
  <c r="F26" i="9"/>
  <c r="F3" i="9"/>
  <c r="F15" i="9"/>
  <c r="F27" i="9"/>
  <c r="F4" i="9"/>
  <c r="F16" i="9"/>
  <c r="F2" i="9"/>
  <c r="F5" i="9"/>
  <c r="F17" i="9"/>
  <c r="F6" i="9"/>
  <c r="F18" i="9"/>
  <c r="F7" i="9"/>
  <c r="F19" i="9"/>
  <c r="F8" i="9"/>
  <c r="F20" i="9"/>
  <c r="P7" i="4"/>
  <c r="N7" i="4"/>
  <c r="P6" i="4"/>
  <c r="N6" i="4"/>
  <c r="P5" i="4"/>
  <c r="N5" i="4"/>
  <c r="P4" i="4"/>
  <c r="N4" i="4"/>
  <c r="P3" i="4"/>
  <c r="N3" i="4"/>
  <c r="P2" i="4"/>
  <c r="N2" i="4"/>
  <c r="P20" i="4"/>
  <c r="N20" i="4"/>
  <c r="O20" i="4" s="1"/>
  <c r="P21" i="4"/>
  <c r="N21" i="4"/>
  <c r="O21" i="4" s="1"/>
  <c r="Q21" i="4" s="1"/>
  <c r="R21" i="4" s="1"/>
  <c r="P22" i="4"/>
  <c r="N22" i="4"/>
  <c r="O22" i="4" s="1"/>
  <c r="Q22" i="4" s="1"/>
  <c r="R22" i="4" s="1"/>
  <c r="P23" i="4"/>
  <c r="N23" i="4"/>
  <c r="O23" i="4" s="1"/>
  <c r="Q23" i="4" s="1"/>
  <c r="R23" i="4" s="1"/>
  <c r="P24" i="4"/>
  <c r="N24" i="4"/>
  <c r="O24" i="4" s="1"/>
  <c r="Q24" i="4" s="1"/>
  <c r="R24" i="4" s="1"/>
  <c r="P25" i="4"/>
  <c r="N25" i="4"/>
  <c r="O25" i="4" s="1"/>
  <c r="Q25" i="4" s="1"/>
  <c r="R25" i="4" s="1"/>
  <c r="Q20" i="4" l="1"/>
  <c r="R20" i="4" s="1"/>
  <c r="N9" i="4"/>
  <c r="O2" i="4"/>
  <c r="Q2" i="4" s="1"/>
  <c r="R2" i="4" s="1"/>
  <c r="N10" i="4"/>
  <c r="O3" i="4"/>
  <c r="Q3" i="4" s="1"/>
  <c r="R3" i="4" s="1"/>
  <c r="N11" i="4"/>
  <c r="O4" i="4"/>
  <c r="Q4" i="4" s="1"/>
  <c r="R4" i="4" s="1"/>
  <c r="N12" i="4"/>
  <c r="O5" i="4"/>
  <c r="Q5" i="4" s="1"/>
  <c r="R5" i="4" s="1"/>
  <c r="N13" i="4"/>
  <c r="O6" i="4"/>
  <c r="Q6" i="4" s="1"/>
  <c r="R6" i="4" s="1"/>
  <c r="N14" i="4"/>
  <c r="O7" i="4"/>
  <c r="Q7" i="4" s="1"/>
  <c r="R7" i="4" s="1"/>
  <c r="D15" i="3"/>
  <c r="H5" i="3"/>
  <c r="G5" i="3"/>
  <c r="F5" i="3"/>
  <c r="E5" i="3"/>
  <c r="D5" i="3"/>
  <c r="C5" i="3"/>
  <c r="E6" i="9" l="1"/>
  <c r="E18" i="9"/>
  <c r="E7" i="9"/>
  <c r="E19" i="9"/>
  <c r="E8" i="9"/>
  <c r="E20" i="9"/>
  <c r="E9" i="9"/>
  <c r="E21" i="9"/>
  <c r="E10" i="9"/>
  <c r="E22" i="9"/>
  <c r="E11" i="9"/>
  <c r="E23" i="9"/>
  <c r="E12" i="9"/>
  <c r="E24" i="9"/>
  <c r="E13" i="9"/>
  <c r="E25" i="9"/>
  <c r="E14" i="9"/>
  <c r="E26" i="9"/>
  <c r="E3" i="9"/>
  <c r="E15" i="9"/>
  <c r="E27" i="9"/>
  <c r="E4" i="9"/>
  <c r="E16" i="9"/>
  <c r="E2" i="9"/>
  <c r="E5" i="9"/>
  <c r="E17" i="9"/>
  <c r="S7" i="3"/>
  <c r="R7" i="3"/>
  <c r="T7" i="3" s="1"/>
  <c r="S8" i="3"/>
  <c r="R8" i="3"/>
  <c r="T8" i="3" s="1"/>
  <c r="S9" i="3"/>
  <c r="R9" i="3"/>
  <c r="T9" i="3" s="1"/>
  <c r="S10" i="3"/>
  <c r="R10" i="3"/>
  <c r="T10" i="3" s="1"/>
  <c r="S11" i="3"/>
  <c r="R11" i="3"/>
  <c r="T11" i="3" s="1"/>
  <c r="C39" i="2"/>
  <c r="C38" i="2"/>
  <c r="C37" i="2"/>
  <c r="C36" i="2"/>
  <c r="C35" i="2"/>
  <c r="C34" i="2"/>
  <c r="S33" i="2"/>
  <c r="R33" i="2"/>
  <c r="Q33" i="2"/>
  <c r="P33" i="2"/>
  <c r="O33" i="2"/>
  <c r="N33" i="2"/>
  <c r="C33" i="2"/>
  <c r="C32" i="2"/>
  <c r="M25" i="2"/>
  <c r="C25" i="2"/>
  <c r="M24" i="2"/>
  <c r="C24" i="2"/>
  <c r="M23" i="2"/>
  <c r="C23" i="2"/>
  <c r="M22" i="2"/>
  <c r="C22" i="2"/>
  <c r="M21" i="2"/>
  <c r="M20" i="2"/>
  <c r="B12" i="2"/>
  <c r="C12" i="2" s="1"/>
  <c r="C11" i="2"/>
  <c r="C10" i="2"/>
  <c r="C9" i="2"/>
  <c r="C8" i="2"/>
  <c r="C7" i="2"/>
  <c r="G6" i="2"/>
  <c r="F6" i="2"/>
  <c r="D6" i="2"/>
  <c r="C6" i="2"/>
  <c r="G5" i="2"/>
  <c r="F5" i="2"/>
  <c r="D5" i="2"/>
  <c r="C5" i="2"/>
  <c r="F4" i="2"/>
  <c r="D4" i="2"/>
  <c r="C4" i="2"/>
  <c r="F3" i="2"/>
  <c r="D3" i="2"/>
  <c r="C3" i="2"/>
  <c r="G2" i="2"/>
  <c r="F2" i="2"/>
  <c r="D2" i="2"/>
  <c r="C2" i="2"/>
  <c r="P2" i="2" l="1"/>
  <c r="N2" i="2"/>
  <c r="P7" i="2"/>
  <c r="N7" i="2"/>
  <c r="P6" i="2"/>
  <c r="N6" i="2"/>
  <c r="P5" i="2"/>
  <c r="N5" i="2"/>
  <c r="P4" i="2"/>
  <c r="N4" i="2"/>
  <c r="P3" i="2"/>
  <c r="N3" i="2"/>
  <c r="P20" i="2"/>
  <c r="N20" i="2"/>
  <c r="O20" i="2" s="1"/>
  <c r="P21" i="2"/>
  <c r="N21" i="2"/>
  <c r="O21" i="2" s="1"/>
  <c r="Q21" i="2" s="1"/>
  <c r="R21" i="2" s="1"/>
  <c r="P22" i="2"/>
  <c r="N22" i="2"/>
  <c r="O22" i="2" s="1"/>
  <c r="Q22" i="2" s="1"/>
  <c r="R22" i="2" s="1"/>
  <c r="P23" i="2"/>
  <c r="N23" i="2"/>
  <c r="O23" i="2" s="1"/>
  <c r="Q23" i="2" s="1"/>
  <c r="R23" i="2" s="1"/>
  <c r="P24" i="2"/>
  <c r="N24" i="2"/>
  <c r="O24" i="2" s="1"/>
  <c r="Q24" i="2" s="1"/>
  <c r="R24" i="2" s="1"/>
  <c r="P25" i="2"/>
  <c r="N25" i="2"/>
  <c r="O25" i="2" s="1"/>
  <c r="Q25" i="2" s="1"/>
  <c r="R25" i="2" s="1"/>
  <c r="Q20" i="2" l="1"/>
  <c r="R20" i="2" s="1"/>
  <c r="N9" i="2"/>
  <c r="O2" i="2"/>
  <c r="Q2" i="2"/>
  <c r="R2" i="2" s="1"/>
  <c r="N10" i="2"/>
  <c r="O3" i="2"/>
  <c r="Q3" i="2" s="1"/>
  <c r="R3" i="2" s="1"/>
  <c r="N11" i="2"/>
  <c r="O4" i="2"/>
  <c r="Q4" i="2" s="1"/>
  <c r="R4" i="2" s="1"/>
  <c r="N12" i="2"/>
  <c r="O5" i="2"/>
  <c r="Q5" i="2" s="1"/>
  <c r="R5" i="2" s="1"/>
  <c r="N13" i="2"/>
  <c r="O6" i="2"/>
  <c r="Q6" i="2" s="1"/>
  <c r="R6" i="2" s="1"/>
  <c r="N14" i="2"/>
  <c r="O7" i="2"/>
  <c r="Q7" i="2" s="1"/>
  <c r="R7" i="2" s="1"/>
  <c r="G9" i="2"/>
  <c r="B2" i="8" s="1"/>
  <c r="G8" i="4"/>
  <c r="B3" i="8" s="1"/>
  <c r="D5" i="9" l="1"/>
  <c r="D17" i="9"/>
  <c r="D6" i="9"/>
  <c r="D18" i="9"/>
  <c r="D10" i="9"/>
  <c r="D11" i="9"/>
  <c r="D23" i="9"/>
  <c r="D12" i="9"/>
  <c r="D13" i="9"/>
  <c r="D14" i="9"/>
  <c r="D3" i="9"/>
  <c r="D16" i="9"/>
  <c r="D7" i="9"/>
  <c r="D19" i="9"/>
  <c r="D8" i="9"/>
  <c r="D20" i="9"/>
  <c r="D9" i="9"/>
  <c r="D21" i="9"/>
  <c r="D22" i="9"/>
  <c r="D24" i="9"/>
  <c r="D25" i="9"/>
  <c r="D26" i="9"/>
  <c r="D15" i="9"/>
  <c r="D27" i="9"/>
  <c r="D4" i="9"/>
  <c r="D2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tc={E76D298A-1F49-4652-B757-3052DB081A72}</author>
  </authors>
  <commentList>
    <comment ref="C13" authorId="0" shapeId="0" xr:uid="{E76D298A-1F49-4652-B757-3052DB081A72}">
      <text>
        <t>[Threaded comment]
Your version of Excel allows you to read this threaded comment; however, any edits to it will get removed if the file is opened in a newer version of Excel. Learn more: https://go.microsoft.com/fwlink/?linkid=870924
Comment:
    Is this already in 2023$? If not, do we have a dollar year from Dockins and Giffins?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tc={C4EE81D7-4D04-4A47-BFC9-A4BF11463242}</author>
  </authors>
  <commentList>
    <comment ref="B11" authorId="0" shapeId="0" xr:uid="{C4EE81D7-4D04-4A47-BFC9-A4BF11463242}">
      <text>
        <t>[Threaded comment]
Your version of Excel allows you to read this threaded comment; however, any edits to it will get removed if the file is opened in a newer version of Excel. Learn more: https://go.microsoft.com/fwlink/?linkid=870924
Comment:
    The paper does not list a dollar year. Instead it says costs “were not adjusted for inflation”. Cost data from 2004-2011. suggestion to average dollar year adjustment for 2004-2011 to 2023</t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tc={DECA9230-0E3F-467D-A07C-8DF3DEAB82A8}</author>
  </authors>
  <commentList>
    <comment ref="G3" authorId="0" shapeId="0" xr:uid="{DECA9230-0E3F-467D-A07C-8DF3DEAB82A8}">
      <text>
        <t>[Threaded comment]
Your version of Excel allows you to read this threaded comment; however, any edits to it will get removed if the file is opened in a newer version of Excel. Learn more: https://go.microsoft.com/fwlink/?linkid=870924
Comment:
    Should this average not also include cell C35 to capture costs at 27 weeks? 
Reply:
    Subsequent averages in column G include healthcare spending for lengths of gestation only partially within the range in column A</t>
      </text>
    </comment>
  </commentList>
</comments>
</file>

<file path=xl/sharedStrings.xml><?xml version="1.0" encoding="utf-8"?>
<sst xmlns="http://schemas.openxmlformats.org/spreadsheetml/2006/main" count="346" uniqueCount="192">
  <si>
    <t>Portion of births that result in death</t>
  </si>
  <si>
    <t>Healthcare spending</t>
  </si>
  <si>
    <t>Ben's heat results</t>
  </si>
  <si>
    <t>Number that result in mortality</t>
  </si>
  <si>
    <t>With VSL</t>
  </si>
  <si>
    <t>Healthcare costs</t>
  </si>
  <si>
    <t>Total $</t>
  </si>
  <si>
    <t>Total $ (billions)</t>
  </si>
  <si>
    <t>under 20 weeks</t>
  </si>
  <si>
    <t>1 C</t>
  </si>
  <si>
    <t>20-27 weeks</t>
  </si>
  <si>
    <t>2 C</t>
  </si>
  <si>
    <t>28-31 weeks</t>
  </si>
  <si>
    <t>3 C</t>
  </si>
  <si>
    <t>32-33 weeks</t>
  </si>
  <si>
    <t>4 C</t>
  </si>
  <si>
    <t>34-36 weeks</t>
  </si>
  <si>
    <t>5 C</t>
  </si>
  <si>
    <t>37-38 weeks</t>
  </si>
  <si>
    <t>6 C</t>
  </si>
  <si>
    <t>39 weeks</t>
  </si>
  <si>
    <t>40 weeks</t>
  </si>
  <si>
    <t>&lt;-- weighted average healthcare spending</t>
  </si>
  <si>
    <t>41 weeks</t>
  </si>
  <si>
    <t>&lt;-- lifetime cost used so far (seems way too low)</t>
  </si>
  <si>
    <t>Other non-monetized LT consequences of PTB:</t>
  </si>
  <si>
    <t>42 weeks or more</t>
  </si>
  <si>
    <t>https://www.sciencedirect.com/science/article/abs/pii/S0091743516302304</t>
  </si>
  <si>
    <t>PTB</t>
  </si>
  <si>
    <t>2007-2013 CONUS births by birthweight</t>
  </si>
  <si>
    <t>Substantial burden on special education and social services</t>
  </si>
  <si>
    <t>PTB: &lt;37 weeks</t>
  </si>
  <si>
    <t xml:space="preserve">To do: </t>
  </si>
  <si>
    <t xml:space="preserve">https://onlinelibrary.wiley.com/doi/abs/10.1046/j.1365-2214.2001.00203.x </t>
  </si>
  <si>
    <t>apply correct VSL by year</t>
  </si>
  <si>
    <t>Infant death rates per 1,000 live births</t>
  </si>
  <si>
    <t>adjust dollar years as necessary</t>
  </si>
  <si>
    <t xml:space="preserve">Table 2 here: </t>
  </si>
  <si>
    <t>https://www.cdc.gov/nchs/data/nvsr/nvsr72/nvsr72-11.pdf</t>
  </si>
  <si>
    <t>Isabel's AQ results</t>
  </si>
  <si>
    <t>Period of gestation</t>
  </si>
  <si>
    <t>Less than 28 weeks</t>
  </si>
  <si>
    <t>Healthcare spending 6 months after birth</t>
  </si>
  <si>
    <t>https://www.nature.com/articles/s41372-020-0635-z</t>
  </si>
  <si>
    <t xml:space="preserve">Table 1: https://www.nature.com/articles/s41372-020-0635-z/tables/1 </t>
  </si>
  <si>
    <t>PM2.5</t>
  </si>
  <si>
    <t>Mean</t>
  </si>
  <si>
    <t>Relative to normal birthweight</t>
  </si>
  <si>
    <t>O3</t>
  </si>
  <si>
    <t>Less than 24 weeks</t>
  </si>
  <si>
    <t>Wildfire</t>
  </si>
  <si>
    <t>24 weeks</t>
  </si>
  <si>
    <t>Total</t>
  </si>
  <si>
    <t>25-26 weeks</t>
  </si>
  <si>
    <t>27-28 weeks</t>
  </si>
  <si>
    <t>29-30 weeks</t>
  </si>
  <si>
    <t>31-32 weeks</t>
  </si>
  <si>
    <t>33-34 weeks</t>
  </si>
  <si>
    <t>35-36 weeks</t>
  </si>
  <si>
    <t>Full term</t>
  </si>
  <si>
    <t>2016$</t>
  </si>
  <si>
    <t>Millions</t>
  </si>
  <si>
    <t>GD only</t>
  </si>
  <si>
    <t>GD that becomes Type 2 diabetes</t>
  </si>
  <si>
    <t>Table 4 here</t>
  </si>
  <si>
    <t>https://onlinelibrary.wiley.com/doi/pdf/10.1002/dmrr.2656</t>
  </si>
  <si>
    <t>Mean total medical costs</t>
  </si>
  <si>
    <t>2004-2011 dollar years, apply average adjustment?</t>
  </si>
  <si>
    <t>Relative to non-diabetes</t>
  </si>
  <si>
    <t>Non-diabetes</t>
  </si>
  <si>
    <t>GDM</t>
  </si>
  <si>
    <t>GDM progressing</t>
  </si>
  <si>
    <t>Total discounted lifetime costs associated with diabetes if diagnosed at age 40</t>
  </si>
  <si>
    <t>https://pubmed.ncbi.nlm.nih.gov/25147254/</t>
  </si>
  <si>
    <t>2012$</t>
  </si>
  <si>
    <t>60 percent of GD cases become diabetes</t>
  </si>
  <si>
    <t>https://pmc.ncbi.nlm.nih.gov/articles/PMC4360417/</t>
  </si>
  <si>
    <t>499 grams or less</t>
  </si>
  <si>
    <t>500 - 999 grams</t>
  </si>
  <si>
    <t>1000 - 1499 grams</t>
  </si>
  <si>
    <t>1500 - 1999 grams</t>
  </si>
  <si>
    <t>2000 - 2499 grams</t>
  </si>
  <si>
    <t>2500 - 2999 grams</t>
  </si>
  <si>
    <t>3000 - 3499 grams</t>
  </si>
  <si>
    <t>&lt;-- add weighted average compare</t>
  </si>
  <si>
    <t>3500 - 3999 grams</t>
  </si>
  <si>
    <t>4000 - 4499 grams</t>
  </si>
  <si>
    <t>Other non-monetized LT consequences of LBW:</t>
  </si>
  <si>
    <t>4500 - 4999 grams</t>
  </si>
  <si>
    <t>https://www.sciencedirect.com/science/article/pii/S0085253815512349</t>
  </si>
  <si>
    <t>5000 - 8165 grams</t>
  </si>
  <si>
    <t>https://www.nature.com/articles/s41390-024-03346-6</t>
  </si>
  <si>
    <t>LBW</t>
  </si>
  <si>
    <t>LBW: &lt;2,500 grams</t>
  </si>
  <si>
    <t>Less than 1500 g</t>
  </si>
  <si>
    <t>1500 - 2499 g</t>
  </si>
  <si>
    <t xml:space="preserve">&lt; 500 g </t>
  </si>
  <si>
    <t>500 - 749 g</t>
  </si>
  <si>
    <t xml:space="preserve">450 - 999 g </t>
  </si>
  <si>
    <t>1000 - 1249 g</t>
  </si>
  <si>
    <t xml:space="preserve">1250 - 1499 g </t>
  </si>
  <si>
    <t>1500 - 1749 g</t>
  </si>
  <si>
    <t>1750 - 1999 g</t>
  </si>
  <si>
    <t>2000 - 2499 g</t>
  </si>
  <si>
    <t>Normal birthweight</t>
  </si>
  <si>
    <t>Heat</t>
  </si>
  <si>
    <t>call with Chris Dockins and Charles Giffins (3/19/25)</t>
  </si>
  <si>
    <t>$400,000 - $500,000 per case … a lot higher for the U.S.</t>
  </si>
  <si>
    <t>Veettil et al. 2023</t>
  </si>
  <si>
    <t>https://onlinelibrary.wiley.com/doi/10.1111/birt.12714</t>
  </si>
  <si>
    <t>systematic review, includes 4 studies, unlikely that any of the 4 are in the U.S. (paywalled)</t>
  </si>
  <si>
    <t>Gold et al. 2012</t>
  </si>
  <si>
    <t>https://pmc.ncbi.nlm.nih.gov/articles/PMC4721568/</t>
  </si>
  <si>
    <t>average hospital costs were $750 higher for women with stillbirthd relative to live births (Michigan hospitals)</t>
  </si>
  <si>
    <t>Heazzell et al. 2016</t>
  </si>
  <si>
    <t>https://pubmed.ncbi.nlm.nih.gov/26794073/</t>
  </si>
  <si>
    <t>economic and psychosocial consequences</t>
  </si>
  <si>
    <t>unknown</t>
  </si>
  <si>
    <t>2023$</t>
  </si>
  <si>
    <t>Ben's heat</t>
  </si>
  <si>
    <t>WTP to avoid still birth</t>
  </si>
  <si>
    <t>Hospital costs</t>
  </si>
  <si>
    <t>Total costs</t>
  </si>
  <si>
    <t>WTP</t>
  </si>
  <si>
    <t>Hospital</t>
  </si>
  <si>
    <t>Isabel's air quality</t>
  </si>
  <si>
    <t>Billions</t>
  </si>
  <si>
    <t xml:space="preserve">Weight </t>
  </si>
  <si>
    <t>Reference: GDP Deflator by Year</t>
  </si>
  <si>
    <t xml:space="preserve">GDP Deflator Scale Year </t>
  </si>
  <si>
    <t xml:space="preserve">GDP Deflator /Scale Year GDP Deflator </t>
  </si>
  <si>
    <t>Year</t>
  </si>
  <si>
    <t xml:space="preserve">GDP Deflator </t>
  </si>
  <si>
    <t xml:space="preserve">Year </t>
  </si>
  <si>
    <t>GDP Deflator</t>
  </si>
  <si>
    <t>&lt;- Change GDP year and corresponding GDP deflator to recalculate values</t>
  </si>
  <si>
    <t>Deflator source: https://apps.bea.gov/iTable/iTable.cfm?ReqID=19&amp;step=4&amp;isuri=1&amp;1921=flatfiles (Table 1.1.9 in the Section 1 )</t>
  </si>
  <si>
    <t>Last accessed February 3, 2025</t>
  </si>
  <si>
    <t>Portion of all PE-E cases</t>
  </si>
  <si>
    <t>Death rate</t>
  </si>
  <si>
    <t>Eclampsia</t>
  </si>
  <si>
    <t>Severe preeclampsia</t>
  </si>
  <si>
    <t>Mild preeclampsia</t>
  </si>
  <si>
    <t>PE-E with preexisitng hypertension</t>
  </si>
  <si>
    <t>Figure 1 here</t>
  </si>
  <si>
    <t>https://hcup-us.ahrq.gov/reports/statbriefs/sb222-Preeclampsia-Eclampsia-Delivery-Trends.pdf</t>
  </si>
  <si>
    <t>Table 5 here</t>
  </si>
  <si>
    <t>Isabel's AQ numbers</t>
  </si>
  <si>
    <t>Number of maternal deaths</t>
  </si>
  <si>
    <t>VSL</t>
  </si>
  <si>
    <t xml:space="preserve">Short term health costs </t>
  </si>
  <si>
    <t>Total, millions</t>
  </si>
  <si>
    <t>morbidity</t>
  </si>
  <si>
    <t>https://www.tandfonline.com/doi/abs/10.1081/PRG-120021066</t>
  </si>
  <si>
    <t>https://pmc.ncbi.nlm.nih.gov/articles/PMC10468004/</t>
  </si>
  <si>
    <t>https://journals.lww.com/greenjournal/fulltext/2019/12000/maternal_and_infant_health_care_costs_related_to.14.aspx</t>
  </si>
  <si>
    <t>5.6% to 14% mortality rate for eclampsia</t>
  </si>
  <si>
    <t>https://www.sciencedirect.com/science/article/abs/pii/S0735675722003710</t>
  </si>
  <si>
    <t>0-1.8% mortality rate for eclampsia</t>
  </si>
  <si>
    <t>0.2% mortality rate for severe preeclampsia</t>
  </si>
  <si>
    <t>long term effects</t>
  </si>
  <si>
    <t>https://waportal.org/sites/default/files/2024-01/Maternal%20Mortality%20from%20Preeclampsia_Eclampsia_Sibai_2012.pdf</t>
  </si>
  <si>
    <t>https://journals.physiology.org/doi/full/10.1152/ajprenal.00071.2020</t>
  </si>
  <si>
    <t>0.04% mortality rate for severe preeclampsia</t>
  </si>
  <si>
    <t xml:space="preserve">Hao et al. </t>
  </si>
  <si>
    <t>healthcare costs of mother and baby associated with preeclampsia</t>
  </si>
  <si>
    <t>https://pmc.ncbi.nlm.nih.gov/articles/PMC6882523/</t>
  </si>
  <si>
    <t xml:space="preserve">Stevens et al. </t>
  </si>
  <si>
    <t>combined mother and infalnt cost per birth</t>
  </si>
  <si>
    <t>Table 6</t>
  </si>
  <si>
    <t>first 12 months after delivery</t>
  </si>
  <si>
    <t>https://www.ajog.org/article/S0002-9378(17)30561-6/fulltext</t>
  </si>
  <si>
    <t>endpoint</t>
  </si>
  <si>
    <t>cost</t>
  </si>
  <si>
    <t>SB</t>
  </si>
  <si>
    <t>GD</t>
  </si>
  <si>
    <t>PE-E</t>
  </si>
  <si>
    <t>gcm</t>
  </si>
  <si>
    <t>degree</t>
  </si>
  <si>
    <t>ACCESS-CM2</t>
  </si>
  <si>
    <t>EC-Earth3-Veg</t>
  </si>
  <si>
    <t>GFDL-ESM4</t>
  </si>
  <si>
    <t>MPI-ESM1-2-HR</t>
  </si>
  <si>
    <t>NorESM2-MM</t>
  </si>
  <si>
    <t>Baseline</t>
  </si>
  <si>
    <t>PTB_share</t>
  </si>
  <si>
    <t>LBW_share</t>
  </si>
  <si>
    <t>PE-E_share</t>
  </si>
  <si>
    <t>Percent of all WS births</t>
  </si>
  <si>
    <t>Percent of WS PTB births</t>
  </si>
  <si>
    <t>Percent of all WS term births</t>
  </si>
  <si>
    <t>Percent of WS term LBW births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</si>
</sst>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6" formatCode="&quot;$&quot;#,##0_);[Red]\(&quot;$&quot;#,##0\)"/>
    <numFmt numFmtId="8" formatCode="&quot;$&quot;#,##0.00_);[Red]\(&quot;$&quot;#,##0.00\)"/>
    <numFmt numFmtId="43" formatCode="_(* #,##0.00_);_(* \(#,##0.00\);_(* &quot;-&quot;??_);_(@_)"/>
    <numFmt numFmtId="164" formatCode="0.0%"/>
    <numFmt numFmtId="165" formatCode="&quot;$&quot;#,##0"/>
    <numFmt numFmtId="166" formatCode="&quot;$&quot;#,##0.0"/>
    <numFmt numFmtId="167" formatCode="&quot;$&quot;#,##0.00"/>
    <numFmt numFmtId="168" formatCode="#,##0.000"/>
    <numFmt numFmtId="169" formatCode="0.0"/>
    <numFmt numFmtId="170" formatCode="0.0000%"/>
    <numFmt numFmtId="171" formatCode="_(* #,##0.0000_);_(* \(#,##0.00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4"/>
      <color rgb="FF000000"/>
      <name val="Trebuchet MS"/>
    </font>
    <font>
      <b/>
      <u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E7EBEC"/>
        <bgColor indexed="64"/>
      </patternFill>
    </fill>
    <fill>
      <patternFill patternType="solid">
        <fgColor rgb="FFF1BBB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66"/>
        <bgColor indexed="64"/>
      </patternFill>
    </fill>
  </fills>
  <borders count="9">
    <border>
      <left/>
      <right/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56">
    <xf numFmtId="0" fontId="0" fillId="0" borderId="0" xfId="0"/>
    <xf numFmtId="0" fontId="0" fillId="0" borderId="0" xfId="0" applyAlignment="1">
      <alignment wrapText="1"/>
    </xf>
    <xf numFmtId="0" fontId="4" fillId="0" borderId="0" xfId="0" applyFont="1" applyAlignment="1">
      <alignment horizontal="center" vertical="center" wrapText="1"/>
    </xf>
    <xf numFmtId="3" fontId="0" fillId="0" borderId="0" xfId="0" applyNumberFormat="1" applyAlignment="1">
      <alignment vertical="center" wrapText="1"/>
    </xf>
    <xf numFmtId="164" fontId="0" fillId="0" borderId="0" xfId="1" applyNumberFormat="1" applyFont="1"/>
    <xf numFmtId="164" fontId="0" fillId="0" borderId="0" xfId="0" applyNumberFormat="1"/>
    <xf numFmtId="6" fontId="0" fillId="0" borderId="0" xfId="0" applyNumberFormat="1"/>
    <xf numFmtId="165" fontId="0" fillId="0" borderId="0" xfId="0" applyNumberFormat="1"/>
    <xf numFmtId="166" fontId="0" fillId="0" borderId="0" xfId="0" applyNumberFormat="1"/>
    <xf numFmtId="0" fontId="2" fillId="0" borderId="0" xfId="0" applyFont="1" applyAlignment="1">
      <alignment horizontal="center" vertical="center" wrapText="1"/>
    </xf>
    <xf numFmtId="0" fontId="3" fillId="0" borderId="0" xfId="2"/>
    <xf numFmtId="167" fontId="0" fillId="0" borderId="0" xfId="0" applyNumberFormat="1"/>
    <xf numFmtId="0" fontId="4" fillId="0" borderId="0" xfId="0" applyFont="1" applyAlignment="1">
      <alignment horizontal="center" vertical="center"/>
    </xf>
    <xf numFmtId="3" fontId="0" fillId="0" borderId="0" xfId="0" applyNumberFormat="1"/>
    <xf numFmtId="10" fontId="0" fillId="0" borderId="0" xfId="1" applyNumberFormat="1" applyFont="1"/>
    <xf numFmtId="0" fontId="0" fillId="0" borderId="0" xfId="0" applyAlignment="1">
      <alignment horizontal="left" indent="1"/>
    </xf>
    <xf numFmtId="1" fontId="0" fillId="0" borderId="0" xfId="0" applyNumberFormat="1"/>
    <xf numFmtId="0" fontId="5" fillId="3" borderId="1" xfId="0" applyFont="1" applyFill="1" applyBorder="1" applyAlignment="1">
      <alignment horizontal="center" vertical="center" wrapText="1" readingOrder="1"/>
    </xf>
    <xf numFmtId="3" fontId="5" fillId="3" borderId="1" xfId="0" applyNumberFormat="1" applyFont="1" applyFill="1" applyBorder="1" applyAlignment="1">
      <alignment horizontal="center" vertical="center" wrapText="1" readingOrder="1"/>
    </xf>
    <xf numFmtId="0" fontId="5" fillId="4" borderId="1" xfId="0" applyFont="1" applyFill="1" applyBorder="1" applyAlignment="1">
      <alignment horizontal="center" wrapText="1" readingOrder="1"/>
    </xf>
    <xf numFmtId="3" fontId="5" fillId="4" borderId="1" xfId="0" applyNumberFormat="1" applyFont="1" applyFill="1" applyBorder="1" applyAlignment="1">
      <alignment horizontal="center" wrapText="1" readingOrder="1"/>
    </xf>
    <xf numFmtId="0" fontId="0" fillId="2" borderId="0" xfId="0" applyFill="1"/>
    <xf numFmtId="0" fontId="2" fillId="0" borderId="0" xfId="0" applyFont="1" applyAlignment="1">
      <alignment horizontal="center" vertical="center"/>
    </xf>
    <xf numFmtId="3" fontId="0" fillId="0" borderId="0" xfId="0" applyNumberFormat="1" applyAlignment="1">
      <alignment vertical="center"/>
    </xf>
    <xf numFmtId="0" fontId="6" fillId="5" borderId="2" xfId="0" applyFont="1" applyFill="1" applyBorder="1" applyAlignment="1">
      <alignment horizontal="left" vertical="top" wrapText="1"/>
    </xf>
    <xf numFmtId="0" fontId="6" fillId="6" borderId="2" xfId="0" applyFont="1" applyFill="1" applyBorder="1" applyAlignment="1">
      <alignment horizontal="left" vertical="top"/>
    </xf>
    <xf numFmtId="0" fontId="7" fillId="6" borderId="3" xfId="0" applyFont="1" applyFill="1" applyBorder="1" applyAlignment="1">
      <alignment horizontal="left" vertical="top" wrapText="1"/>
    </xf>
    <xf numFmtId="0" fontId="6" fillId="7" borderId="2" xfId="0" applyFont="1" applyFill="1" applyBorder="1" applyAlignment="1">
      <alignment horizontal="left" vertical="top"/>
    </xf>
    <xf numFmtId="0" fontId="7" fillId="7" borderId="4" xfId="0" applyFont="1" applyFill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6" fillId="5" borderId="5" xfId="0" applyFont="1" applyFill="1" applyBorder="1" applyAlignment="1">
      <alignment horizontal="left" vertical="top" wrapText="1"/>
    </xf>
    <xf numFmtId="0" fontId="6" fillId="6" borderId="5" xfId="0" applyFont="1" applyFill="1" applyBorder="1" applyAlignment="1">
      <alignment horizontal="left" vertical="top"/>
    </xf>
    <xf numFmtId="0" fontId="7" fillId="6" borderId="0" xfId="0" applyFont="1" applyFill="1" applyAlignment="1">
      <alignment horizontal="left" vertical="top" wrapText="1"/>
    </xf>
    <xf numFmtId="0" fontId="6" fillId="7" borderId="5" xfId="0" applyFont="1" applyFill="1" applyBorder="1" applyAlignment="1">
      <alignment horizontal="left" vertical="top"/>
    </xf>
    <xf numFmtId="0" fontId="7" fillId="7" borderId="6" xfId="0" applyFont="1" applyFill="1" applyBorder="1" applyAlignment="1">
      <alignment horizontal="left" vertical="top" wrapText="1"/>
    </xf>
    <xf numFmtId="0" fontId="8" fillId="5" borderId="5" xfId="0" applyFont="1" applyFill="1" applyBorder="1" applyAlignment="1">
      <alignment horizontal="left" wrapText="1"/>
    </xf>
    <xf numFmtId="0" fontId="8" fillId="6" borderId="5" xfId="0" applyFont="1" applyFill="1" applyBorder="1" applyAlignment="1">
      <alignment horizontal="left" wrapText="1"/>
    </xf>
    <xf numFmtId="0" fontId="8" fillId="6" borderId="0" xfId="0" applyFont="1" applyFill="1" applyAlignment="1">
      <alignment horizontal="left" wrapText="1"/>
    </xf>
    <xf numFmtId="0" fontId="8" fillId="7" borderId="5" xfId="0" applyFont="1" applyFill="1" applyBorder="1" applyAlignment="1">
      <alignment horizontal="left" wrapText="1"/>
    </xf>
    <xf numFmtId="0" fontId="8" fillId="7" borderId="6" xfId="0" applyFont="1" applyFill="1" applyBorder="1" applyAlignment="1">
      <alignment horizontal="left" wrapText="1"/>
    </xf>
    <xf numFmtId="0" fontId="8" fillId="0" borderId="0" xfId="0" applyFont="1" applyAlignment="1">
      <alignment horizontal="left" vertical="center" wrapText="1"/>
    </xf>
    <xf numFmtId="0" fontId="7" fillId="5" borderId="5" xfId="0" applyFont="1" applyFill="1" applyBorder="1" applyAlignment="1">
      <alignment horizontal="left" vertical="top" wrapText="1"/>
    </xf>
    <xf numFmtId="0" fontId="7" fillId="6" borderId="5" xfId="0" applyFont="1" applyFill="1" applyBorder="1" applyAlignment="1">
      <alignment horizontal="left" vertical="center" wrapText="1"/>
    </xf>
    <xf numFmtId="168" fontId="0" fillId="0" borderId="0" xfId="0" applyNumberFormat="1" applyAlignment="1">
      <alignment horizontal="right"/>
    </xf>
    <xf numFmtId="1" fontId="7" fillId="7" borderId="7" xfId="0" applyNumberFormat="1" applyFont="1" applyFill="1" applyBorder="1" applyAlignment="1">
      <alignment horizontal="left" vertical="center" wrapText="1"/>
    </xf>
    <xf numFmtId="168" fontId="7" fillId="7" borderId="8" xfId="0" applyNumberFormat="1" applyFont="1" applyFill="1" applyBorder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top"/>
    </xf>
    <xf numFmtId="169" fontId="0" fillId="0" borderId="0" xfId="0" applyNumberFormat="1"/>
    <xf numFmtId="170" fontId="0" fillId="0" borderId="0" xfId="1" applyNumberFormat="1" applyFont="1"/>
    <xf numFmtId="8" fontId="0" fillId="0" borderId="0" xfId="0" applyNumberFormat="1"/>
    <xf numFmtId="171" fontId="0" fillId="0" borderId="0" xfId="0" applyNumberFormat="1"/>
    <xf numFmtId="166" fontId="0" fillId="0" borderId="0" xfId="0" applyNumberFormat="1" applyAlignment="1">
      <alignment wrapText="1"/>
    </xf>
    <xf numFmtId="0" fontId="0" fillId="2" borderId="0" xfId="0" applyFill="1" applyAlignment="1">
      <alignment horizontal="center"/>
    </xf>
    <xf numFmtId="0" fontId="0" fillId="0" borderId="0" xfId="3" applyNumberFormat="1" applyFont="1"/>
  </cellXfs>
  <cellStyles count="4">
    <cellStyle name="Comma" xfId="3" builtinId="3"/>
    <cellStyle name="Hyperlink" xfId="2" builtinId="8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iec.local\jen\CIRA_Synthesis\Maternal%20Health\02_Stressors%20and%20impacts\Full%20Analysis\Valuation\Stillbirth\stillbirth%20valuation.xlsx" TargetMode="External"/><Relationship Id="rId1" Type="http://schemas.openxmlformats.org/officeDocument/2006/relationships/externalLinkPath" Target="Stillbirth/stillbirth%20valuat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GDP deflator"/>
    </sheetNames>
    <sheetDataSet>
      <sheetData sheetId="0" refreshError="1"/>
      <sheetData sheetId="1">
        <row r="36">
          <cell r="A36">
            <v>1.3121532435477812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Ben Jeweler" id="{C8011DE6-B056-4130-AD5E-D0C24C5D7532}" userId="S::BJeweler@indecon.com::09954707-6223-486b-8a87-c4524bcabbac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C13" dT="2025-04-08T13:55:43.40" personId="{C8011DE6-B056-4130-AD5E-D0C24C5D7532}" id="{E76D298A-1F49-4652-B757-3052DB081A72}">
    <text>Is this already in 2023$? If not, do we have a dollar year from Dockins and Giffins?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B11" dT="2025-04-08T14:00:41.63" personId="{C8011DE6-B056-4130-AD5E-D0C24C5D7532}" id="{C4EE81D7-4D04-4A47-BFC9-A4BF11463242}">
    <text>The paper does not list a dollar year. Instead it says costs “were not adjusted for inflation”. Cost data from 2004-2011. suggestion to average dollar year adjustment for 2004-2011 to 2023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G3" dT="2025-04-08T13:33:57.86" personId="{C8011DE6-B056-4130-AD5E-D0C24C5D7532}" id="{DECA9230-0E3F-467D-A07C-8DF3DEAB82A8}">
    <text xml:space="preserve">Should this average not also include cell C35 to capture costs at 27 weeks? </text>
  </threadedComment>
  <threadedComment ref="G3" dT="2025-04-08T13:36:13.92" personId="{C8011DE6-B056-4130-AD5E-D0C24C5D7532}" id="{4D2560E1-3240-48B3-97FE-9F3796BCF1D0}" parentId="{DECA9230-0E3F-467D-A07C-8DF3DEAB82A8}">
    <text>Subsequent averages in column G include healthcare spending for lengths of gestation only partially within the range in column A</text>
  </threadedComment>
</ThreadedComment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ajog.org/article/S0002-9378(17)30561-6/fulltext" TargetMode="External"/><Relationship Id="rId2" Type="http://schemas.openxmlformats.org/officeDocument/2006/relationships/hyperlink" Target="https://hcup-us.ahrq.gov/reports/statbriefs/sb222-Preeclampsia-Eclampsia-Delivery-Trends.pdf" TargetMode="External"/><Relationship Id="rId1" Type="http://schemas.openxmlformats.org/officeDocument/2006/relationships/hyperlink" Target="https://www.sciencedirect.com/science/article/abs/pii/S0735675722003710" TargetMode="External"/><Relationship Id="rId5" Type="http://schemas.openxmlformats.org/officeDocument/2006/relationships/printerSettings" Target="../printerSettings/printerSettings2.bin"/><Relationship Id="rId4" Type="http://schemas.openxmlformats.org/officeDocument/2006/relationships/hyperlink" Target="https://waportal.org/sites/default/files/2024-01/Maternal%20Mortality%20from%20Preeclampsia_Eclampsia_Sibai_2012.pdf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https://pubmed.ncbi.nlm.nih.gov/26794073/" TargetMode="External"/><Relationship Id="rId2" Type="http://schemas.openxmlformats.org/officeDocument/2006/relationships/hyperlink" Target="https://pmc.ncbi.nlm.nih.gov/articles/PMC4721568/" TargetMode="External"/><Relationship Id="rId1" Type="http://schemas.openxmlformats.org/officeDocument/2006/relationships/hyperlink" Target="https://onlinelibrary.wiley.com/doi/10.1111/birt.12714" TargetMode="External"/><Relationship Id="rId6" Type="http://schemas.microsoft.com/office/2017/10/relationships/threadedComment" Target="../threadedComments/threadedComment1.xm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https://onlinelibrary.wiley.com/doi/abs/10.1046/j.1365-2214.2001.00203.x" TargetMode="External"/><Relationship Id="rId2" Type="http://schemas.openxmlformats.org/officeDocument/2006/relationships/hyperlink" Target="https://www.sciencedirect.com/science/article/pii/S0085253815512349" TargetMode="External"/><Relationship Id="rId1" Type="http://schemas.openxmlformats.org/officeDocument/2006/relationships/hyperlink" Target="https://www.nature.com/articles/s41390-024-03346-6" TargetMode="External"/><Relationship Id="rId5" Type="http://schemas.openxmlformats.org/officeDocument/2006/relationships/hyperlink" Target="https://www.nature.com/articles/s41372-020-0635-z" TargetMode="External"/><Relationship Id="rId4" Type="http://schemas.openxmlformats.org/officeDocument/2006/relationships/hyperlink" Target="https://www.cdc.gov/nchs/data/nvsr/nvsr72/nvsr72-11.pdf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s://pubmed.ncbi.nlm.nih.gov/25147254/" TargetMode="External"/><Relationship Id="rId2" Type="http://schemas.openxmlformats.org/officeDocument/2006/relationships/hyperlink" Target="https://pmc.ncbi.nlm.nih.gov/articles/PMC4360417/" TargetMode="External"/><Relationship Id="rId1" Type="http://schemas.openxmlformats.org/officeDocument/2006/relationships/hyperlink" Target="https://onlinelibrary.wiley.com/doi/pdf/10.1002/dmrr.2656" TargetMode="External"/><Relationship Id="rId6" Type="http://schemas.microsoft.com/office/2017/10/relationships/threadedComment" Target="../threadedComments/threadedComment2.xml"/><Relationship Id="rId5" Type="http://schemas.openxmlformats.org/officeDocument/2006/relationships/comments" Target="../comments2.xml"/><Relationship Id="rId4" Type="http://schemas.openxmlformats.org/officeDocument/2006/relationships/vmlDrawing" Target="../drawings/vmlDrawing2.v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nature.com/articles/s41372-020-0635-z" TargetMode="External"/><Relationship Id="rId7" Type="http://schemas.microsoft.com/office/2017/10/relationships/threadedComment" Target="../threadedComments/threadedComment3.xml"/><Relationship Id="rId2" Type="http://schemas.openxmlformats.org/officeDocument/2006/relationships/hyperlink" Target="https://onlinelibrary.wiley.com/doi/abs/10.1046/j.1365-2214.2001.00203.x" TargetMode="External"/><Relationship Id="rId1" Type="http://schemas.openxmlformats.org/officeDocument/2006/relationships/hyperlink" Target="https://www.cdc.gov/nchs/data/nvsr/nvsr72/nvsr72-11.pdf" TargetMode="External"/><Relationship Id="rId6" Type="http://schemas.openxmlformats.org/officeDocument/2006/relationships/comments" Target="../comments3.xml"/><Relationship Id="rId5" Type="http://schemas.openxmlformats.org/officeDocument/2006/relationships/vmlDrawing" Target="../drawings/vmlDrawing3.vml"/><Relationship Id="rId4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88C967-8331-4B6D-B467-42EB64658432}">
  <dimension ref="A1:B6"/>
  <sheetViews>
    <sheetView workbookViewId="0">
      <selection activeCell="B4" sqref="B4"/>
    </sheetView>
  </sheetViews>
  <sheetFormatPr defaultRowHeight="15" x14ac:dyDescent="0.25"/>
  <cols>
    <col min="2" max="2" width="11.85546875" bestFit="1" customWidth="1"/>
  </cols>
  <sheetData>
    <row r="1" spans="1:2" x14ac:dyDescent="0.25">
      <c r="A1" t="s">
        <v>172</v>
      </c>
      <c r="B1" t="s">
        <v>173</v>
      </c>
    </row>
    <row r="2" spans="1:2" x14ac:dyDescent="0.25">
      <c r="A2" t="s">
        <v>28</v>
      </c>
      <c r="B2">
        <f>PTB!G9*'GDP deflator'!A40</f>
        <v>109196.38982327585</v>
      </c>
    </row>
    <row r="3" spans="1:2" x14ac:dyDescent="0.25">
      <c r="A3" t="s">
        <v>92</v>
      </c>
      <c r="B3">
        <f>LBW!G8*'GDP deflator'!A40</f>
        <v>51448.585238163032</v>
      </c>
    </row>
    <row r="4" spans="1:2" x14ac:dyDescent="0.25">
      <c r="A4" t="s">
        <v>174</v>
      </c>
      <c r="B4">
        <f>SB!D13</f>
        <v>984.11493266083585</v>
      </c>
    </row>
    <row r="5" spans="1:2" x14ac:dyDescent="0.25">
      <c r="A5" t="s">
        <v>175</v>
      </c>
      <c r="B5">
        <f>(GD!D14*AVERAGE('GDP deflator'!A28:A35)*0.4)+(GD!B19*'GDP deflator'!A36*0.6)</f>
        <v>100045.41067002746</v>
      </c>
    </row>
    <row r="6" spans="1:2" x14ac:dyDescent="0.25">
      <c r="A6" t="s">
        <v>176</v>
      </c>
      <c r="B6">
        <f>'PE-E'!A44*'GDP deflator'!A36</f>
        <v>53695.935032462301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43D67C-4A47-4410-9B0C-FF152FD7A5B0}">
  <dimension ref="A1:F27"/>
  <sheetViews>
    <sheetView tabSelected="1" workbookViewId="0">
      <selection activeCell="K13" sqref="K13"/>
    </sheetView>
  </sheetViews>
  <sheetFormatPr defaultRowHeight="15" x14ac:dyDescent="0.25"/>
  <cols>
    <col min="3" max="3" width="14.28515625" bestFit="1" customWidth="1"/>
  </cols>
  <sheetData>
    <row r="1" spans="1:6" x14ac:dyDescent="0.25">
      <c r="A1" t="s">
        <v>177</v>
      </c>
      <c r="B1" t="s">
        <v>178</v>
      </c>
      <c r="C1" t="s">
        <v>173</v>
      </c>
      <c r="D1" t="s">
        <v>185</v>
      </c>
      <c r="E1" t="s">
        <v>186</v>
      </c>
      <c r="F1" t="s">
        <v>187</v>
      </c>
    </row>
    <row r="2" spans="1:6" x14ac:dyDescent="0.25">
      <c r="A2" t="s">
        <v>179</v>
      </c>
      <c r="B2">
        <v>1</v>
      </c>
      <c r="C2">
        <v>13137502.254611799</v>
      </c>
      <c r="D2">
        <f>PTB!$N$9</f>
        <v>3.7333546504454564E-2</v>
      </c>
      <c r="E2">
        <f>LBW!$N$9</f>
        <v>1.4572424392704762E-2</v>
      </c>
      <c r="F2">
        <f>'PE-E'!$N$20</f>
        <v>9.9599999999999992E-4</v>
      </c>
    </row>
    <row r="3" spans="1:6" x14ac:dyDescent="0.25">
      <c r="A3" t="s">
        <v>179</v>
      </c>
      <c r="B3">
        <v>2</v>
      </c>
      <c r="C3">
        <v>17152316.2719119</v>
      </c>
      <c r="D3">
        <f>PTB!$N$9</f>
        <v>3.7333546504454564E-2</v>
      </c>
      <c r="E3">
        <f>LBW!$N$9</f>
        <v>1.4572424392704762E-2</v>
      </c>
      <c r="F3">
        <f>'PE-E'!$N$20</f>
        <v>9.9599999999999992E-4</v>
      </c>
    </row>
    <row r="4" spans="1:6" x14ac:dyDescent="0.25">
      <c r="A4" t="s">
        <v>179</v>
      </c>
      <c r="B4">
        <v>3</v>
      </c>
      <c r="C4">
        <v>22307815.060953397</v>
      </c>
      <c r="D4">
        <f>PTB!$N$9</f>
        <v>3.7333546504454564E-2</v>
      </c>
      <c r="E4">
        <f>LBW!$N$9</f>
        <v>1.4572424392704762E-2</v>
      </c>
      <c r="F4">
        <f>'PE-E'!$N$20</f>
        <v>9.9599999999999992E-4</v>
      </c>
    </row>
    <row r="5" spans="1:6" x14ac:dyDescent="0.25">
      <c r="A5" t="s">
        <v>179</v>
      </c>
      <c r="B5">
        <v>4</v>
      </c>
      <c r="C5">
        <v>26447720.5938414</v>
      </c>
      <c r="D5">
        <f>PTB!$N$9</f>
        <v>3.7333546504454564E-2</v>
      </c>
      <c r="E5">
        <f>LBW!$N$9</f>
        <v>1.4572424392704762E-2</v>
      </c>
      <c r="F5">
        <f>'PE-E'!$N$20</f>
        <v>9.9599999999999992E-4</v>
      </c>
    </row>
    <row r="6" spans="1:6" x14ac:dyDescent="0.25">
      <c r="A6" t="s">
        <v>179</v>
      </c>
      <c r="B6">
        <v>5</v>
      </c>
      <c r="C6">
        <v>31031191.922515798</v>
      </c>
      <c r="D6">
        <f>PTB!$N$9</f>
        <v>3.7333546504454564E-2</v>
      </c>
      <c r="E6">
        <f>LBW!$N$9</f>
        <v>1.4572424392704762E-2</v>
      </c>
      <c r="F6">
        <f>'PE-E'!$N$20</f>
        <v>9.9599999999999992E-4</v>
      </c>
    </row>
    <row r="7" spans="1:6" x14ac:dyDescent="0.25">
      <c r="A7" t="s">
        <v>179</v>
      </c>
      <c r="B7">
        <v>6</v>
      </c>
      <c r="C7">
        <v>35729380.504000798</v>
      </c>
      <c r="D7">
        <f>PTB!$N$9</f>
        <v>3.7333546504454564E-2</v>
      </c>
      <c r="E7">
        <f>LBW!$N$9</f>
        <v>1.4572424392704762E-2</v>
      </c>
      <c r="F7">
        <f>'PE-E'!$N$20</f>
        <v>9.9599999999999992E-4</v>
      </c>
    </row>
    <row r="8" spans="1:6" x14ac:dyDescent="0.25">
      <c r="A8" t="s">
        <v>180</v>
      </c>
      <c r="B8">
        <v>1</v>
      </c>
      <c r="C8">
        <v>14700764.241219601</v>
      </c>
      <c r="D8">
        <f>PTB!$N$9</f>
        <v>3.7333546504454564E-2</v>
      </c>
      <c r="E8">
        <f>LBW!$N$9</f>
        <v>1.4572424392704762E-2</v>
      </c>
      <c r="F8">
        <f>'PE-E'!$N$20</f>
        <v>9.9599999999999992E-4</v>
      </c>
    </row>
    <row r="9" spans="1:6" x14ac:dyDescent="0.25">
      <c r="A9" t="s">
        <v>180</v>
      </c>
      <c r="B9">
        <v>2</v>
      </c>
      <c r="C9">
        <v>19377972.651309401</v>
      </c>
      <c r="D9">
        <f>PTB!$N$9</f>
        <v>3.7333546504454564E-2</v>
      </c>
      <c r="E9">
        <f>LBW!$N$9</f>
        <v>1.4572424392704762E-2</v>
      </c>
      <c r="F9">
        <f>'PE-E'!$N$20</f>
        <v>9.9599999999999992E-4</v>
      </c>
    </row>
    <row r="10" spans="1:6" x14ac:dyDescent="0.25">
      <c r="A10" t="s">
        <v>180</v>
      </c>
      <c r="B10">
        <v>3</v>
      </c>
      <c r="C10">
        <v>23543469.269729201</v>
      </c>
      <c r="D10">
        <f>PTB!$N$9</f>
        <v>3.7333546504454564E-2</v>
      </c>
      <c r="E10">
        <f>LBW!$N$9</f>
        <v>1.4572424392704762E-2</v>
      </c>
      <c r="F10">
        <f>'PE-E'!$N$20</f>
        <v>9.9599999999999992E-4</v>
      </c>
    </row>
    <row r="11" spans="1:6" x14ac:dyDescent="0.25">
      <c r="A11" t="s">
        <v>180</v>
      </c>
      <c r="B11">
        <v>4</v>
      </c>
      <c r="C11">
        <v>27801676.4690153</v>
      </c>
      <c r="D11">
        <f>PTB!$N$9</f>
        <v>3.7333546504454564E-2</v>
      </c>
      <c r="E11">
        <f>LBW!$N$9</f>
        <v>1.4572424392704762E-2</v>
      </c>
      <c r="F11">
        <f>'PE-E'!$N$20</f>
        <v>9.9599999999999992E-4</v>
      </c>
    </row>
    <row r="12" spans="1:6" x14ac:dyDescent="0.25">
      <c r="A12" t="s">
        <v>180</v>
      </c>
      <c r="B12">
        <v>5</v>
      </c>
      <c r="C12">
        <v>32166689.227659397</v>
      </c>
      <c r="D12">
        <f>PTB!$N$9</f>
        <v>3.7333546504454564E-2</v>
      </c>
      <c r="E12">
        <f>LBW!$N$9</f>
        <v>1.4572424392704762E-2</v>
      </c>
      <c r="F12">
        <f>'PE-E'!$N$20</f>
        <v>9.9599999999999992E-4</v>
      </c>
    </row>
    <row r="13" spans="1:6" x14ac:dyDescent="0.25">
      <c r="A13" t="s">
        <v>180</v>
      </c>
      <c r="B13">
        <v>6</v>
      </c>
      <c r="C13">
        <v>35729380.504000798</v>
      </c>
      <c r="D13">
        <f>PTB!$N$9</f>
        <v>3.7333546504454564E-2</v>
      </c>
      <c r="E13">
        <f>LBW!$N$9</f>
        <v>1.4572424392704762E-2</v>
      </c>
      <c r="F13">
        <f>'PE-E'!$N$20</f>
        <v>9.9599999999999992E-4</v>
      </c>
    </row>
    <row r="14" spans="1:6" x14ac:dyDescent="0.25">
      <c r="A14" t="s">
        <v>181</v>
      </c>
      <c r="B14">
        <v>1</v>
      </c>
      <c r="C14">
        <v>14938526.838070301</v>
      </c>
      <c r="D14">
        <f>PTB!$N$9</f>
        <v>3.7333546504454564E-2</v>
      </c>
      <c r="E14">
        <f>LBW!$N$9</f>
        <v>1.4572424392704762E-2</v>
      </c>
      <c r="F14">
        <f>'PE-E'!$N$20</f>
        <v>9.9599999999999992E-4</v>
      </c>
    </row>
    <row r="15" spans="1:6" x14ac:dyDescent="0.25">
      <c r="A15" t="s">
        <v>181</v>
      </c>
      <c r="B15">
        <v>2</v>
      </c>
      <c r="C15">
        <v>21405602.2374136</v>
      </c>
      <c r="D15">
        <f>PTB!$N$9</f>
        <v>3.7333546504454564E-2</v>
      </c>
      <c r="E15">
        <f>LBW!$N$9</f>
        <v>1.4572424392704762E-2</v>
      </c>
      <c r="F15">
        <f>'PE-E'!$N$20</f>
        <v>9.9599999999999992E-4</v>
      </c>
    </row>
    <row r="16" spans="1:6" x14ac:dyDescent="0.25">
      <c r="A16" t="s">
        <v>181</v>
      </c>
      <c r="B16">
        <v>3</v>
      </c>
      <c r="C16">
        <v>28496475.4454845</v>
      </c>
      <c r="D16">
        <f>PTB!$N$9</f>
        <v>3.7333546504454564E-2</v>
      </c>
      <c r="E16">
        <f>LBW!$N$9</f>
        <v>1.4572424392704762E-2</v>
      </c>
      <c r="F16">
        <f>'PE-E'!$N$20</f>
        <v>9.9599999999999992E-4</v>
      </c>
    </row>
    <row r="17" spans="1:6" x14ac:dyDescent="0.25">
      <c r="A17" t="s">
        <v>181</v>
      </c>
      <c r="B17">
        <v>4</v>
      </c>
      <c r="C17">
        <v>34918536.701874703</v>
      </c>
      <c r="D17">
        <f>PTB!$N$9</f>
        <v>3.7333546504454564E-2</v>
      </c>
      <c r="E17">
        <f>LBW!$N$9</f>
        <v>1.4572424392704762E-2</v>
      </c>
      <c r="F17">
        <f>'PE-E'!$N$20</f>
        <v>9.9599999999999992E-4</v>
      </c>
    </row>
    <row r="18" spans="1:6" x14ac:dyDescent="0.25">
      <c r="A18" t="s">
        <v>182</v>
      </c>
      <c r="B18">
        <v>1</v>
      </c>
      <c r="C18">
        <v>13990970.9768783</v>
      </c>
      <c r="D18">
        <f>PTB!$N$9</f>
        <v>3.7333546504454564E-2</v>
      </c>
      <c r="E18">
        <f>LBW!$N$9</f>
        <v>1.4572424392704762E-2</v>
      </c>
      <c r="F18">
        <f>'PE-E'!$N$20</f>
        <v>9.9599999999999992E-4</v>
      </c>
    </row>
    <row r="19" spans="1:6" x14ac:dyDescent="0.25">
      <c r="A19" t="s">
        <v>182</v>
      </c>
      <c r="B19">
        <v>2</v>
      </c>
      <c r="C19">
        <v>22613276.846299298</v>
      </c>
      <c r="D19">
        <f>PTB!$N$9</f>
        <v>3.7333546504454564E-2</v>
      </c>
      <c r="E19">
        <f>LBW!$N$9</f>
        <v>1.4572424392704762E-2</v>
      </c>
      <c r="F19">
        <f>'PE-E'!$N$20</f>
        <v>9.9599999999999992E-4</v>
      </c>
    </row>
    <row r="20" spans="1:6" x14ac:dyDescent="0.25">
      <c r="A20" t="s">
        <v>182</v>
      </c>
      <c r="B20">
        <v>3</v>
      </c>
      <c r="C20">
        <v>27458621.109420199</v>
      </c>
      <c r="D20">
        <f>PTB!$N$9</f>
        <v>3.7333546504454564E-2</v>
      </c>
      <c r="E20">
        <f>LBW!$N$9</f>
        <v>1.4572424392704762E-2</v>
      </c>
      <c r="F20">
        <f>'PE-E'!$N$20</f>
        <v>9.9599999999999992E-4</v>
      </c>
    </row>
    <row r="21" spans="1:6" x14ac:dyDescent="0.25">
      <c r="A21" t="s">
        <v>182</v>
      </c>
      <c r="B21">
        <v>4</v>
      </c>
      <c r="C21">
        <v>32938629.383590404</v>
      </c>
      <c r="D21">
        <f>PTB!$N$9</f>
        <v>3.7333546504454564E-2</v>
      </c>
      <c r="E21">
        <f>LBW!$N$9</f>
        <v>1.4572424392704762E-2</v>
      </c>
      <c r="F21">
        <f>'PE-E'!$N$20</f>
        <v>9.9599999999999992E-4</v>
      </c>
    </row>
    <row r="22" spans="1:6" x14ac:dyDescent="0.25">
      <c r="A22" t="s">
        <v>183</v>
      </c>
      <c r="B22">
        <v>1</v>
      </c>
      <c r="C22">
        <v>14463546.2804789</v>
      </c>
      <c r="D22">
        <f>PTB!$N$9</f>
        <v>3.7333546504454564E-2</v>
      </c>
      <c r="E22">
        <f>LBW!$N$9</f>
        <v>1.4572424392704762E-2</v>
      </c>
      <c r="F22">
        <f>'PE-E'!$N$20</f>
        <v>9.9599999999999992E-4</v>
      </c>
    </row>
    <row r="23" spans="1:6" x14ac:dyDescent="0.25">
      <c r="A23" t="s">
        <v>183</v>
      </c>
      <c r="B23">
        <v>2</v>
      </c>
      <c r="C23">
        <v>19377972.651309401</v>
      </c>
      <c r="D23">
        <f>PTB!$N$9</f>
        <v>3.7333546504454564E-2</v>
      </c>
      <c r="E23">
        <f>LBW!$N$9</f>
        <v>1.4572424392704762E-2</v>
      </c>
      <c r="F23">
        <f>'PE-E'!$N$20</f>
        <v>9.9599999999999992E-4</v>
      </c>
    </row>
    <row r="24" spans="1:6" x14ac:dyDescent="0.25">
      <c r="A24" t="s">
        <v>183</v>
      </c>
      <c r="B24">
        <v>3</v>
      </c>
      <c r="C24">
        <v>25786156.572642598</v>
      </c>
      <c r="D24">
        <f>PTB!$N$9</f>
        <v>3.7333546504454564E-2</v>
      </c>
      <c r="E24">
        <f>LBW!$N$9</f>
        <v>1.4572424392704762E-2</v>
      </c>
      <c r="F24">
        <f>'PE-E'!$N$20</f>
        <v>9.9599999999999992E-4</v>
      </c>
    </row>
    <row r="25" spans="1:6" x14ac:dyDescent="0.25">
      <c r="A25" t="s">
        <v>183</v>
      </c>
      <c r="B25">
        <v>4</v>
      </c>
      <c r="C25">
        <v>31406555.4125285</v>
      </c>
      <c r="D25">
        <f>PTB!$N$9</f>
        <v>3.7333546504454564E-2</v>
      </c>
      <c r="E25">
        <f>LBW!$N$9</f>
        <v>1.4572424392704762E-2</v>
      </c>
      <c r="F25">
        <f>'PE-E'!$N$20</f>
        <v>9.9599999999999992E-4</v>
      </c>
    </row>
    <row r="26" spans="1:6" x14ac:dyDescent="0.25">
      <c r="A26" t="s">
        <v>183</v>
      </c>
      <c r="B26">
        <v>5</v>
      </c>
      <c r="C26">
        <v>37377938.617472</v>
      </c>
      <c r="D26">
        <f>PTB!$N$9</f>
        <v>3.7333546504454564E-2</v>
      </c>
      <c r="E26">
        <f>LBW!$N$9</f>
        <v>1.4572424392704762E-2</v>
      </c>
      <c r="F26">
        <f>'PE-E'!$N$20</f>
        <v>9.9599999999999992E-4</v>
      </c>
    </row>
    <row r="27" spans="1:6" x14ac:dyDescent="0.25">
      <c r="A27" t="s">
        <v>184</v>
      </c>
      <c r="B27">
        <v>0</v>
      </c>
      <c r="C27" s="55">
        <v>12187596.0788</v>
      </c>
      <c r="D27">
        <f>PTB!$N$9</f>
        <v>3.7333546504454564E-2</v>
      </c>
      <c r="E27">
        <f>LBW!$N$9</f>
        <v>1.4572424392704762E-2</v>
      </c>
      <c r="F27">
        <f>'PE-E'!$N$20</f>
        <v>9.9599999999999992E-4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A4A5A0-E2A3-413C-B757-EDA3591E3EF4}">
  <dimension ref="A1:BB61"/>
  <sheetViews>
    <sheetView topLeftCell="A17" zoomScaleNormal="100" workbookViewId="0">
      <selection activeCell="F27" sqref="F27"/>
    </sheetView>
  </sheetViews>
  <sheetFormatPr defaultRowHeight="15" x14ac:dyDescent="0.25"/>
  <cols>
    <col min="1" max="1" width="28.42578125" style="29" customWidth="1"/>
    <col min="2" max="2" width="14.5703125" style="29" customWidth="1"/>
    <col min="3" max="3" width="16" style="29" customWidth="1"/>
    <col min="4" max="4" width="10" style="29" customWidth="1"/>
    <col min="5" max="5" width="13" style="29" customWidth="1"/>
    <col min="6" max="6" width="20.5703125" style="29" customWidth="1"/>
  </cols>
  <sheetData>
    <row r="1" spans="1:54" x14ac:dyDescent="0.25">
      <c r="A1" s="24" t="s">
        <v>127</v>
      </c>
      <c r="B1" s="25" t="s">
        <v>128</v>
      </c>
      <c r="C1" s="26"/>
      <c r="D1" s="27" t="s">
        <v>129</v>
      </c>
      <c r="E1" s="28"/>
    </row>
    <row r="2" spans="1:54" x14ac:dyDescent="0.25">
      <c r="A2" s="30"/>
      <c r="B2" s="31"/>
      <c r="C2" s="32"/>
      <c r="D2" s="33"/>
      <c r="E2" s="34"/>
    </row>
    <row r="3" spans="1:54" ht="30" x14ac:dyDescent="0.25">
      <c r="A3" s="35" t="s">
        <v>130</v>
      </c>
      <c r="B3" s="36" t="s">
        <v>131</v>
      </c>
      <c r="C3" s="37" t="s">
        <v>132</v>
      </c>
      <c r="D3" s="38" t="s">
        <v>133</v>
      </c>
      <c r="E3" s="39" t="s">
        <v>134</v>
      </c>
      <c r="F3" s="40"/>
    </row>
    <row r="4" spans="1:54" ht="15.75" thickBot="1" x14ac:dyDescent="0.3">
      <c r="A4" s="41">
        <f>$E$4/C4</f>
        <v>3.1056615275202559</v>
      </c>
      <c r="B4" s="42">
        <v>1980</v>
      </c>
      <c r="C4" s="43">
        <v>39.371000000000002</v>
      </c>
      <c r="D4" s="44">
        <v>2023</v>
      </c>
      <c r="E4" s="45">
        <f>C47</f>
        <v>122.273</v>
      </c>
      <c r="F4" s="46" t="s">
        <v>135</v>
      </c>
    </row>
    <row r="5" spans="1:54" x14ac:dyDescent="0.25">
      <c r="A5" s="41">
        <f t="shared" ref="A5:A48" si="0">$E$4/C5</f>
        <v>2.8371580388426105</v>
      </c>
      <c r="B5" s="42">
        <v>1981</v>
      </c>
      <c r="C5" s="43">
        <v>43.097000000000001</v>
      </c>
      <c r="F5" s="47"/>
    </row>
    <row r="6" spans="1:54" x14ac:dyDescent="0.25">
      <c r="A6" s="41">
        <f t="shared" si="0"/>
        <v>2.6721082191481456</v>
      </c>
      <c r="B6" s="42">
        <v>1982</v>
      </c>
      <c r="C6" s="43">
        <v>45.759</v>
      </c>
      <c r="F6" s="47"/>
    </row>
    <row r="7" spans="1:54" x14ac:dyDescent="0.25">
      <c r="A7" s="41">
        <f t="shared" si="0"/>
        <v>2.5713534656796768</v>
      </c>
      <c r="B7" s="42">
        <v>1983</v>
      </c>
      <c r="C7" s="43">
        <v>47.552</v>
      </c>
      <c r="F7" s="47"/>
    </row>
    <row r="8" spans="1:54" x14ac:dyDescent="0.25">
      <c r="A8" s="41">
        <f t="shared" si="0"/>
        <v>2.4818438305559498</v>
      </c>
      <c r="B8" s="42">
        <v>1984</v>
      </c>
      <c r="C8" s="43">
        <v>49.267000000000003</v>
      </c>
      <c r="F8" s="47"/>
    </row>
    <row r="9" spans="1:54" x14ac:dyDescent="0.25">
      <c r="A9" s="41">
        <f t="shared" si="0"/>
        <v>2.4057175461378035</v>
      </c>
      <c r="B9" s="42">
        <v>1985</v>
      </c>
      <c r="C9" s="43">
        <v>50.826000000000001</v>
      </c>
      <c r="F9" s="47"/>
    </row>
    <row r="10" spans="1:54" x14ac:dyDescent="0.25">
      <c r="A10" s="41">
        <f t="shared" si="0"/>
        <v>2.3582518467087121</v>
      </c>
      <c r="B10" s="42">
        <v>1986</v>
      </c>
      <c r="C10" s="43">
        <v>51.848999999999997</v>
      </c>
      <c r="F10" s="47"/>
    </row>
    <row r="11" spans="1:54" x14ac:dyDescent="0.25">
      <c r="A11" s="41">
        <f t="shared" si="0"/>
        <v>2.3012195580983925</v>
      </c>
      <c r="B11" s="42">
        <v>1987</v>
      </c>
      <c r="C11" s="43">
        <v>53.134</v>
      </c>
      <c r="F11" s="47"/>
    </row>
    <row r="12" spans="1:54" x14ac:dyDescent="0.25">
      <c r="A12" s="41">
        <f t="shared" si="0"/>
        <v>2.2228221349621871</v>
      </c>
      <c r="B12" s="42">
        <v>1988</v>
      </c>
      <c r="C12" s="43">
        <v>55.008000000000003</v>
      </c>
      <c r="F12" s="43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  <c r="Z12" s="43"/>
      <c r="AA12" s="43"/>
      <c r="AB12" s="43"/>
      <c r="AC12" s="43"/>
      <c r="AD12" s="43"/>
      <c r="AE12" s="43"/>
      <c r="AF12" s="43"/>
      <c r="AG12" s="43"/>
      <c r="AH12" s="43"/>
      <c r="AI12" s="43"/>
      <c r="AJ12" s="43"/>
      <c r="AK12" s="43"/>
      <c r="AL12" s="43"/>
      <c r="AM12" s="43"/>
      <c r="AN12" s="43"/>
      <c r="AO12" s="43"/>
      <c r="AP12" s="43"/>
      <c r="AQ12" s="43"/>
      <c r="AR12" s="43"/>
      <c r="AS12" s="43"/>
      <c r="AT12" s="43"/>
      <c r="AU12" s="43"/>
      <c r="AV12" s="43"/>
      <c r="AW12" s="43"/>
      <c r="AX12" s="43"/>
    </row>
    <row r="13" spans="1:54" x14ac:dyDescent="0.25">
      <c r="A13" s="41">
        <f t="shared" si="0"/>
        <v>2.1389486573952592</v>
      </c>
      <c r="B13" s="42">
        <v>1989</v>
      </c>
      <c r="C13" s="43">
        <v>57.164999999999999</v>
      </c>
      <c r="F13" s="47"/>
    </row>
    <row r="14" spans="1:54" x14ac:dyDescent="0.25">
      <c r="A14" s="41">
        <f t="shared" si="0"/>
        <v>2.0617654497934406</v>
      </c>
      <c r="B14" s="42">
        <v>1990</v>
      </c>
      <c r="C14" s="43">
        <v>59.305</v>
      </c>
      <c r="F14" s="47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AG14" s="43"/>
      <c r="AH14" s="43"/>
      <c r="AI14" s="43"/>
      <c r="AJ14" s="43"/>
      <c r="AK14" s="43"/>
      <c r="AL14" s="43"/>
      <c r="AM14" s="43"/>
      <c r="AN14" s="43"/>
      <c r="AO14" s="43"/>
      <c r="AP14" s="43"/>
      <c r="AQ14" s="43"/>
      <c r="AR14" s="43"/>
      <c r="AS14" s="43"/>
      <c r="AT14" s="43"/>
      <c r="AU14" s="43"/>
      <c r="AV14" s="43"/>
      <c r="AW14" s="43"/>
      <c r="AX14" s="43"/>
      <c r="AY14" s="43"/>
      <c r="AZ14" s="43"/>
      <c r="BA14" s="43"/>
      <c r="BB14" s="43"/>
    </row>
    <row r="15" spans="1:54" x14ac:dyDescent="0.25">
      <c r="A15" s="41">
        <f t="shared" si="0"/>
        <v>1.9943402381340727</v>
      </c>
      <c r="B15" s="42">
        <v>1991</v>
      </c>
      <c r="C15" s="43">
        <v>61.31</v>
      </c>
      <c r="F15" s="47"/>
    </row>
    <row r="16" spans="1:54" x14ac:dyDescent="0.25">
      <c r="A16" s="41">
        <f t="shared" si="0"/>
        <v>1.9499098984164447</v>
      </c>
      <c r="B16" s="42">
        <v>1992</v>
      </c>
      <c r="C16" s="43">
        <v>62.707000000000001</v>
      </c>
      <c r="F16" s="47"/>
    </row>
    <row r="17" spans="1:12" x14ac:dyDescent="0.25">
      <c r="A17" s="41">
        <f t="shared" si="0"/>
        <v>1.9047418761878057</v>
      </c>
      <c r="B17" s="42">
        <v>1993</v>
      </c>
      <c r="C17" s="43">
        <v>64.194000000000003</v>
      </c>
      <c r="F17" s="47"/>
    </row>
    <row r="18" spans="1:12" x14ac:dyDescent="0.25">
      <c r="A18" s="41">
        <f t="shared" si="0"/>
        <v>1.8649411262278082</v>
      </c>
      <c r="B18" s="42">
        <v>1994</v>
      </c>
      <c r="C18" s="43">
        <v>65.563999999999993</v>
      </c>
      <c r="F18" s="47"/>
      <c r="L18" s="43"/>
    </row>
    <row r="19" spans="1:12" x14ac:dyDescent="0.25">
      <c r="A19" s="41">
        <f t="shared" si="0"/>
        <v>1.8266332033642572</v>
      </c>
      <c r="B19" s="42">
        <v>1995</v>
      </c>
      <c r="C19" s="43">
        <v>66.938999999999993</v>
      </c>
      <c r="F19" s="47"/>
      <c r="L19" s="43"/>
    </row>
    <row r="20" spans="1:12" x14ac:dyDescent="0.25">
      <c r="A20" s="41">
        <f t="shared" si="0"/>
        <v>1.7938061146646322</v>
      </c>
      <c r="B20" s="42">
        <v>1996</v>
      </c>
      <c r="C20" s="43">
        <v>68.164000000000001</v>
      </c>
      <c r="F20" s="47"/>
      <c r="L20" s="43"/>
    </row>
    <row r="21" spans="1:12" x14ac:dyDescent="0.25">
      <c r="A21" s="41">
        <f t="shared" si="0"/>
        <v>1.7633833285261031</v>
      </c>
      <c r="B21" s="42">
        <v>1997</v>
      </c>
      <c r="C21" s="43">
        <v>69.34</v>
      </c>
      <c r="F21" s="47"/>
      <c r="L21" s="43"/>
    </row>
    <row r="22" spans="1:12" x14ac:dyDescent="0.25">
      <c r="A22" s="41">
        <f t="shared" si="0"/>
        <v>1.743792695275175</v>
      </c>
      <c r="B22" s="42">
        <v>1998</v>
      </c>
      <c r="C22" s="43">
        <v>70.119</v>
      </c>
      <c r="F22" s="47"/>
      <c r="L22" s="43"/>
    </row>
    <row r="23" spans="1:12" x14ac:dyDescent="0.25">
      <c r="A23" s="41">
        <f t="shared" si="0"/>
        <v>1.7194667491667954</v>
      </c>
      <c r="B23" s="42">
        <v>1999</v>
      </c>
      <c r="C23" s="43">
        <v>71.111000000000004</v>
      </c>
      <c r="F23" s="47"/>
      <c r="L23" s="43"/>
    </row>
    <row r="24" spans="1:12" x14ac:dyDescent="0.25">
      <c r="A24" s="41">
        <f t="shared" si="0"/>
        <v>1.6813756497346057</v>
      </c>
      <c r="B24" s="42">
        <v>2000</v>
      </c>
      <c r="C24" s="43">
        <v>72.721999999999994</v>
      </c>
      <c r="F24" s="47"/>
      <c r="L24" s="43"/>
    </row>
    <row r="25" spans="1:12" x14ac:dyDescent="0.25">
      <c r="A25" s="41">
        <f t="shared" si="0"/>
        <v>1.6443383539537386</v>
      </c>
      <c r="B25" s="42">
        <v>2001</v>
      </c>
      <c r="C25" s="43">
        <v>74.36</v>
      </c>
      <c r="F25" s="47"/>
      <c r="L25" s="43"/>
    </row>
    <row r="26" spans="1:12" x14ac:dyDescent="0.25">
      <c r="A26" s="41">
        <f t="shared" si="0"/>
        <v>1.6191882407468714</v>
      </c>
      <c r="B26" s="42">
        <v>2002</v>
      </c>
      <c r="C26" s="43">
        <v>75.515000000000001</v>
      </c>
      <c r="F26" s="47"/>
      <c r="L26" s="43"/>
    </row>
    <row r="27" spans="1:12" x14ac:dyDescent="0.25">
      <c r="A27" s="41">
        <f t="shared" si="0"/>
        <v>1.5878373113783342</v>
      </c>
      <c r="B27" s="42">
        <v>2003</v>
      </c>
      <c r="C27" s="43">
        <v>77.006</v>
      </c>
      <c r="F27" s="47"/>
      <c r="L27" s="43"/>
    </row>
    <row r="28" spans="1:12" x14ac:dyDescent="0.25">
      <c r="A28" s="41">
        <f t="shared" si="0"/>
        <v>1.5462523869140206</v>
      </c>
      <c r="B28" s="42">
        <v>2004</v>
      </c>
      <c r="C28" s="43">
        <v>79.076999999999998</v>
      </c>
      <c r="F28" s="47"/>
      <c r="L28" s="43"/>
    </row>
    <row r="29" spans="1:12" x14ac:dyDescent="0.25">
      <c r="A29" s="41">
        <f t="shared" si="0"/>
        <v>1.4992520476727647</v>
      </c>
      <c r="B29" s="42">
        <v>2005</v>
      </c>
      <c r="C29" s="43">
        <v>81.555999999999997</v>
      </c>
      <c r="F29" s="47"/>
      <c r="L29" s="43"/>
    </row>
    <row r="30" spans="1:12" x14ac:dyDescent="0.25">
      <c r="A30" s="41">
        <f t="shared" si="0"/>
        <v>1.4544016367118269</v>
      </c>
      <c r="B30" s="42">
        <v>2006</v>
      </c>
      <c r="C30" s="43">
        <v>84.070999999999998</v>
      </c>
      <c r="F30" s="47"/>
      <c r="L30" s="43"/>
    </row>
    <row r="31" spans="1:12" x14ac:dyDescent="0.25">
      <c r="A31" s="41">
        <f t="shared" si="0"/>
        <v>1.4160326118426385</v>
      </c>
      <c r="B31" s="42">
        <v>2007</v>
      </c>
      <c r="C31" s="43">
        <v>86.349000000000004</v>
      </c>
      <c r="F31" s="47"/>
      <c r="L31" s="43"/>
    </row>
    <row r="32" spans="1:12" x14ac:dyDescent="0.25">
      <c r="A32" s="41">
        <f t="shared" si="0"/>
        <v>1.3892606773999294</v>
      </c>
      <c r="B32" s="42">
        <v>2008</v>
      </c>
      <c r="C32" s="43">
        <v>88.013000000000005</v>
      </c>
      <c r="F32" s="47"/>
      <c r="L32" s="43"/>
    </row>
    <row r="33" spans="1:12" x14ac:dyDescent="0.25">
      <c r="A33" s="41">
        <f t="shared" si="0"/>
        <v>1.3807421292741315</v>
      </c>
      <c r="B33" s="42">
        <v>2009</v>
      </c>
      <c r="C33" s="43">
        <v>88.555999999999997</v>
      </c>
      <c r="F33" s="47"/>
      <c r="L33" s="43"/>
    </row>
    <row r="34" spans="1:12" x14ac:dyDescent="0.25">
      <c r="A34" s="41">
        <f t="shared" si="0"/>
        <v>1.3641668154230631</v>
      </c>
      <c r="B34" s="42">
        <v>2010</v>
      </c>
      <c r="C34" s="43">
        <v>89.632000000000005</v>
      </c>
      <c r="F34" s="47"/>
      <c r="L34" s="43"/>
    </row>
    <row r="35" spans="1:12" x14ac:dyDescent="0.25">
      <c r="A35" s="41">
        <f t="shared" si="0"/>
        <v>1.3365944841005237</v>
      </c>
      <c r="B35" s="42">
        <v>2011</v>
      </c>
      <c r="C35" s="43">
        <v>91.480999999999995</v>
      </c>
      <c r="F35" s="47"/>
      <c r="L35" s="43"/>
    </row>
    <row r="36" spans="1:12" x14ac:dyDescent="0.25">
      <c r="A36" s="41">
        <f t="shared" si="0"/>
        <v>1.3121532435477812</v>
      </c>
      <c r="B36" s="42">
        <v>2012</v>
      </c>
      <c r="C36" s="43">
        <v>93.185000000000002</v>
      </c>
      <c r="F36" s="47"/>
      <c r="L36" s="43"/>
    </row>
    <row r="37" spans="1:12" x14ac:dyDescent="0.25">
      <c r="A37" s="41">
        <f t="shared" si="0"/>
        <v>1.2901942577370715</v>
      </c>
      <c r="B37" s="42">
        <v>2013</v>
      </c>
      <c r="C37" s="43">
        <v>94.771000000000001</v>
      </c>
      <c r="F37" s="47"/>
      <c r="L37" s="43"/>
    </row>
    <row r="38" spans="1:12" x14ac:dyDescent="0.25">
      <c r="A38" s="41">
        <f t="shared" si="0"/>
        <v>1.2681158668754731</v>
      </c>
      <c r="B38" s="42">
        <v>2014</v>
      </c>
      <c r="C38" s="43">
        <v>96.421000000000006</v>
      </c>
      <c r="F38" s="47"/>
      <c r="L38" s="43"/>
    </row>
    <row r="39" spans="1:12" x14ac:dyDescent="0.25">
      <c r="A39" s="41">
        <f t="shared" si="0"/>
        <v>1.2564532039952319</v>
      </c>
      <c r="B39" s="42">
        <v>2015</v>
      </c>
      <c r="C39" s="43">
        <v>97.316000000000003</v>
      </c>
      <c r="F39" s="47"/>
      <c r="L39" s="43"/>
    </row>
    <row r="40" spans="1:12" x14ac:dyDescent="0.25">
      <c r="A40" s="41">
        <f t="shared" si="0"/>
        <v>1.244622917112</v>
      </c>
      <c r="B40" s="42">
        <v>2016</v>
      </c>
      <c r="C40" s="43">
        <v>98.241</v>
      </c>
      <c r="F40" s="47"/>
      <c r="L40" s="43"/>
    </row>
    <row r="41" spans="1:12" x14ac:dyDescent="0.25">
      <c r="A41" s="41">
        <f t="shared" si="0"/>
        <v>1.2227299999999999</v>
      </c>
      <c r="B41" s="42">
        <v>2017</v>
      </c>
      <c r="C41" s="43">
        <v>100</v>
      </c>
      <c r="F41" s="47"/>
      <c r="L41" s="43"/>
    </row>
    <row r="42" spans="1:12" x14ac:dyDescent="0.25">
      <c r="A42" s="41">
        <f t="shared" si="0"/>
        <v>1.1953446539773782</v>
      </c>
      <c r="B42" s="42">
        <v>2018</v>
      </c>
      <c r="C42" s="43">
        <v>102.291</v>
      </c>
      <c r="F42" s="47"/>
      <c r="L42" s="43"/>
    </row>
    <row r="43" spans="1:12" x14ac:dyDescent="0.25">
      <c r="A43" s="41">
        <f t="shared" si="0"/>
        <v>1.1759393723732676</v>
      </c>
      <c r="B43" s="42">
        <v>2019</v>
      </c>
      <c r="C43" s="43">
        <v>103.979</v>
      </c>
      <c r="F43" s="47"/>
      <c r="L43" s="43"/>
    </row>
    <row r="44" spans="1:12" x14ac:dyDescent="0.25">
      <c r="A44" s="41">
        <f t="shared" si="0"/>
        <v>1.160514801492013</v>
      </c>
      <c r="B44" s="42">
        <v>2020</v>
      </c>
      <c r="C44" s="43">
        <v>105.361</v>
      </c>
      <c r="F44" s="47"/>
      <c r="L44" s="43"/>
    </row>
    <row r="45" spans="1:12" x14ac:dyDescent="0.25">
      <c r="A45" s="41">
        <f t="shared" si="0"/>
        <v>1.1098373452419852</v>
      </c>
      <c r="B45" s="42">
        <v>2021</v>
      </c>
      <c r="C45" s="43">
        <v>110.172</v>
      </c>
      <c r="D45" s="48"/>
      <c r="F45" s="47"/>
      <c r="L45" s="43"/>
    </row>
    <row r="46" spans="1:12" x14ac:dyDescent="0.25">
      <c r="A46" s="41">
        <f t="shared" si="0"/>
        <v>1.0359835968345958</v>
      </c>
      <c r="B46" s="42">
        <v>2022</v>
      </c>
      <c r="C46" s="43">
        <v>118.026</v>
      </c>
      <c r="D46" s="48"/>
      <c r="F46" s="47"/>
      <c r="L46" s="43"/>
    </row>
    <row r="47" spans="1:12" x14ac:dyDescent="0.25">
      <c r="A47" s="41">
        <f t="shared" si="0"/>
        <v>1</v>
      </c>
      <c r="B47" s="42">
        <v>2023</v>
      </c>
      <c r="C47" s="43">
        <v>122.273</v>
      </c>
      <c r="D47" s="48"/>
      <c r="G47" s="43"/>
      <c r="H47" s="43"/>
      <c r="I47" s="43"/>
      <c r="L47" s="43"/>
    </row>
    <row r="48" spans="1:12" x14ac:dyDescent="0.25">
      <c r="A48" s="41">
        <f t="shared" si="0"/>
        <v>0.97646542085928767</v>
      </c>
      <c r="B48" s="42">
        <v>2024</v>
      </c>
      <c r="C48" s="43">
        <v>125.22</v>
      </c>
      <c r="L48" s="43"/>
    </row>
    <row r="49" spans="1:12" ht="75" x14ac:dyDescent="0.25">
      <c r="A49" s="29" t="s">
        <v>136</v>
      </c>
      <c r="L49" s="43"/>
    </row>
    <row r="50" spans="1:12" x14ac:dyDescent="0.25">
      <c r="A50" s="29" t="s">
        <v>137</v>
      </c>
      <c r="L50" s="43"/>
    </row>
    <row r="51" spans="1:12" x14ac:dyDescent="0.25">
      <c r="L51" s="43"/>
    </row>
    <row r="52" spans="1:12" x14ac:dyDescent="0.25">
      <c r="L52" s="43"/>
    </row>
    <row r="53" spans="1:12" x14ac:dyDescent="0.25">
      <c r="L53" s="43"/>
    </row>
    <row r="54" spans="1:12" x14ac:dyDescent="0.25">
      <c r="L54" s="43"/>
    </row>
    <row r="55" spans="1:12" x14ac:dyDescent="0.25">
      <c r="L55" s="43"/>
    </row>
    <row r="56" spans="1:12" x14ac:dyDescent="0.25">
      <c r="L56" s="43"/>
    </row>
    <row r="57" spans="1:12" x14ac:dyDescent="0.25">
      <c r="L57" s="43"/>
    </row>
    <row r="58" spans="1:12" x14ac:dyDescent="0.25">
      <c r="L58" s="43"/>
    </row>
    <row r="59" spans="1:12" x14ac:dyDescent="0.25">
      <c r="L59" s="43"/>
    </row>
    <row r="60" spans="1:12" x14ac:dyDescent="0.25">
      <c r="L60" s="43"/>
    </row>
    <row r="61" spans="1:12" x14ac:dyDescent="0.25">
      <c r="L61" s="43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5233EC-1630-4EC6-826D-5BBDA545E180}">
  <dimension ref="A1:S46"/>
  <sheetViews>
    <sheetView topLeftCell="C1" workbookViewId="0">
      <selection activeCell="O14" sqref="O14"/>
    </sheetView>
  </sheetViews>
  <sheetFormatPr defaultRowHeight="15" x14ac:dyDescent="0.25"/>
  <cols>
    <col min="1" max="1" width="32.7109375" bestFit="1" customWidth="1"/>
    <col min="3" max="3" width="11.140625" bestFit="1" customWidth="1"/>
    <col min="4" max="4" width="10.140625" bestFit="1" customWidth="1"/>
    <col min="13" max="13" width="9.5703125" bestFit="1" customWidth="1"/>
    <col min="15" max="15" width="12.7109375" bestFit="1" customWidth="1"/>
    <col min="16" max="16" width="12.7109375" customWidth="1"/>
    <col min="17" max="17" width="13.28515625" customWidth="1"/>
  </cols>
  <sheetData>
    <row r="1" spans="1:19" ht="45" x14ac:dyDescent="0.25">
      <c r="B1" s="1" t="s">
        <v>138</v>
      </c>
      <c r="C1" s="1" t="s">
        <v>139</v>
      </c>
      <c r="D1" s="1"/>
    </row>
    <row r="2" spans="1:19" x14ac:dyDescent="0.25">
      <c r="A2" t="s">
        <v>140</v>
      </c>
      <c r="B2" s="4">
        <v>1.4E-2</v>
      </c>
      <c r="C2" s="4">
        <v>1.7999999999999999E-2</v>
      </c>
      <c r="D2" s="7"/>
      <c r="M2" t="s">
        <v>9</v>
      </c>
      <c r="N2" t="s">
        <v>11</v>
      </c>
      <c r="O2" t="s">
        <v>13</v>
      </c>
      <c r="P2" t="s">
        <v>15</v>
      </c>
      <c r="Q2" t="s">
        <v>17</v>
      </c>
      <c r="R2" t="s">
        <v>19</v>
      </c>
    </row>
    <row r="3" spans="1:19" x14ac:dyDescent="0.25">
      <c r="A3" t="s">
        <v>141</v>
      </c>
      <c r="B3" s="4">
        <v>0.372</v>
      </c>
      <c r="C3" s="4">
        <v>2E-3</v>
      </c>
      <c r="D3" s="7"/>
      <c r="L3" t="s">
        <v>45</v>
      </c>
      <c r="M3">
        <v>150</v>
      </c>
      <c r="N3">
        <v>368</v>
      </c>
      <c r="O3">
        <v>482</v>
      </c>
      <c r="P3">
        <v>868</v>
      </c>
      <c r="Q3">
        <v>1263</v>
      </c>
      <c r="R3">
        <v>2637</v>
      </c>
    </row>
    <row r="4" spans="1:19" x14ac:dyDescent="0.25">
      <c r="A4" t="s">
        <v>142</v>
      </c>
      <c r="B4" s="4">
        <v>0.46899999999999997</v>
      </c>
      <c r="D4" s="7"/>
      <c r="L4" t="s">
        <v>50</v>
      </c>
      <c r="M4">
        <v>42</v>
      </c>
      <c r="N4">
        <v>121</v>
      </c>
      <c r="O4">
        <v>192</v>
      </c>
      <c r="P4">
        <v>247</v>
      </c>
      <c r="Q4">
        <v>281</v>
      </c>
      <c r="R4">
        <v>456</v>
      </c>
    </row>
    <row r="5" spans="1:19" x14ac:dyDescent="0.25">
      <c r="A5" t="s">
        <v>143</v>
      </c>
      <c r="B5" s="4">
        <v>0.14499999999999999</v>
      </c>
      <c r="D5" s="7"/>
      <c r="L5" t="s">
        <v>52</v>
      </c>
      <c r="M5">
        <f>SUM(M3:M4)</f>
        <v>192</v>
      </c>
      <c r="N5">
        <f t="shared" ref="N5:R5" si="0">SUM(N3:N4)</f>
        <v>489</v>
      </c>
      <c r="O5">
        <f t="shared" si="0"/>
        <v>674</v>
      </c>
      <c r="P5">
        <f t="shared" si="0"/>
        <v>1115</v>
      </c>
      <c r="Q5">
        <f t="shared" si="0"/>
        <v>1544</v>
      </c>
      <c r="R5">
        <f t="shared" si="0"/>
        <v>3093</v>
      </c>
    </row>
    <row r="6" spans="1:19" x14ac:dyDescent="0.25">
      <c r="A6" t="s">
        <v>144</v>
      </c>
    </row>
    <row r="7" spans="1:19" x14ac:dyDescent="0.25">
      <c r="A7" t="s">
        <v>145</v>
      </c>
    </row>
    <row r="10" spans="1:19" x14ac:dyDescent="0.25">
      <c r="A10" t="s">
        <v>146</v>
      </c>
    </row>
    <row r="11" spans="1:19" x14ac:dyDescent="0.25">
      <c r="A11" s="10" t="s">
        <v>145</v>
      </c>
    </row>
    <row r="12" spans="1:19" ht="60" x14ac:dyDescent="0.25">
      <c r="M12" s="1" t="s">
        <v>147</v>
      </c>
      <c r="N12" s="1" t="s">
        <v>148</v>
      </c>
      <c r="O12" s="1" t="s">
        <v>149</v>
      </c>
      <c r="P12" s="1" t="s">
        <v>150</v>
      </c>
      <c r="Q12" s="1" t="s">
        <v>52</v>
      </c>
      <c r="S12" s="1" t="s">
        <v>151</v>
      </c>
    </row>
    <row r="13" spans="1:19" x14ac:dyDescent="0.25">
      <c r="L13" t="s">
        <v>9</v>
      </c>
      <c r="M13">
        <v>42</v>
      </c>
      <c r="N13" s="49">
        <f>(M13*$B$2*$C$2)+(M13*$B$3*$C$3)</f>
        <v>4.1832000000000001E-2</v>
      </c>
      <c r="O13" s="7">
        <f>N13*$O$22</f>
        <v>539632.80000000005</v>
      </c>
      <c r="P13" s="7">
        <f>M13*$C$44</f>
        <v>2255229.2713634167</v>
      </c>
      <c r="Q13" s="7">
        <f>O13+P13</f>
        <v>2794862.0713634165</v>
      </c>
      <c r="S13" s="8">
        <f>Q13/1000000</f>
        <v>2.7948620713634167</v>
      </c>
    </row>
    <row r="14" spans="1:19" x14ac:dyDescent="0.25">
      <c r="A14" t="s">
        <v>152</v>
      </c>
      <c r="L14" t="s">
        <v>11</v>
      </c>
      <c r="M14">
        <v>121</v>
      </c>
      <c r="N14" s="49">
        <f t="shared" ref="N14:N18" si="1">(M14*$B$2*$C$2)+(M14*$B$3*$C$3)</f>
        <v>0.12051600000000001</v>
      </c>
      <c r="O14" s="7">
        <f t="shared" ref="O14:O18" si="2">N14*$O$22</f>
        <v>1554656.4000000001</v>
      </c>
      <c r="P14" s="7">
        <f>M14*$C$44</f>
        <v>6497208.1389279384</v>
      </c>
      <c r="Q14" s="7">
        <f t="shared" ref="Q14:Q18" si="3">O14+P14</f>
        <v>8051864.5389279388</v>
      </c>
      <c r="S14" s="8">
        <f t="shared" ref="S14:S18" si="4">Q14/1000000</f>
        <v>8.0518645389279389</v>
      </c>
    </row>
    <row r="15" spans="1:19" x14ac:dyDescent="0.25">
      <c r="A15" t="s">
        <v>153</v>
      </c>
      <c r="L15" t="s">
        <v>13</v>
      </c>
      <c r="M15">
        <v>192</v>
      </c>
      <c r="N15" s="49">
        <f t="shared" si="1"/>
        <v>0.19123200000000001</v>
      </c>
      <c r="O15" s="7">
        <f t="shared" si="2"/>
        <v>2466892.8000000003</v>
      </c>
      <c r="P15" s="7">
        <f t="shared" ref="P15:P18" si="5">M15*$C$44</f>
        <v>10309619.526232762</v>
      </c>
      <c r="Q15" s="7">
        <f t="shared" si="3"/>
        <v>12776512.326232763</v>
      </c>
      <c r="S15" s="8">
        <f t="shared" si="4"/>
        <v>12.776512326232764</v>
      </c>
    </row>
    <row r="16" spans="1:19" x14ac:dyDescent="0.25">
      <c r="L16" t="s">
        <v>15</v>
      </c>
      <c r="M16">
        <v>247</v>
      </c>
      <c r="N16" s="49">
        <f t="shared" si="1"/>
        <v>0.24601200000000001</v>
      </c>
      <c r="O16" s="7">
        <f t="shared" si="2"/>
        <v>3173554.8000000003</v>
      </c>
      <c r="P16" s="7">
        <f t="shared" si="5"/>
        <v>13262895.953018188</v>
      </c>
      <c r="Q16" s="7">
        <f t="shared" si="3"/>
        <v>16436450.753018189</v>
      </c>
      <c r="S16" s="8">
        <f t="shared" si="4"/>
        <v>16.436450753018189</v>
      </c>
    </row>
    <row r="17" spans="1:19" x14ac:dyDescent="0.25">
      <c r="L17" t="s">
        <v>17</v>
      </c>
      <c r="M17">
        <v>281</v>
      </c>
      <c r="N17" s="49">
        <f t="shared" si="1"/>
        <v>0.27987600000000001</v>
      </c>
      <c r="O17" s="7">
        <f t="shared" si="2"/>
        <v>3610400.4000000004</v>
      </c>
      <c r="P17" s="7">
        <f t="shared" si="5"/>
        <v>15088557.744121907</v>
      </c>
      <c r="Q17" s="7">
        <f t="shared" si="3"/>
        <v>18698958.144121908</v>
      </c>
      <c r="S17" s="8">
        <f t="shared" si="4"/>
        <v>18.698958144121907</v>
      </c>
    </row>
    <row r="18" spans="1:19" x14ac:dyDescent="0.25">
      <c r="A18" t="s">
        <v>154</v>
      </c>
      <c r="L18" t="s">
        <v>19</v>
      </c>
      <c r="M18">
        <v>456</v>
      </c>
      <c r="N18" s="49">
        <f t="shared" si="1"/>
        <v>0.45417600000000002</v>
      </c>
      <c r="O18" s="7">
        <f t="shared" si="2"/>
        <v>5858870.4000000004</v>
      </c>
      <c r="P18" s="7">
        <f t="shared" si="5"/>
        <v>24485346.374802809</v>
      </c>
      <c r="Q18" s="7">
        <f t="shared" si="3"/>
        <v>30344216.774802811</v>
      </c>
      <c r="S18" s="8">
        <f t="shared" si="4"/>
        <v>30.34421677480281</v>
      </c>
    </row>
    <row r="19" spans="1:19" x14ac:dyDescent="0.25">
      <c r="A19" t="s">
        <v>155</v>
      </c>
    </row>
    <row r="20" spans="1:19" x14ac:dyDescent="0.25">
      <c r="N20" s="52">
        <f>N13/M13</f>
        <v>9.9599999999999992E-4</v>
      </c>
    </row>
    <row r="21" spans="1:19" x14ac:dyDescent="0.25">
      <c r="M21" s="50"/>
      <c r="N21" s="52">
        <f t="shared" ref="N21:N25" si="6">N14/M14</f>
        <v>9.9600000000000014E-4</v>
      </c>
    </row>
    <row r="22" spans="1:19" x14ac:dyDescent="0.25">
      <c r="N22" s="52">
        <f t="shared" si="6"/>
        <v>9.9600000000000014E-4</v>
      </c>
      <c r="O22" s="7">
        <v>12900000</v>
      </c>
    </row>
    <row r="23" spans="1:19" x14ac:dyDescent="0.25">
      <c r="A23" t="s">
        <v>156</v>
      </c>
      <c r="N23" s="52">
        <f t="shared" si="6"/>
        <v>9.9600000000000014E-4</v>
      </c>
      <c r="O23" s="7"/>
    </row>
    <row r="24" spans="1:19" x14ac:dyDescent="0.25">
      <c r="A24" s="10" t="s">
        <v>157</v>
      </c>
      <c r="N24" s="52">
        <f t="shared" si="6"/>
        <v>9.9600000000000014E-4</v>
      </c>
      <c r="O24" s="7"/>
    </row>
    <row r="25" spans="1:19" x14ac:dyDescent="0.25">
      <c r="N25" s="52">
        <f t="shared" si="6"/>
        <v>9.9600000000000014E-4</v>
      </c>
      <c r="O25" s="7"/>
    </row>
    <row r="26" spans="1:19" x14ac:dyDescent="0.25">
      <c r="A26" t="s">
        <v>158</v>
      </c>
      <c r="N26" s="52"/>
    </row>
    <row r="27" spans="1:19" x14ac:dyDescent="0.25">
      <c r="A27" t="s">
        <v>159</v>
      </c>
      <c r="N27" s="52"/>
      <c r="P27" t="s">
        <v>160</v>
      </c>
    </row>
    <row r="28" spans="1:19" x14ac:dyDescent="0.25">
      <c r="A28" s="10" t="s">
        <v>161</v>
      </c>
      <c r="N28" s="52"/>
      <c r="P28" t="s">
        <v>162</v>
      </c>
    </row>
    <row r="31" spans="1:19" x14ac:dyDescent="0.25">
      <c r="A31" t="s">
        <v>163</v>
      </c>
    </row>
    <row r="32" spans="1:19" x14ac:dyDescent="0.25">
      <c r="A32" t="s">
        <v>145</v>
      </c>
    </row>
    <row r="36" spans="1:3" x14ac:dyDescent="0.25">
      <c r="A36" t="s">
        <v>164</v>
      </c>
    </row>
    <row r="37" spans="1:3" x14ac:dyDescent="0.25">
      <c r="A37" t="s">
        <v>165</v>
      </c>
    </row>
    <row r="38" spans="1:3" x14ac:dyDescent="0.25">
      <c r="A38" t="s">
        <v>166</v>
      </c>
    </row>
    <row r="39" spans="1:3" x14ac:dyDescent="0.25">
      <c r="A39" s="7">
        <v>35938</v>
      </c>
      <c r="B39">
        <v>2023</v>
      </c>
    </row>
    <row r="41" spans="1:3" x14ac:dyDescent="0.25">
      <c r="A41" t="s">
        <v>167</v>
      </c>
    </row>
    <row r="42" spans="1:3" x14ac:dyDescent="0.25">
      <c r="A42" t="s">
        <v>168</v>
      </c>
    </row>
    <row r="43" spans="1:3" x14ac:dyDescent="0.25">
      <c r="A43" t="s">
        <v>169</v>
      </c>
    </row>
    <row r="44" spans="1:3" x14ac:dyDescent="0.25">
      <c r="A44" s="7">
        <v>40922</v>
      </c>
      <c r="B44" t="s">
        <v>170</v>
      </c>
      <c r="C44" s="7">
        <f>A44*'GDP deflator'!A36</f>
        <v>53695.935032462301</v>
      </c>
    </row>
    <row r="45" spans="1:3" x14ac:dyDescent="0.25">
      <c r="A45" s="10" t="s">
        <v>171</v>
      </c>
    </row>
    <row r="46" spans="1:3" x14ac:dyDescent="0.25">
      <c r="A46" s="21" t="s">
        <v>74</v>
      </c>
    </row>
  </sheetData>
  <hyperlinks>
    <hyperlink ref="A24" r:id="rId1" xr:uid="{DD420997-1BDB-49AF-B22B-DBEBD16E0DAE}"/>
    <hyperlink ref="A11" r:id="rId2" xr:uid="{81F9EFBD-B0C3-45A9-B7DC-E08A197BEB24}"/>
    <hyperlink ref="A45" r:id="rId3" xr:uid="{7D869E7C-EACD-4ECD-A473-3B00198713DC}"/>
    <hyperlink ref="A28" r:id="rId4" xr:uid="{FABE7D1E-5A98-4AD0-9D55-1BCF53E54F45}"/>
  </hyperlinks>
  <pageMargins left="0.7" right="0.7" top="0.75" bottom="0.75" header="0.3" footer="0.3"/>
  <pageSetup orientation="portrait" horizontalDpi="1200" verticalDpi="1200" r:id="rId5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D0840C-AF61-4278-AEC3-7571D0C0A9C1}">
  <dimension ref="A1:O28"/>
  <sheetViews>
    <sheetView workbookViewId="0">
      <selection activeCell="L16" sqref="L15:L16"/>
    </sheetView>
  </sheetViews>
  <sheetFormatPr defaultRowHeight="15" x14ac:dyDescent="0.25"/>
  <cols>
    <col min="1" max="1" width="18" bestFit="1" customWidth="1"/>
    <col min="3" max="3" width="16.42578125" bestFit="1" customWidth="1"/>
    <col min="4" max="4" width="10.85546875" bestFit="1" customWidth="1"/>
    <col min="5" max="5" width="13.85546875" bestFit="1" customWidth="1"/>
    <col min="10" max="12" width="12.85546875" bestFit="1" customWidth="1"/>
    <col min="13" max="15" width="14.5703125" bestFit="1" customWidth="1"/>
  </cols>
  <sheetData>
    <row r="1" spans="1:15" x14ac:dyDescent="0.25">
      <c r="J1" s="6"/>
    </row>
    <row r="2" spans="1:15" x14ac:dyDescent="0.25">
      <c r="B2" t="s">
        <v>9</v>
      </c>
      <c r="C2" t="s">
        <v>11</v>
      </c>
      <c r="D2" t="s">
        <v>13</v>
      </c>
      <c r="E2" t="s">
        <v>15</v>
      </c>
      <c r="F2" t="s">
        <v>17</v>
      </c>
      <c r="G2" t="s">
        <v>19</v>
      </c>
    </row>
    <row r="3" spans="1:15" x14ac:dyDescent="0.25">
      <c r="A3" t="s">
        <v>48</v>
      </c>
      <c r="B3" s="3">
        <v>21</v>
      </c>
      <c r="C3" s="3">
        <v>55</v>
      </c>
      <c r="D3" s="3">
        <v>75</v>
      </c>
      <c r="E3" s="3">
        <v>118</v>
      </c>
      <c r="F3" s="3">
        <v>162</v>
      </c>
      <c r="G3" s="3">
        <v>195</v>
      </c>
      <c r="H3" s="3"/>
      <c r="J3" s="6"/>
      <c r="K3" s="6"/>
      <c r="L3" s="6"/>
      <c r="M3" s="6"/>
      <c r="N3" s="6"/>
      <c r="O3" s="6"/>
    </row>
    <row r="4" spans="1:15" x14ac:dyDescent="0.25">
      <c r="A4" t="s">
        <v>105</v>
      </c>
      <c r="B4" s="3">
        <v>446</v>
      </c>
      <c r="C4" s="3">
        <v>904</v>
      </c>
      <c r="D4" s="3">
        <v>1424</v>
      </c>
      <c r="E4" s="3">
        <v>2007</v>
      </c>
      <c r="F4" s="3">
        <v>2605</v>
      </c>
      <c r="G4" s="3">
        <v>3176</v>
      </c>
      <c r="H4" s="3"/>
      <c r="J4" s="6"/>
      <c r="K4" s="6"/>
      <c r="L4" s="6"/>
      <c r="M4" s="6"/>
      <c r="N4" s="6"/>
      <c r="O4" s="6"/>
    </row>
    <row r="5" spans="1:15" x14ac:dyDescent="0.25">
      <c r="B5" s="3"/>
      <c r="C5" s="3"/>
      <c r="D5" s="3"/>
      <c r="E5" s="3"/>
      <c r="F5" s="3"/>
      <c r="G5" s="3"/>
      <c r="H5" s="3"/>
    </row>
    <row r="6" spans="1:15" x14ac:dyDescent="0.25">
      <c r="B6" s="3"/>
      <c r="C6" s="3"/>
      <c r="D6" s="3"/>
      <c r="E6" s="3"/>
      <c r="F6" s="23" t="s">
        <v>106</v>
      </c>
      <c r="G6" s="3"/>
      <c r="H6" s="3"/>
    </row>
    <row r="7" spans="1:15" x14ac:dyDescent="0.25">
      <c r="B7" s="3"/>
      <c r="C7" s="3"/>
      <c r="D7" s="3"/>
      <c r="E7" s="3"/>
      <c r="F7" s="23" t="s">
        <v>107</v>
      </c>
      <c r="G7" s="3"/>
      <c r="H7" s="3"/>
    </row>
    <row r="8" spans="1:15" x14ac:dyDescent="0.25">
      <c r="B8" s="3"/>
      <c r="C8" s="3"/>
      <c r="D8" s="3"/>
      <c r="E8" s="3"/>
      <c r="F8" s="3"/>
      <c r="G8" s="3"/>
      <c r="H8" s="3"/>
    </row>
    <row r="9" spans="1:15" x14ac:dyDescent="0.25">
      <c r="A9" t="s">
        <v>108</v>
      </c>
      <c r="B9" s="10" t="s">
        <v>109</v>
      </c>
      <c r="I9" t="s">
        <v>110</v>
      </c>
    </row>
    <row r="10" spans="1:15" x14ac:dyDescent="0.25">
      <c r="A10" t="s">
        <v>111</v>
      </c>
      <c r="B10" s="10" t="s">
        <v>112</v>
      </c>
      <c r="H10" s="6">
        <v>750</v>
      </c>
      <c r="I10" t="s">
        <v>113</v>
      </c>
    </row>
    <row r="11" spans="1:15" x14ac:dyDescent="0.25">
      <c r="A11" t="s">
        <v>114</v>
      </c>
      <c r="B11" s="10" t="s">
        <v>115</v>
      </c>
      <c r="I11" t="s">
        <v>116</v>
      </c>
    </row>
    <row r="12" spans="1:15" x14ac:dyDescent="0.25">
      <c r="C12" s="21" t="s">
        <v>117</v>
      </c>
      <c r="D12" s="21" t="s">
        <v>118</v>
      </c>
    </row>
    <row r="13" spans="1:15" x14ac:dyDescent="0.25">
      <c r="C13" s="7">
        <v>500000</v>
      </c>
      <c r="D13" s="6">
        <f>H10*'[1]GDP deflator'!A36</f>
        <v>984.11493266083585</v>
      </c>
      <c r="H13" t="s">
        <v>61</v>
      </c>
    </row>
    <row r="14" spans="1:15" ht="30" x14ac:dyDescent="0.25">
      <c r="B14" s="1" t="s">
        <v>119</v>
      </c>
      <c r="C14" s="1" t="s">
        <v>120</v>
      </c>
      <c r="D14" s="1" t="s">
        <v>121</v>
      </c>
      <c r="E14" s="1" t="s">
        <v>122</v>
      </c>
      <c r="H14" s="1" t="s">
        <v>123</v>
      </c>
      <c r="I14" s="1" t="s">
        <v>124</v>
      </c>
    </row>
    <row r="15" spans="1:15" x14ac:dyDescent="0.25">
      <c r="A15" t="s">
        <v>9</v>
      </c>
      <c r="B15" s="13">
        <f>B4</f>
        <v>446</v>
      </c>
      <c r="C15" s="7">
        <f>B15*$C$13</f>
        <v>223000000</v>
      </c>
      <c r="D15" s="6">
        <f>B15*$D$13</f>
        <v>438915.25996673276</v>
      </c>
      <c r="E15" s="7">
        <f>SUM(C15:D15)</f>
        <v>223438915.25996673</v>
      </c>
      <c r="H15" s="8">
        <f>C15/1000000</f>
        <v>223</v>
      </c>
      <c r="I15" s="8">
        <f>D15/1000000</f>
        <v>0.43891525996673275</v>
      </c>
    </row>
    <row r="16" spans="1:15" x14ac:dyDescent="0.25">
      <c r="A16" t="s">
        <v>11</v>
      </c>
      <c r="B16" s="13">
        <f>C4</f>
        <v>904</v>
      </c>
      <c r="C16" s="7">
        <f t="shared" ref="C16:C20" si="0">B16*$C$13</f>
        <v>452000000</v>
      </c>
      <c r="D16" s="6">
        <f t="shared" ref="D16:D20" si="1">B16*$D$13</f>
        <v>889639.89912539558</v>
      </c>
      <c r="E16" s="7">
        <f t="shared" ref="E16:E20" si="2">SUM(C16:D16)</f>
        <v>452889639.8991254</v>
      </c>
      <c r="H16" s="8">
        <f t="shared" ref="H16:I20" si="3">C16/1000000</f>
        <v>452</v>
      </c>
      <c r="I16" s="8">
        <f t="shared" si="3"/>
        <v>0.88963989912539554</v>
      </c>
    </row>
    <row r="17" spans="1:9" x14ac:dyDescent="0.25">
      <c r="A17" t="s">
        <v>13</v>
      </c>
      <c r="B17" s="13">
        <f>D4</f>
        <v>1424</v>
      </c>
      <c r="C17" s="7">
        <f t="shared" si="0"/>
        <v>712000000</v>
      </c>
      <c r="D17" s="6">
        <f t="shared" si="1"/>
        <v>1401379.6641090303</v>
      </c>
      <c r="E17" s="7">
        <f t="shared" si="2"/>
        <v>713401379.66410899</v>
      </c>
      <c r="H17" s="8">
        <f t="shared" si="3"/>
        <v>712</v>
      </c>
      <c r="I17" s="8">
        <f t="shared" si="3"/>
        <v>1.4013796641090304</v>
      </c>
    </row>
    <row r="18" spans="1:9" x14ac:dyDescent="0.25">
      <c r="A18" t="s">
        <v>15</v>
      </c>
      <c r="B18" s="13">
        <f>E4</f>
        <v>2007</v>
      </c>
      <c r="C18" s="7">
        <f t="shared" si="0"/>
        <v>1003500000</v>
      </c>
      <c r="D18" s="6">
        <f t="shared" si="1"/>
        <v>1975118.6698502975</v>
      </c>
      <c r="E18" s="7">
        <f t="shared" si="2"/>
        <v>1005475118.6698503</v>
      </c>
      <c r="H18" s="8">
        <f t="shared" si="3"/>
        <v>1003.5</v>
      </c>
      <c r="I18" s="8">
        <f t="shared" si="3"/>
        <v>1.9751186698502976</v>
      </c>
    </row>
    <row r="19" spans="1:9" x14ac:dyDescent="0.25">
      <c r="A19" t="s">
        <v>17</v>
      </c>
      <c r="B19" s="13">
        <f>F4</f>
        <v>2605</v>
      </c>
      <c r="C19" s="7">
        <f t="shared" si="0"/>
        <v>1302500000</v>
      </c>
      <c r="D19" s="6">
        <f t="shared" si="1"/>
        <v>2563619.3995814775</v>
      </c>
      <c r="E19" s="7">
        <f t="shared" si="2"/>
        <v>1305063619.3995814</v>
      </c>
      <c r="H19" s="8">
        <f t="shared" si="3"/>
        <v>1302.5</v>
      </c>
      <c r="I19" s="8">
        <f t="shared" si="3"/>
        <v>2.5636193995814773</v>
      </c>
    </row>
    <row r="20" spans="1:9" x14ac:dyDescent="0.25">
      <c r="A20" t="s">
        <v>19</v>
      </c>
      <c r="B20" s="13">
        <f>G4</f>
        <v>3176</v>
      </c>
      <c r="C20" s="7">
        <f t="shared" si="0"/>
        <v>1588000000</v>
      </c>
      <c r="D20" s="6">
        <f t="shared" si="1"/>
        <v>3125549.0261308146</v>
      </c>
      <c r="E20" s="7">
        <f t="shared" si="2"/>
        <v>1591125549.0261309</v>
      </c>
      <c r="H20" s="8">
        <f t="shared" si="3"/>
        <v>1588</v>
      </c>
      <c r="I20" s="8">
        <f t="shared" si="3"/>
        <v>3.1255490261308148</v>
      </c>
    </row>
    <row r="21" spans="1:9" x14ac:dyDescent="0.25">
      <c r="H21" t="s">
        <v>61</v>
      </c>
    </row>
    <row r="22" spans="1:9" ht="45" x14ac:dyDescent="0.25">
      <c r="B22" s="1" t="s">
        <v>125</v>
      </c>
      <c r="C22" s="1" t="s">
        <v>120</v>
      </c>
      <c r="D22" s="1" t="s">
        <v>121</v>
      </c>
      <c r="E22" s="1" t="s">
        <v>122</v>
      </c>
      <c r="F22" s="1" t="s">
        <v>126</v>
      </c>
      <c r="H22" s="1" t="s">
        <v>123</v>
      </c>
      <c r="I22" s="1" t="s">
        <v>124</v>
      </c>
    </row>
    <row r="23" spans="1:9" x14ac:dyDescent="0.25">
      <c r="A23" t="s">
        <v>9</v>
      </c>
      <c r="B23" s="13">
        <f>B3</f>
        <v>21</v>
      </c>
      <c r="C23" s="7">
        <f>B23*$C$13</f>
        <v>10500000</v>
      </c>
      <c r="D23" s="6">
        <f>B23*$D$13</f>
        <v>20666.413585877552</v>
      </c>
      <c r="E23" s="7">
        <f>SUM(C23:D23)</f>
        <v>10520666.413585877</v>
      </c>
      <c r="F23" s="11">
        <f>E23/1000000000</f>
        <v>1.0520666413585877E-2</v>
      </c>
      <c r="H23" s="8">
        <f>C23/1000000</f>
        <v>10.5</v>
      </c>
      <c r="I23" s="8">
        <f>D23/1000000</f>
        <v>2.0666413585877553E-2</v>
      </c>
    </row>
    <row r="24" spans="1:9" x14ac:dyDescent="0.25">
      <c r="A24" t="s">
        <v>11</v>
      </c>
      <c r="B24" s="13">
        <f>C3</f>
        <v>55</v>
      </c>
      <c r="C24" s="7">
        <f t="shared" ref="C24:C28" si="4">B24*$C$13</f>
        <v>27500000</v>
      </c>
      <c r="D24" s="6">
        <f t="shared" ref="D24:D28" si="5">B24*$D$13</f>
        <v>54126.321296345974</v>
      </c>
      <c r="E24" s="7">
        <f t="shared" ref="E24:E28" si="6">SUM(C24:D24)</f>
        <v>27554126.321296345</v>
      </c>
      <c r="F24" s="11">
        <f t="shared" ref="F24:F28" si="7">E24/1000000000</f>
        <v>2.7554126321296345E-2</v>
      </c>
      <c r="H24" s="8">
        <f t="shared" ref="H24:I28" si="8">C24/1000000</f>
        <v>27.5</v>
      </c>
      <c r="I24" s="8">
        <f t="shared" si="8"/>
        <v>5.4126321296345974E-2</v>
      </c>
    </row>
    <row r="25" spans="1:9" x14ac:dyDescent="0.25">
      <c r="A25" t="s">
        <v>13</v>
      </c>
      <c r="B25" s="13">
        <f>D3</f>
        <v>75</v>
      </c>
      <c r="C25" s="7">
        <f t="shared" si="4"/>
        <v>37500000</v>
      </c>
      <c r="D25" s="6">
        <f t="shared" si="5"/>
        <v>73808.619949562693</v>
      </c>
      <c r="E25" s="7">
        <f t="shared" si="6"/>
        <v>37573808.619949564</v>
      </c>
      <c r="F25" s="11">
        <f t="shared" si="7"/>
        <v>3.7573808619949564E-2</v>
      </c>
      <c r="H25" s="8">
        <f t="shared" si="8"/>
        <v>37.5</v>
      </c>
      <c r="I25" s="8">
        <f t="shared" si="8"/>
        <v>7.3808619949562698E-2</v>
      </c>
    </row>
    <row r="26" spans="1:9" x14ac:dyDescent="0.25">
      <c r="A26" t="s">
        <v>15</v>
      </c>
      <c r="B26" s="13">
        <f>E3</f>
        <v>118</v>
      </c>
      <c r="C26" s="7">
        <f t="shared" si="4"/>
        <v>59000000</v>
      </c>
      <c r="D26" s="6">
        <f t="shared" si="5"/>
        <v>116125.56205397863</v>
      </c>
      <c r="E26" s="7">
        <f t="shared" si="6"/>
        <v>59116125.562053978</v>
      </c>
      <c r="F26" s="11">
        <f t="shared" si="7"/>
        <v>5.9116125562053978E-2</v>
      </c>
      <c r="H26" s="8">
        <f t="shared" si="8"/>
        <v>59</v>
      </c>
      <c r="I26" s="8">
        <f t="shared" si="8"/>
        <v>0.11612556205397863</v>
      </c>
    </row>
    <row r="27" spans="1:9" x14ac:dyDescent="0.25">
      <c r="A27" t="s">
        <v>17</v>
      </c>
      <c r="B27" s="13">
        <f>F3</f>
        <v>162</v>
      </c>
      <c r="C27" s="7">
        <f t="shared" si="4"/>
        <v>81000000</v>
      </c>
      <c r="D27" s="6">
        <f t="shared" si="5"/>
        <v>159426.61909105541</v>
      </c>
      <c r="E27" s="7">
        <f t="shared" si="6"/>
        <v>81159426.619091049</v>
      </c>
      <c r="F27" s="11">
        <f t="shared" si="7"/>
        <v>8.1159426619091049E-2</v>
      </c>
      <c r="H27" s="8">
        <f t="shared" si="8"/>
        <v>81</v>
      </c>
      <c r="I27" s="8">
        <f t="shared" si="8"/>
        <v>0.1594266190910554</v>
      </c>
    </row>
    <row r="28" spans="1:9" x14ac:dyDescent="0.25">
      <c r="A28" t="s">
        <v>19</v>
      </c>
      <c r="B28" s="13">
        <f>G3</f>
        <v>195</v>
      </c>
      <c r="C28" s="7">
        <f t="shared" si="4"/>
        <v>97500000</v>
      </c>
      <c r="D28" s="6">
        <f t="shared" si="5"/>
        <v>191902.41186886298</v>
      </c>
      <c r="E28" s="7">
        <f t="shared" si="6"/>
        <v>97691902.41186887</v>
      </c>
      <c r="F28" s="11">
        <f t="shared" si="7"/>
        <v>9.7691902411868869E-2</v>
      </c>
      <c r="H28" s="8">
        <f t="shared" si="8"/>
        <v>97.5</v>
      </c>
      <c r="I28" s="8">
        <f t="shared" si="8"/>
        <v>0.19190241186886298</v>
      </c>
    </row>
  </sheetData>
  <hyperlinks>
    <hyperlink ref="B9" r:id="rId1" xr:uid="{2BFF4FA3-7655-4040-887C-C2A72EA74841}"/>
    <hyperlink ref="B10" r:id="rId2" xr:uid="{8AD32EAD-428E-4860-9487-87A7ACA53290}"/>
    <hyperlink ref="B11" r:id="rId3" xr:uid="{432619DE-652D-42DF-AC85-55F784FD37CF}"/>
  </hyperlinks>
  <pageMargins left="0.7" right="0.7" top="0.75" bottom="0.75" header="0.3" footer="0.3"/>
  <legacyDrawing r:id="rId4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5D541B-2C4A-4CA3-AECB-CF43BF587242}">
  <dimension ref="A1:S38"/>
  <sheetViews>
    <sheetView zoomScaleNormal="100" workbookViewId="0">
      <selection activeCell="G12" sqref="G12"/>
    </sheetView>
  </sheetViews>
  <sheetFormatPr defaultRowHeight="15" x14ac:dyDescent="0.25"/>
  <cols>
    <col min="1" max="1" width="16.5703125" bestFit="1" customWidth="1"/>
    <col min="2" max="2" width="11.140625" bestFit="1" customWidth="1"/>
    <col min="4" max="4" width="11.140625" bestFit="1" customWidth="1"/>
    <col min="5" max="5" width="3.42578125" customWidth="1"/>
    <col min="7" max="7" width="16.42578125" bestFit="1" customWidth="1"/>
    <col min="8" max="8" width="11.140625" bestFit="1" customWidth="1"/>
    <col min="13" max="13" width="10.28515625" bestFit="1" customWidth="1"/>
    <col min="14" max="14" width="11.7109375" bestFit="1" customWidth="1"/>
    <col min="15" max="15" width="16.140625" customWidth="1"/>
    <col min="16" max="16" width="16.28515625" bestFit="1" customWidth="1"/>
    <col min="17" max="17" width="16.5703125" customWidth="1"/>
    <col min="18" max="18" width="11.7109375" bestFit="1" customWidth="1"/>
  </cols>
  <sheetData>
    <row r="1" spans="1:18" ht="75" x14ac:dyDescent="0.25">
      <c r="C1" s="1" t="s">
        <v>190</v>
      </c>
      <c r="D1" s="1" t="s">
        <v>191</v>
      </c>
      <c r="F1" s="1" t="s">
        <v>0</v>
      </c>
      <c r="G1" s="1" t="s">
        <v>1</v>
      </c>
      <c r="H1" s="1" t="s">
        <v>118</v>
      </c>
      <c r="M1" s="1" t="s">
        <v>2</v>
      </c>
      <c r="N1" s="1" t="s">
        <v>3</v>
      </c>
      <c r="O1" t="s">
        <v>4</v>
      </c>
      <c r="P1" s="1" t="s">
        <v>5</v>
      </c>
      <c r="Q1" s="1" t="s">
        <v>6</v>
      </c>
      <c r="R1" s="1" t="s">
        <v>7</v>
      </c>
    </row>
    <row r="2" spans="1:18" x14ac:dyDescent="0.25">
      <c r="A2" s="12" t="s">
        <v>77</v>
      </c>
      <c r="B2" s="3">
        <v>37</v>
      </c>
      <c r="C2" s="4">
        <f>B2/SUM($B$2:$B$12)</f>
        <v>2.8237758569148507E-6</v>
      </c>
      <c r="D2" s="14">
        <f>B2/SUM($B$2:$B$6)</f>
        <v>1.0545546786600885E-4</v>
      </c>
      <c r="F2" s="5">
        <f>C22</f>
        <v>0.18790000000000001</v>
      </c>
      <c r="G2" s="7">
        <f>C29</f>
        <v>241251</v>
      </c>
      <c r="H2" s="7">
        <f>G2*'GDP deflator'!$A$40</f>
        <v>300266.52337618713</v>
      </c>
      <c r="L2" t="s">
        <v>9</v>
      </c>
      <c r="M2" s="3">
        <v>13466</v>
      </c>
      <c r="N2" s="16">
        <f>(M2*$D$2*$F$2)+(M2*$D$3*$F$3)+(M2*$D$4*$F$4)+(M2*$D$5*$F$5)+(M2*$D$6*$F$6)</f>
        <v>196.23226687216231</v>
      </c>
      <c r="O2" s="7">
        <f>N2*$O$9</f>
        <v>2531396242.6508937</v>
      </c>
      <c r="P2" s="7">
        <f>(M2*$D$2*$G$2)+(M2*$D$3*$G$3)+(M2*$D$4*$G$4)+(M2*$D$5*$G$5)+(M2*$D$6*$G$6)</f>
        <v>556639797.7185564</v>
      </c>
      <c r="Q2" s="7">
        <f>O2+P2</f>
        <v>3088036040.3694501</v>
      </c>
      <c r="R2" s="8">
        <f>Q2/1000000000</f>
        <v>3.0880360403694502</v>
      </c>
    </row>
    <row r="3" spans="1:18" x14ac:dyDescent="0.25">
      <c r="A3" s="12" t="s">
        <v>78</v>
      </c>
      <c r="B3" s="3">
        <v>474</v>
      </c>
      <c r="C3" s="4">
        <f t="shared" ref="C3:C13" si="0">B3/SUM($B$2:$B$12)</f>
        <v>3.6174858275071331E-5</v>
      </c>
      <c r="D3" s="14">
        <f t="shared" ref="D3:D6" si="1">B3/SUM($B$2:$B$6)</f>
        <v>1.3509700477969783E-3</v>
      </c>
      <c r="F3" s="5">
        <f>F2</f>
        <v>0.18790000000000001</v>
      </c>
      <c r="G3" s="7">
        <f>AVERAGE(C30:C31)</f>
        <v>476464.5</v>
      </c>
      <c r="H3" s="7">
        <f>G3*'GDP deflator'!$A$40</f>
        <v>593018.63589031051</v>
      </c>
      <c r="L3" t="s">
        <v>11</v>
      </c>
      <c r="M3" s="3">
        <v>27126</v>
      </c>
      <c r="N3" s="16">
        <f t="shared" ref="N3:N7" si="2">(M3*$D$2*$F$2)+(M3*$D$3*$F$3)+(M3*$D$4*$F$4)+(M3*$D$5*$F$5)+(M3*$D$6*$F$6)</f>
        <v>395.29158407650937</v>
      </c>
      <c r="O3" s="7">
        <f t="shared" ref="O3:O7" si="3">N3*$O$9</f>
        <v>5099261434.5869713</v>
      </c>
      <c r="P3" s="7">
        <f t="shared" ref="P3:P7" si="4">(M3*$D$2*$G$2)+(M3*$D$3*$G$3)+(M3*$D$4*$G$4)+(M3*$D$5*$G$5)+(M3*$D$6*$G$6)</f>
        <v>1121298912.2912197</v>
      </c>
      <c r="Q3" s="7">
        <f t="shared" ref="Q3:Q7" si="5">O3+P3</f>
        <v>6220560346.878191</v>
      </c>
      <c r="R3" s="8">
        <f t="shared" ref="R3:R7" si="6">Q3/1000000000</f>
        <v>6.2205603468781909</v>
      </c>
    </row>
    <row r="4" spans="1:18" x14ac:dyDescent="0.25">
      <c r="A4" s="12" t="s">
        <v>79</v>
      </c>
      <c r="B4" s="3">
        <v>2703</v>
      </c>
      <c r="C4" s="4">
        <f t="shared" si="0"/>
        <v>2.0628827408759033E-4</v>
      </c>
      <c r="D4" s="14">
        <f t="shared" si="1"/>
        <v>7.7039494497789709E-3</v>
      </c>
      <c r="F4" s="5">
        <f>F3</f>
        <v>0.18790000000000001</v>
      </c>
      <c r="G4" s="7">
        <f>AVERAGE(C32:C33)</f>
        <v>219801.5</v>
      </c>
      <c r="H4" s="7">
        <f>G4*'GDP deflator'!$A$40</f>
        <v>273569.98411559325</v>
      </c>
      <c r="L4" t="s">
        <v>13</v>
      </c>
      <c r="M4" s="3">
        <v>42640</v>
      </c>
      <c r="N4" s="16">
        <f t="shared" si="2"/>
        <v>621.36817610493108</v>
      </c>
      <c r="O4" s="7">
        <f t="shared" si="3"/>
        <v>8015649471.7536106</v>
      </c>
      <c r="P4" s="7">
        <f t="shared" si="4"/>
        <v>1762596240.5108604</v>
      </c>
      <c r="Q4" s="7">
        <f t="shared" si="5"/>
        <v>9778245712.2644711</v>
      </c>
      <c r="R4" s="8">
        <f t="shared" si="6"/>
        <v>9.7782457122644715</v>
      </c>
    </row>
    <row r="5" spans="1:18" x14ac:dyDescent="0.25">
      <c r="A5" s="12" t="s">
        <v>80</v>
      </c>
      <c r="B5" s="3">
        <v>20552</v>
      </c>
      <c r="C5" s="4">
        <f t="shared" si="0"/>
        <v>1.5684930111165951E-3</v>
      </c>
      <c r="D5" s="14">
        <f t="shared" si="1"/>
        <v>5.8576237177897672E-2</v>
      </c>
      <c r="F5" s="5">
        <f>C23</f>
        <v>1.2970000000000001E-2</v>
      </c>
      <c r="G5" s="7">
        <f>AVERAGE(C34:C35)</f>
        <v>88346.5</v>
      </c>
      <c r="H5" s="7">
        <f>G5*'GDP deflator'!$A$40</f>
        <v>109958.07854663531</v>
      </c>
      <c r="L5" t="s">
        <v>15</v>
      </c>
      <c r="M5" s="3">
        <v>60102</v>
      </c>
      <c r="N5" s="16">
        <f t="shared" si="2"/>
        <v>875.83185085034165</v>
      </c>
      <c r="O5" s="7">
        <f t="shared" si="3"/>
        <v>11298230875.969408</v>
      </c>
      <c r="P5" s="7">
        <f t="shared" si="4"/>
        <v>2484417430.7500877</v>
      </c>
      <c r="Q5" s="7">
        <f t="shared" si="5"/>
        <v>13782648306.719496</v>
      </c>
      <c r="R5" s="8">
        <f t="shared" si="6"/>
        <v>13.782648306719496</v>
      </c>
    </row>
    <row r="6" spans="1:18" x14ac:dyDescent="0.25">
      <c r="A6" s="12" t="s">
        <v>81</v>
      </c>
      <c r="B6" s="3">
        <v>327093</v>
      </c>
      <c r="C6" s="4">
        <f t="shared" si="0"/>
        <v>2.4963170712590521E-2</v>
      </c>
      <c r="D6" s="14">
        <f t="shared" si="1"/>
        <v>0.93226338785666041</v>
      </c>
      <c r="F6" s="5">
        <f>F5</f>
        <v>1.2970000000000001E-2</v>
      </c>
      <c r="G6" s="7">
        <f>C36</f>
        <v>36255</v>
      </c>
      <c r="H6" s="7">
        <f>G6*'GDP deflator'!$A$40</f>
        <v>45123.803859895561</v>
      </c>
      <c r="L6" t="s">
        <v>17</v>
      </c>
      <c r="M6" s="3">
        <v>78033</v>
      </c>
      <c r="N6" s="16">
        <f t="shared" si="2"/>
        <v>1137.1299926359309</v>
      </c>
      <c r="O6" s="7">
        <f t="shared" si="3"/>
        <v>14668976905.003508</v>
      </c>
      <c r="P6" s="7">
        <f t="shared" si="4"/>
        <v>3225625526.1675415</v>
      </c>
      <c r="Q6" s="7">
        <f t="shared" si="5"/>
        <v>17894602431.171051</v>
      </c>
      <c r="R6" s="8">
        <f t="shared" si="6"/>
        <v>17.894602431171052</v>
      </c>
    </row>
    <row r="7" spans="1:18" x14ac:dyDescent="0.25">
      <c r="A7" s="22" t="s">
        <v>82</v>
      </c>
      <c r="B7" s="3">
        <v>2266945</v>
      </c>
      <c r="C7" s="4">
        <f t="shared" si="0"/>
        <v>0.17300931243118478</v>
      </c>
      <c r="L7" t="s">
        <v>19</v>
      </c>
      <c r="M7" s="3">
        <v>95241</v>
      </c>
      <c r="N7" s="16">
        <f t="shared" si="2"/>
        <v>1387.8922715855945</v>
      </c>
      <c r="O7" s="7">
        <f t="shared" si="3"/>
        <v>17903810303.45417</v>
      </c>
      <c r="P7" s="7">
        <f t="shared" si="4"/>
        <v>3936947198.4637637</v>
      </c>
      <c r="Q7" s="7">
        <f t="shared" si="5"/>
        <v>21840757501.917934</v>
      </c>
      <c r="R7" s="8">
        <f t="shared" si="6"/>
        <v>21.840757501917935</v>
      </c>
    </row>
    <row r="8" spans="1:18" x14ac:dyDescent="0.25">
      <c r="A8" s="22" t="s">
        <v>83</v>
      </c>
      <c r="B8" s="3">
        <v>5523267</v>
      </c>
      <c r="C8" s="4">
        <f t="shared" si="0"/>
        <v>0.42152616232147344</v>
      </c>
      <c r="G8" s="7">
        <f>SUMPRODUCT(G2:G6,D2:D6)</f>
        <v>41336.684814982662</v>
      </c>
      <c r="H8" t="s">
        <v>84</v>
      </c>
      <c r="O8" s="7"/>
      <c r="P8" s="7"/>
    </row>
    <row r="9" spans="1:18" x14ac:dyDescent="0.25">
      <c r="A9" s="22" t="s">
        <v>85</v>
      </c>
      <c r="B9" s="3">
        <v>3842620</v>
      </c>
      <c r="C9" s="4">
        <f t="shared" si="0"/>
        <v>0.29326209684589577</v>
      </c>
      <c r="G9" s="11"/>
      <c r="N9" s="4">
        <f>N2/M2</f>
        <v>1.4572424392704762E-2</v>
      </c>
      <c r="O9" s="7">
        <v>12900000</v>
      </c>
      <c r="P9" s="7"/>
    </row>
    <row r="10" spans="1:18" x14ac:dyDescent="0.25">
      <c r="A10" s="22" t="s">
        <v>86</v>
      </c>
      <c r="B10" s="3">
        <v>968920</v>
      </c>
      <c r="C10" s="4">
        <f t="shared" si="0"/>
        <v>7.3946294683295596E-2</v>
      </c>
      <c r="N10" s="4">
        <f t="shared" ref="N10:N14" si="7">N3/M3</f>
        <v>1.4572424392704762E-2</v>
      </c>
      <c r="Q10" t="s">
        <v>87</v>
      </c>
    </row>
    <row r="11" spans="1:18" x14ac:dyDescent="0.25">
      <c r="A11" s="22" t="s">
        <v>88</v>
      </c>
      <c r="B11" s="3">
        <v>135250</v>
      </c>
      <c r="C11" s="4">
        <f t="shared" si="0"/>
        <v>1.0322045531019827E-2</v>
      </c>
      <c r="N11" s="4">
        <f t="shared" si="7"/>
        <v>1.4572424392704763E-2</v>
      </c>
      <c r="Q11" s="10" t="s">
        <v>89</v>
      </c>
      <c r="R11" s="11"/>
    </row>
    <row r="12" spans="1:18" x14ac:dyDescent="0.25">
      <c r="A12" s="22" t="s">
        <v>90</v>
      </c>
      <c r="B12" s="3">
        <v>15162</v>
      </c>
      <c r="C12" s="4">
        <f t="shared" si="0"/>
        <v>1.1571375552038639E-3</v>
      </c>
      <c r="N12" s="4">
        <f t="shared" si="7"/>
        <v>1.4572424392704763E-2</v>
      </c>
      <c r="Q12" s="10" t="s">
        <v>91</v>
      </c>
    </row>
    <row r="13" spans="1:18" x14ac:dyDescent="0.25">
      <c r="A13" s="12" t="s">
        <v>92</v>
      </c>
      <c r="B13" s="13">
        <f>SUM(B2:B6)</f>
        <v>350859</v>
      </c>
      <c r="C13" s="4">
        <f t="shared" si="0"/>
        <v>2.6776950631926692E-2</v>
      </c>
      <c r="N13" s="4">
        <f t="shared" si="7"/>
        <v>1.4572424392704765E-2</v>
      </c>
    </row>
    <row r="14" spans="1:18" x14ac:dyDescent="0.25">
      <c r="N14" s="4">
        <f t="shared" si="7"/>
        <v>1.4572424392704765E-2</v>
      </c>
      <c r="Q14" t="s">
        <v>30</v>
      </c>
    </row>
    <row r="15" spans="1:18" x14ac:dyDescent="0.25">
      <c r="B15" t="s">
        <v>29</v>
      </c>
      <c r="O15" t="s">
        <v>32</v>
      </c>
      <c r="Q15" s="10" t="s">
        <v>33</v>
      </c>
    </row>
    <row r="16" spans="1:18" x14ac:dyDescent="0.25">
      <c r="B16" t="s">
        <v>93</v>
      </c>
      <c r="O16" s="15" t="s">
        <v>34</v>
      </c>
    </row>
    <row r="17" spans="1:19" x14ac:dyDescent="0.25">
      <c r="O17" s="15" t="s">
        <v>36</v>
      </c>
    </row>
    <row r="18" spans="1:19" x14ac:dyDescent="0.25">
      <c r="A18" t="s">
        <v>35</v>
      </c>
    </row>
    <row r="19" spans="1:19" ht="45" x14ac:dyDescent="0.25">
      <c r="A19" t="s">
        <v>37</v>
      </c>
      <c r="M19" s="1" t="s">
        <v>39</v>
      </c>
      <c r="N19" s="1" t="s">
        <v>3</v>
      </c>
      <c r="O19" t="s">
        <v>4</v>
      </c>
      <c r="P19" s="1" t="s">
        <v>5</v>
      </c>
      <c r="Q19" s="1" t="s">
        <v>6</v>
      </c>
      <c r="R19" s="1" t="s">
        <v>7</v>
      </c>
    </row>
    <row r="20" spans="1:19" x14ac:dyDescent="0.25">
      <c r="A20" s="10" t="s">
        <v>38</v>
      </c>
      <c r="L20" t="s">
        <v>9</v>
      </c>
      <c r="M20" s="3">
        <f>N33</f>
        <v>2622</v>
      </c>
      <c r="N20" s="16">
        <f>(M20*$D$2*$F$2)+(M20*$D$3*$F$3)+(M20*$D$4*$F$4)+(M20*$D$5*$F$5)+(M20*$D$6*$F$6)</f>
        <v>38.208896757671887</v>
      </c>
      <c r="O20" s="7">
        <f>N20*$O$9</f>
        <v>492894768.17396736</v>
      </c>
      <c r="P20" s="7">
        <f>(M20*$D$2*$G$2)+(M20*$D$3*$G$3)+(M20*$D$4*$G$4)+(M20*$D$5*$G$5)+(M20*$D$6*$G$6)</f>
        <v>108384787.58488452</v>
      </c>
      <c r="Q20" s="7">
        <f>O20+P20</f>
        <v>601279555.75885189</v>
      </c>
      <c r="R20" s="8">
        <f>Q20/1000000000</f>
        <v>0.60127955575885184</v>
      </c>
    </row>
    <row r="21" spans="1:19" x14ac:dyDescent="0.25">
      <c r="L21" t="s">
        <v>11</v>
      </c>
      <c r="M21" s="3">
        <f>O33</f>
        <v>2993</v>
      </c>
      <c r="N21" s="16">
        <f t="shared" ref="N21:N25" si="8">(M21*$D$2*$F$2)+(M21*$D$3*$F$3)+(M21*$D$4*$F$4)+(M21*$D$5*$F$5)+(M21*$D$6*$F$6)</f>
        <v>43.615266207365352</v>
      </c>
      <c r="O21" s="7">
        <f t="shared" ref="O21:O25" si="9">N21*$O$9</f>
        <v>562636934.07501304</v>
      </c>
      <c r="P21" s="7">
        <f t="shared" ref="P21:P25" si="10">(M21*$D$2*$G$2)+(M21*$D$3*$G$3)+(M21*$D$4*$G$4)+(M21*$D$5*$G$5)+(M21*$D$6*$G$6)</f>
        <v>123720697.65124309</v>
      </c>
      <c r="Q21" s="7">
        <f t="shared" ref="Q21:Q25" si="11">O21+P21</f>
        <v>686357631.72625613</v>
      </c>
      <c r="R21" s="8">
        <f t="shared" ref="R21:R25" si="12">Q21/1000000000</f>
        <v>0.68635763172625608</v>
      </c>
    </row>
    <row r="22" spans="1:19" x14ac:dyDescent="0.25">
      <c r="A22" t="s">
        <v>94</v>
      </c>
      <c r="B22">
        <v>187.9</v>
      </c>
      <c r="C22" s="4">
        <f>B22/1000</f>
        <v>0.18790000000000001</v>
      </c>
      <c r="L22" t="s">
        <v>13</v>
      </c>
      <c r="M22" s="3">
        <f>P33</f>
        <v>3233</v>
      </c>
      <c r="N22" s="16">
        <f t="shared" si="8"/>
        <v>47.1126480616145</v>
      </c>
      <c r="O22" s="7">
        <f t="shared" si="9"/>
        <v>607753159.99482703</v>
      </c>
      <c r="P22" s="7">
        <f t="shared" si="10"/>
        <v>133641502.00683893</v>
      </c>
      <c r="Q22" s="7">
        <f t="shared" si="11"/>
        <v>741394662.00166595</v>
      </c>
      <c r="R22" s="8">
        <f t="shared" si="12"/>
        <v>0.74139466200166593</v>
      </c>
    </row>
    <row r="23" spans="1:19" x14ac:dyDescent="0.25">
      <c r="A23" t="s">
        <v>95</v>
      </c>
      <c r="B23">
        <v>12.97</v>
      </c>
      <c r="C23" s="4">
        <f>B23/1000</f>
        <v>1.2970000000000001E-2</v>
      </c>
      <c r="L23" t="s">
        <v>15</v>
      </c>
      <c r="M23" s="3">
        <f>Q33</f>
        <v>3584</v>
      </c>
      <c r="N23" s="16">
        <f t="shared" si="8"/>
        <v>52.227569023453867</v>
      </c>
      <c r="O23" s="7">
        <f t="shared" si="9"/>
        <v>673735640.40255487</v>
      </c>
      <c r="P23" s="7">
        <f t="shared" si="10"/>
        <v>148150678.37689784</v>
      </c>
      <c r="Q23" s="7">
        <f t="shared" si="11"/>
        <v>821886318.77945268</v>
      </c>
      <c r="R23" s="8">
        <f t="shared" si="12"/>
        <v>0.82188631877945273</v>
      </c>
    </row>
    <row r="24" spans="1:19" x14ac:dyDescent="0.25">
      <c r="L24" t="s">
        <v>17</v>
      </c>
      <c r="M24" s="3">
        <f>R33</f>
        <v>3939</v>
      </c>
      <c r="N24" s="16">
        <f t="shared" si="8"/>
        <v>57.400779682864062</v>
      </c>
      <c r="O24" s="7">
        <f t="shared" si="9"/>
        <v>740470057.90894639</v>
      </c>
      <c r="P24" s="7">
        <f t="shared" si="10"/>
        <v>162825201.48621669</v>
      </c>
      <c r="Q24" s="7">
        <f t="shared" si="11"/>
        <v>903295259.39516306</v>
      </c>
      <c r="R24" s="8">
        <f t="shared" si="12"/>
        <v>0.90329525939516309</v>
      </c>
    </row>
    <row r="25" spans="1:19" x14ac:dyDescent="0.25">
      <c r="A25" t="s">
        <v>42</v>
      </c>
      <c r="L25" t="s">
        <v>19</v>
      </c>
      <c r="M25" s="3">
        <f>S33</f>
        <v>4214</v>
      </c>
      <c r="N25" s="16">
        <f t="shared" si="8"/>
        <v>61.408196390857867</v>
      </c>
      <c r="O25" s="7">
        <f t="shared" si="9"/>
        <v>792165733.44206643</v>
      </c>
      <c r="P25" s="7">
        <f t="shared" si="10"/>
        <v>174192789.81033695</v>
      </c>
      <c r="Q25" s="7">
        <f t="shared" si="11"/>
        <v>966358523.25240338</v>
      </c>
      <c r="R25" s="8">
        <f t="shared" si="12"/>
        <v>0.96635852325240335</v>
      </c>
    </row>
    <row r="26" spans="1:19" x14ac:dyDescent="0.25">
      <c r="A26" s="10" t="s">
        <v>43</v>
      </c>
    </row>
    <row r="27" spans="1:19" x14ac:dyDescent="0.25">
      <c r="A27" t="s">
        <v>44</v>
      </c>
    </row>
    <row r="28" spans="1:19" x14ac:dyDescent="0.25">
      <c r="B28" t="s">
        <v>46</v>
      </c>
      <c r="C28" t="s">
        <v>47</v>
      </c>
    </row>
    <row r="29" spans="1:19" x14ac:dyDescent="0.25">
      <c r="A29" t="s">
        <v>96</v>
      </c>
      <c r="B29" s="7">
        <v>247994</v>
      </c>
      <c r="C29" s="7">
        <f>B29-$B$37</f>
        <v>241251</v>
      </c>
      <c r="D29" s="11"/>
      <c r="N29" t="s">
        <v>9</v>
      </c>
      <c r="O29" t="s">
        <v>11</v>
      </c>
      <c r="P29" t="s">
        <v>13</v>
      </c>
      <c r="Q29" t="s">
        <v>15</v>
      </c>
      <c r="R29" t="s">
        <v>17</v>
      </c>
      <c r="S29" t="s">
        <v>19</v>
      </c>
    </row>
    <row r="30" spans="1:19" x14ac:dyDescent="0.25">
      <c r="A30" t="s">
        <v>97</v>
      </c>
      <c r="B30" s="7">
        <v>537624</v>
      </c>
      <c r="C30" s="7">
        <f t="shared" ref="C30:C36" si="13">B30-$B$37</f>
        <v>530881</v>
      </c>
      <c r="D30" s="11"/>
      <c r="K30" t="s">
        <v>45</v>
      </c>
      <c r="N30" s="3">
        <v>2622</v>
      </c>
      <c r="O30" s="3">
        <v>2993</v>
      </c>
      <c r="P30" s="3">
        <v>3233</v>
      </c>
      <c r="Q30" s="3">
        <v>3584</v>
      </c>
      <c r="R30" s="3">
        <v>3939</v>
      </c>
      <c r="S30" s="3">
        <v>4214</v>
      </c>
    </row>
    <row r="31" spans="1:19" x14ac:dyDescent="0.25">
      <c r="A31" t="s">
        <v>98</v>
      </c>
      <c r="B31" s="7">
        <v>428791</v>
      </c>
      <c r="C31" s="7">
        <f t="shared" si="13"/>
        <v>422048</v>
      </c>
      <c r="D31" s="11"/>
      <c r="K31" t="s">
        <v>48</v>
      </c>
      <c r="N31" s="3"/>
      <c r="O31" s="3"/>
      <c r="P31" s="3"/>
      <c r="Q31" s="3"/>
      <c r="R31" s="3"/>
      <c r="S31" s="3"/>
    </row>
    <row r="32" spans="1:19" x14ac:dyDescent="0.25">
      <c r="A32" t="s">
        <v>99</v>
      </c>
      <c r="B32" s="7">
        <v>272743</v>
      </c>
      <c r="C32" s="7">
        <f t="shared" si="13"/>
        <v>266000</v>
      </c>
      <c r="D32" s="11"/>
      <c r="K32" t="s">
        <v>50</v>
      </c>
      <c r="N32" s="3"/>
      <c r="O32" s="3"/>
      <c r="P32" s="3"/>
      <c r="Q32" s="3"/>
      <c r="R32" s="3"/>
      <c r="S32" s="3"/>
    </row>
    <row r="33" spans="1:19" x14ac:dyDescent="0.25">
      <c r="A33" t="s">
        <v>100</v>
      </c>
      <c r="B33" s="7">
        <v>180346</v>
      </c>
      <c r="C33" s="7">
        <f t="shared" si="13"/>
        <v>173603</v>
      </c>
      <c r="D33" s="11"/>
      <c r="K33" t="s">
        <v>52</v>
      </c>
      <c r="N33" s="3">
        <f t="shared" ref="N33:S33" si="14">SUM(N30:N32)</f>
        <v>2622</v>
      </c>
      <c r="O33" s="3">
        <f t="shared" si="14"/>
        <v>2993</v>
      </c>
      <c r="P33" s="3">
        <f t="shared" si="14"/>
        <v>3233</v>
      </c>
      <c r="Q33" s="3">
        <f t="shared" si="14"/>
        <v>3584</v>
      </c>
      <c r="R33" s="3">
        <f t="shared" si="14"/>
        <v>3939</v>
      </c>
      <c r="S33" s="3">
        <f t="shared" si="14"/>
        <v>4214</v>
      </c>
    </row>
    <row r="34" spans="1:19" x14ac:dyDescent="0.25">
      <c r="A34" t="s">
        <v>101</v>
      </c>
      <c r="B34" s="7">
        <v>114886</v>
      </c>
      <c r="C34" s="7">
        <f t="shared" si="13"/>
        <v>108143</v>
      </c>
      <c r="D34" s="11"/>
    </row>
    <row r="35" spans="1:19" x14ac:dyDescent="0.25">
      <c r="A35" t="s">
        <v>102</v>
      </c>
      <c r="B35" s="7">
        <v>75293</v>
      </c>
      <c r="C35" s="7">
        <f t="shared" si="13"/>
        <v>68550</v>
      </c>
      <c r="D35" s="11"/>
    </row>
    <row r="36" spans="1:19" x14ac:dyDescent="0.25">
      <c r="A36" t="s">
        <v>103</v>
      </c>
      <c r="B36" s="7">
        <v>42998</v>
      </c>
      <c r="C36" s="7">
        <f t="shared" si="13"/>
        <v>36255</v>
      </c>
      <c r="D36" s="11"/>
    </row>
    <row r="37" spans="1:19" x14ac:dyDescent="0.25">
      <c r="A37" t="s">
        <v>104</v>
      </c>
      <c r="B37" s="7">
        <v>6743</v>
      </c>
    </row>
    <row r="38" spans="1:19" x14ac:dyDescent="0.25">
      <c r="B38" s="54" t="s">
        <v>60</v>
      </c>
      <c r="C38" s="54"/>
    </row>
  </sheetData>
  <mergeCells count="1">
    <mergeCell ref="B38:C38"/>
  </mergeCells>
  <hyperlinks>
    <hyperlink ref="Q12" r:id="rId1" xr:uid="{02C0F864-B6FF-487A-A684-A31439BE933B}"/>
    <hyperlink ref="Q11" r:id="rId2" xr:uid="{9CE013C7-FA10-4E46-A74B-1BD603371766}"/>
    <hyperlink ref="Q15" r:id="rId3" xr:uid="{F8E197DE-4B60-44EE-B6EF-A5EB5CFCF7D2}"/>
    <hyperlink ref="A20" r:id="rId4" xr:uid="{E87865C4-E501-4C57-BF98-F300D85974EB}"/>
    <hyperlink ref="A26" r:id="rId5" xr:uid="{39208D02-D607-4FD9-8B6A-E5ECAF3FFCB4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1CC995-33D9-4585-AC4D-0DECCD157669}">
  <dimension ref="B2:T24"/>
  <sheetViews>
    <sheetView topLeftCell="E1" workbookViewId="0">
      <selection activeCell="P25" sqref="P25"/>
    </sheetView>
  </sheetViews>
  <sheetFormatPr defaultRowHeight="15" x14ac:dyDescent="0.25"/>
  <cols>
    <col min="14" max="14" width="12.7109375" bestFit="1" customWidth="1"/>
    <col min="16" max="16" width="12.7109375" bestFit="1" customWidth="1"/>
    <col min="17" max="17" width="14.85546875" bestFit="1" customWidth="1"/>
  </cols>
  <sheetData>
    <row r="2" spans="2:20" ht="15.75" thickBot="1" x14ac:dyDescent="0.3"/>
    <row r="3" spans="2:20" ht="19.5" thickBot="1" x14ac:dyDescent="0.3">
      <c r="B3" t="s">
        <v>45</v>
      </c>
      <c r="C3" s="17">
        <v>231</v>
      </c>
      <c r="D3" s="17">
        <v>571</v>
      </c>
      <c r="E3" s="17">
        <v>770</v>
      </c>
      <c r="F3" s="18">
        <v>1430</v>
      </c>
      <c r="G3" s="18">
        <v>2014</v>
      </c>
      <c r="H3" s="18">
        <v>4229</v>
      </c>
    </row>
    <row r="4" spans="2:20" ht="20.25" thickTop="1" thickBot="1" x14ac:dyDescent="0.35">
      <c r="B4" t="s">
        <v>50</v>
      </c>
      <c r="C4" s="19">
        <v>93</v>
      </c>
      <c r="D4" s="19">
        <v>270</v>
      </c>
      <c r="E4" s="19">
        <v>430</v>
      </c>
      <c r="F4" s="19">
        <v>546</v>
      </c>
      <c r="G4" s="19">
        <v>621</v>
      </c>
      <c r="H4" s="20">
        <v>1006</v>
      </c>
      <c r="R4" t="s">
        <v>61</v>
      </c>
    </row>
    <row r="5" spans="2:20" ht="61.5" thickTop="1" thickBot="1" x14ac:dyDescent="0.3">
      <c r="B5" t="s">
        <v>52</v>
      </c>
      <c r="C5">
        <f>SUM(C3:C4)</f>
        <v>324</v>
      </c>
      <c r="D5">
        <f t="shared" ref="D5:H5" si="0">SUM(D3:D4)</f>
        <v>841</v>
      </c>
      <c r="E5">
        <f t="shared" si="0"/>
        <v>1200</v>
      </c>
      <c r="F5">
        <f t="shared" si="0"/>
        <v>1976</v>
      </c>
      <c r="G5">
        <f t="shared" si="0"/>
        <v>2635</v>
      </c>
      <c r="H5">
        <f t="shared" si="0"/>
        <v>5235</v>
      </c>
      <c r="O5" s="1" t="s">
        <v>39</v>
      </c>
      <c r="P5" s="1" t="s">
        <v>62</v>
      </c>
      <c r="Q5" s="1" t="s">
        <v>63</v>
      </c>
      <c r="R5" s="1" t="s">
        <v>62</v>
      </c>
      <c r="S5" s="1" t="s">
        <v>63</v>
      </c>
      <c r="T5" s="53" t="s">
        <v>52</v>
      </c>
    </row>
    <row r="6" spans="2:20" ht="19.5" thickBot="1" x14ac:dyDescent="0.35">
      <c r="N6" t="s">
        <v>9</v>
      </c>
      <c r="O6" s="19">
        <v>93</v>
      </c>
      <c r="P6" s="7">
        <f>O6*0.4*$E$14</f>
        <v>181241.57896276779</v>
      </c>
      <c r="Q6" s="7">
        <f>O6*0.6*$C$19</f>
        <v>9122981.613349786</v>
      </c>
      <c r="R6" s="11">
        <f>P6/1000000</f>
        <v>0.1812415789627678</v>
      </c>
      <c r="S6" s="11">
        <f>Q6/1000000</f>
        <v>9.1229816133497863</v>
      </c>
      <c r="T6" s="8">
        <f>R6+S6</f>
        <v>9.3042231923125538</v>
      </c>
    </row>
    <row r="7" spans="2:20" ht="20.25" thickTop="1" thickBot="1" x14ac:dyDescent="0.35">
      <c r="N7" t="s">
        <v>11</v>
      </c>
      <c r="O7" s="19">
        <v>270</v>
      </c>
      <c r="P7" s="7">
        <f t="shared" ref="P7:P11" si="1">O7*0.4*$E$14</f>
        <v>526185.22924674512</v>
      </c>
      <c r="Q7" s="7">
        <f t="shared" ref="Q7:Q11" si="2">O7*0.6*$C$19</f>
        <v>26486075.65166067</v>
      </c>
      <c r="R7" s="11">
        <f t="shared" ref="R7:S11" si="3">P7/1000000</f>
        <v>0.52618522924674516</v>
      </c>
      <c r="S7" s="11">
        <f t="shared" si="3"/>
        <v>26.48607565166067</v>
      </c>
      <c r="T7" s="8">
        <f t="shared" ref="T7:T11" si="4">R7+S7</f>
        <v>27.012260880907416</v>
      </c>
    </row>
    <row r="8" spans="2:20" ht="20.25" thickTop="1" thickBot="1" x14ac:dyDescent="0.35">
      <c r="B8" t="s">
        <v>64</v>
      </c>
      <c r="N8" t="s">
        <v>13</v>
      </c>
      <c r="O8" s="19">
        <v>430</v>
      </c>
      <c r="P8" s="7">
        <f t="shared" si="1"/>
        <v>837998.6984300015</v>
      </c>
      <c r="Q8" s="7">
        <f t="shared" si="2"/>
        <v>42181527.889681809</v>
      </c>
      <c r="R8" s="11">
        <f t="shared" si="3"/>
        <v>0.83799869843000152</v>
      </c>
      <c r="S8" s="11">
        <f t="shared" si="3"/>
        <v>42.18152788968181</v>
      </c>
      <c r="T8" s="8">
        <f t="shared" si="4"/>
        <v>43.019526588111809</v>
      </c>
    </row>
    <row r="9" spans="2:20" ht="20.25" thickTop="1" thickBot="1" x14ac:dyDescent="0.35">
      <c r="B9" s="10" t="s">
        <v>65</v>
      </c>
      <c r="N9" t="s">
        <v>15</v>
      </c>
      <c r="O9" s="19">
        <v>546</v>
      </c>
      <c r="P9" s="7">
        <f t="shared" si="1"/>
        <v>1064063.4635878624</v>
      </c>
      <c r="Q9" s="7">
        <f t="shared" si="2"/>
        <v>53560730.76224713</v>
      </c>
      <c r="R9" s="11">
        <f t="shared" si="3"/>
        <v>1.0640634635878625</v>
      </c>
      <c r="S9" s="11">
        <f t="shared" si="3"/>
        <v>53.560730762247132</v>
      </c>
      <c r="T9" s="8">
        <f t="shared" si="4"/>
        <v>54.624794225834997</v>
      </c>
    </row>
    <row r="10" spans="2:20" ht="20.25" thickTop="1" thickBot="1" x14ac:dyDescent="0.35">
      <c r="N10" t="s">
        <v>17</v>
      </c>
      <c r="O10" s="19">
        <v>621</v>
      </c>
      <c r="P10" s="7">
        <f t="shared" si="1"/>
        <v>1210226.0272675138</v>
      </c>
      <c r="Q10" s="7">
        <f t="shared" si="2"/>
        <v>60917973.998819537</v>
      </c>
      <c r="R10" s="11">
        <f t="shared" si="3"/>
        <v>1.2102260272675138</v>
      </c>
      <c r="S10" s="11">
        <f t="shared" si="3"/>
        <v>60.917973998819541</v>
      </c>
      <c r="T10" s="8">
        <f t="shared" si="4"/>
        <v>62.128200026087057</v>
      </c>
    </row>
    <row r="11" spans="2:20" ht="20.25" thickTop="1" thickBot="1" x14ac:dyDescent="0.35">
      <c r="B11" t="s">
        <v>66</v>
      </c>
      <c r="E11" s="54" t="s">
        <v>67</v>
      </c>
      <c r="F11" s="54"/>
      <c r="N11" t="s">
        <v>19</v>
      </c>
      <c r="O11" s="20">
        <v>1006</v>
      </c>
      <c r="P11" s="7">
        <f t="shared" si="1"/>
        <v>1960527.1874897247</v>
      </c>
      <c r="Q11" s="7">
        <f t="shared" si="2"/>
        <v>98685155.946557909</v>
      </c>
      <c r="R11" s="11">
        <f t="shared" si="3"/>
        <v>1.9605271874897248</v>
      </c>
      <c r="S11" s="11">
        <f t="shared" si="3"/>
        <v>98.685155946557913</v>
      </c>
      <c r="T11" s="8">
        <f t="shared" si="4"/>
        <v>100.64568313404764</v>
      </c>
    </row>
    <row r="12" spans="2:20" ht="15.75" thickTop="1" x14ac:dyDescent="0.25">
      <c r="D12" t="s">
        <v>68</v>
      </c>
    </row>
    <row r="13" spans="2:20" x14ac:dyDescent="0.25">
      <c r="B13" t="s">
        <v>69</v>
      </c>
      <c r="C13">
        <v>14355</v>
      </c>
    </row>
    <row r="14" spans="2:20" x14ac:dyDescent="0.25">
      <c r="B14" t="s">
        <v>70</v>
      </c>
      <c r="C14">
        <v>17778</v>
      </c>
      <c r="D14">
        <f>C14-C13</f>
        <v>3423</v>
      </c>
      <c r="E14" s="7">
        <f>(D14*AVERAGE('GDP deflator'!$A$28:$A$35))</f>
        <v>4872.085455988381</v>
      </c>
      <c r="O14" s="11"/>
    </row>
    <row r="15" spans="2:20" x14ac:dyDescent="0.25">
      <c r="B15" t="s">
        <v>71</v>
      </c>
      <c r="C15">
        <v>23055</v>
      </c>
      <c r="D15">
        <f>C15-C13</f>
        <v>8700</v>
      </c>
      <c r="N15" s="11"/>
    </row>
    <row r="18" spans="2:3" x14ac:dyDescent="0.25">
      <c r="B18" t="s">
        <v>72</v>
      </c>
    </row>
    <row r="19" spans="2:3" x14ac:dyDescent="0.25">
      <c r="B19">
        <v>124600</v>
      </c>
      <c r="C19" s="7">
        <f>(B19*'GDP deflator'!A36)</f>
        <v>163494.29414605352</v>
      </c>
    </row>
    <row r="20" spans="2:3" x14ac:dyDescent="0.25">
      <c r="B20" s="10" t="s">
        <v>73</v>
      </c>
    </row>
    <row r="21" spans="2:3" x14ac:dyDescent="0.25">
      <c r="B21" s="21" t="s">
        <v>74</v>
      </c>
    </row>
    <row r="23" spans="2:3" x14ac:dyDescent="0.25">
      <c r="B23" t="s">
        <v>75</v>
      </c>
    </row>
    <row r="24" spans="2:3" x14ac:dyDescent="0.25">
      <c r="B24" s="10" t="s">
        <v>76</v>
      </c>
    </row>
  </sheetData>
  <mergeCells count="1">
    <mergeCell ref="E11:F11"/>
  </mergeCells>
  <hyperlinks>
    <hyperlink ref="B9" r:id="rId1" xr:uid="{A92C326F-11E3-4637-B651-EA0BC099A14C}"/>
    <hyperlink ref="B24" r:id="rId2" xr:uid="{9311495B-AC36-485C-BC57-8254E3CF12CB}"/>
    <hyperlink ref="B20" r:id="rId3" xr:uid="{E56A97C5-0575-4319-8730-AF48348A3184}"/>
  </hyperlinks>
  <pageMargins left="0.7" right="0.7" top="0.75" bottom="0.75" header="0.3" footer="0.3"/>
  <legacyDrawing r:id="rId4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235E4F-A1BF-4E9C-AF23-CA998D6F44FE}">
  <dimension ref="A1:S41"/>
  <sheetViews>
    <sheetView zoomScaleNormal="100" workbookViewId="0">
      <selection activeCell="K14" sqref="K14"/>
    </sheetView>
  </sheetViews>
  <sheetFormatPr defaultRowHeight="15" x14ac:dyDescent="0.25"/>
  <cols>
    <col min="1" max="1" width="16.5703125" bestFit="1" customWidth="1"/>
    <col min="2" max="2" width="12.28515625" customWidth="1"/>
    <col min="3" max="3" width="12" customWidth="1"/>
    <col min="5" max="5" width="3.42578125" customWidth="1"/>
    <col min="7" max="7" width="15.5703125" bestFit="1" customWidth="1"/>
    <col min="8" max="8" width="19.140625" customWidth="1"/>
    <col min="13" max="13" width="10.28515625" bestFit="1" customWidth="1"/>
    <col min="14" max="14" width="11.7109375" bestFit="1" customWidth="1"/>
    <col min="15" max="15" width="16.140625" customWidth="1"/>
    <col min="16" max="16" width="16.28515625" bestFit="1" customWidth="1"/>
    <col min="17" max="17" width="16.5703125" customWidth="1"/>
    <col min="18" max="18" width="11.7109375" bestFit="1" customWidth="1"/>
  </cols>
  <sheetData>
    <row r="1" spans="1:18" ht="75" x14ac:dyDescent="0.25">
      <c r="C1" s="1" t="s">
        <v>188</v>
      </c>
      <c r="D1" s="1" t="s">
        <v>189</v>
      </c>
      <c r="F1" s="1" t="s">
        <v>0</v>
      </c>
      <c r="G1" s="1" t="s">
        <v>1</v>
      </c>
      <c r="H1" s="1" t="s">
        <v>118</v>
      </c>
      <c r="M1" s="1" t="s">
        <v>2</v>
      </c>
      <c r="N1" s="1" t="s">
        <v>3</v>
      </c>
      <c r="O1" t="s">
        <v>4</v>
      </c>
      <c r="P1" s="1" t="s">
        <v>5</v>
      </c>
      <c r="Q1" s="1" t="s">
        <v>6</v>
      </c>
      <c r="R1" s="1" t="s">
        <v>7</v>
      </c>
    </row>
    <row r="2" spans="1:18" x14ac:dyDescent="0.25">
      <c r="A2" s="2" t="s">
        <v>8</v>
      </c>
      <c r="B2" s="3">
        <v>4601</v>
      </c>
      <c r="C2" s="4">
        <f t="shared" ref="C2:C11" si="0">B2/SUM($B$2:$B$11)</f>
        <v>3.7854591636085161E-4</v>
      </c>
      <c r="D2" s="4">
        <f>B2/SUM($B$2:$B$6)</f>
        <v>3.8099197026921169E-3</v>
      </c>
      <c r="F2" s="5">
        <f>C22</f>
        <v>0.35375999999999996</v>
      </c>
      <c r="G2" s="6">
        <f>C32</f>
        <v>236517</v>
      </c>
      <c r="H2" s="7">
        <f>G2*'GDP deflator'!$A$40</f>
        <v>294374.47848657891</v>
      </c>
      <c r="L2" t="s">
        <v>9</v>
      </c>
      <c r="M2" s="3">
        <v>4857</v>
      </c>
      <c r="N2" s="3">
        <f>(M2*$D$2*$F$2)+(M2*$D$3*$F$3)+(M2*$D$4*$F$4)+(M2*$D$5*$F$5)+(M2*$D$6*$F$6)</f>
        <v>181.32903537213582</v>
      </c>
      <c r="O2" s="7">
        <f>N2*$O$9</f>
        <v>2339144556.3005519</v>
      </c>
      <c r="P2" s="7">
        <f>(M2*$D$2*$G$2)+(M2*$D$3*$G$3)+(M2*$D$4*$G$4)+(M2*$D$5*$G$5)+(M2*$D$6*$G$6)</f>
        <v>426126546.50639433</v>
      </c>
      <c r="Q2" s="7">
        <f>O2+P2</f>
        <v>2765271102.8069463</v>
      </c>
      <c r="R2" s="8">
        <f>Q2/1000000000</f>
        <v>2.7652711028069463</v>
      </c>
    </row>
    <row r="3" spans="1:18" x14ac:dyDescent="0.25">
      <c r="A3" s="2" t="s">
        <v>10</v>
      </c>
      <c r="B3" s="3">
        <v>81922</v>
      </c>
      <c r="C3" s="4">
        <f t="shared" si="0"/>
        <v>6.7401083590770882E-3</v>
      </c>
      <c r="D3" s="4">
        <f t="shared" ref="D3:D5" si="1">B3/SUM($B$2:$B$6)</f>
        <v>6.7836609842195958E-2</v>
      </c>
      <c r="F3" s="5">
        <f>C22</f>
        <v>0.35375999999999996</v>
      </c>
      <c r="G3" s="6">
        <f>AVERAGE(C32:C35)</f>
        <v>417832</v>
      </c>
      <c r="H3" s="7">
        <f>G3*'GDP deflator'!$A$40</f>
        <v>520043.28270274121</v>
      </c>
      <c r="L3" t="s">
        <v>11</v>
      </c>
      <c r="M3" s="3">
        <v>9842</v>
      </c>
      <c r="N3" s="3">
        <f t="shared" ref="N3:N6" si="2">(M3*$D$2*$F$2)+(M3*$D$3*$F$3)+(M3*$D$4*$F$4)+(M3*$D$5*$F$5)+(M3*$D$6*$F$6)</f>
        <v>367.43676469684186</v>
      </c>
      <c r="O3" s="7">
        <f t="shared" ref="O3:O7" si="3">N3*$O$9</f>
        <v>4739934264.5892601</v>
      </c>
      <c r="P3" s="7">
        <f t="shared" ref="P3:P7" si="4">(M3*$D$2*$G$2)+(M3*$D$3*$G$3)+(M3*$D$4*$G$4)+(M3*$D$5*$G$5)+(M3*$D$6*$G$6)</f>
        <v>863483111.12125444</v>
      </c>
      <c r="Q3" s="7">
        <f t="shared" ref="Q3:Q7" si="5">O3+P3</f>
        <v>5603417375.7105141</v>
      </c>
      <c r="R3" s="8">
        <f t="shared" ref="R3:R7" si="6">Q3/1000000000</f>
        <v>5.6034173757105137</v>
      </c>
    </row>
    <row r="4" spans="1:18" x14ac:dyDescent="0.25">
      <c r="A4" s="2" t="s">
        <v>12</v>
      </c>
      <c r="B4" s="3">
        <v>113992</v>
      </c>
      <c r="C4" s="4">
        <f t="shared" si="0"/>
        <v>9.3786581390580739E-3</v>
      </c>
      <c r="D4" s="4">
        <f t="shared" si="1"/>
        <v>9.4392603075261858E-2</v>
      </c>
      <c r="F4" s="5">
        <f>C23</f>
        <v>4.1140000000000003E-2</v>
      </c>
      <c r="G4" s="6">
        <f>AVERAGE(C35:C37)</f>
        <v>225211.66666666666</v>
      </c>
      <c r="H4" s="7">
        <f>G4*'GDP deflator'!$A$40</f>
        <v>280303.60153432202</v>
      </c>
      <c r="L4" t="s">
        <v>13</v>
      </c>
      <c r="M4" s="3">
        <v>15608</v>
      </c>
      <c r="N4" s="3">
        <f t="shared" si="2"/>
        <v>582.70199384152693</v>
      </c>
      <c r="O4" s="7">
        <f t="shared" si="3"/>
        <v>7516855720.5556974</v>
      </c>
      <c r="P4" s="7">
        <f t="shared" si="4"/>
        <v>1369360333.1010506</v>
      </c>
      <c r="Q4" s="7">
        <f t="shared" si="5"/>
        <v>8886216053.6567478</v>
      </c>
      <c r="R4" s="8">
        <f t="shared" si="6"/>
        <v>8.8862160536567476</v>
      </c>
    </row>
    <row r="5" spans="1:18" x14ac:dyDescent="0.25">
      <c r="A5" s="2" t="s">
        <v>14</v>
      </c>
      <c r="B5" s="3">
        <v>144093</v>
      </c>
      <c r="C5" s="4">
        <f t="shared" si="0"/>
        <v>1.1855209025469287E-2</v>
      </c>
      <c r="D5" s="4">
        <f t="shared" si="1"/>
        <v>0.11931813947403069</v>
      </c>
      <c r="F5" s="5">
        <f>C24</f>
        <v>1.9350000000000003E-2</v>
      </c>
      <c r="G5" s="6">
        <f>AVERAGE(C37:C38)</f>
        <v>87403.5</v>
      </c>
      <c r="H5" s="7">
        <f>G5*'GDP deflator'!$A$40</f>
        <v>108784.3991357987</v>
      </c>
      <c r="L5" t="s">
        <v>15</v>
      </c>
      <c r="M5" s="3">
        <v>21996</v>
      </c>
      <c r="N5" s="3">
        <f t="shared" si="2"/>
        <v>821.18868891198269</v>
      </c>
      <c r="O5" s="7">
        <f t="shared" si="3"/>
        <v>10593334086.964577</v>
      </c>
      <c r="P5" s="7">
        <f t="shared" si="4"/>
        <v>1929808424.3266726</v>
      </c>
      <c r="Q5" s="7">
        <f t="shared" si="5"/>
        <v>12523142511.291248</v>
      </c>
      <c r="R5" s="8">
        <f t="shared" si="6"/>
        <v>12.523142511291248</v>
      </c>
    </row>
    <row r="6" spans="1:18" x14ac:dyDescent="0.25">
      <c r="A6" s="2" t="s">
        <v>16</v>
      </c>
      <c r="B6" s="3">
        <v>863029</v>
      </c>
      <c r="C6" s="4">
        <f t="shared" si="0"/>
        <v>7.1005456129317412E-2</v>
      </c>
      <c r="D6" s="4">
        <f>B6/SUM($B$2:$B$6)</f>
        <v>0.7146427279058194</v>
      </c>
      <c r="F6" s="5">
        <f>C25</f>
        <v>8.1099999999999992E-3</v>
      </c>
      <c r="G6" s="6">
        <f>AVERAGE(C38:C39)</f>
        <v>37504</v>
      </c>
      <c r="H6" s="7">
        <f>G6*'GDP deflator'!$A$40</f>
        <v>46678.337883368447</v>
      </c>
      <c r="L6" t="s">
        <v>17</v>
      </c>
      <c r="M6" s="3">
        <v>28702</v>
      </c>
      <c r="N6" s="3">
        <f t="shared" si="2"/>
        <v>1071.5474517708549</v>
      </c>
      <c r="O6" s="7">
        <f t="shared" si="3"/>
        <v>13822962127.844028</v>
      </c>
      <c r="P6" s="7">
        <f t="shared" si="4"/>
        <v>2518156091.7905145</v>
      </c>
      <c r="Q6" s="7">
        <f t="shared" si="5"/>
        <v>16341118219.634542</v>
      </c>
      <c r="R6" s="8">
        <f t="shared" si="6"/>
        <v>16.341118219634541</v>
      </c>
    </row>
    <row r="7" spans="1:18" x14ac:dyDescent="0.25">
      <c r="A7" s="9" t="s">
        <v>18</v>
      </c>
      <c r="B7" s="3">
        <v>3305114</v>
      </c>
      <c r="C7" s="4">
        <f t="shared" si="0"/>
        <v>0.27192727837580516</v>
      </c>
      <c r="L7" t="s">
        <v>19</v>
      </c>
      <c r="M7" s="3">
        <v>35107</v>
      </c>
      <c r="N7" s="3">
        <f>(M7*$D$2*$F$2)+(M7*$D$3*$F$3)+(M7*$D$4*$F$4)+(M7*$D$5*$F$5)+(M7*$D$6*$F$6)</f>
        <v>1310.6688171318865</v>
      </c>
      <c r="O7" s="7">
        <f t="shared" si="3"/>
        <v>16907627741.001335</v>
      </c>
      <c r="P7" s="7">
        <f t="shared" si="4"/>
        <v>3080095669.7961674</v>
      </c>
      <c r="Q7" s="7">
        <f t="shared" si="5"/>
        <v>19987723410.797501</v>
      </c>
      <c r="R7" s="8">
        <f t="shared" si="6"/>
        <v>19.9877234107975</v>
      </c>
    </row>
    <row r="8" spans="1:18" x14ac:dyDescent="0.25">
      <c r="A8" s="9" t="s">
        <v>20</v>
      </c>
      <c r="B8" s="3">
        <v>4148990</v>
      </c>
      <c r="C8" s="4">
        <f t="shared" si="0"/>
        <v>0.34135692708585302</v>
      </c>
      <c r="O8" s="7"/>
      <c r="P8" s="7"/>
    </row>
    <row r="9" spans="1:18" x14ac:dyDescent="0.25">
      <c r="A9" s="9" t="s">
        <v>21</v>
      </c>
      <c r="B9" s="3">
        <v>2674679</v>
      </c>
      <c r="C9" s="4">
        <f t="shared" si="0"/>
        <v>0.22005842491330715</v>
      </c>
      <c r="G9" s="6">
        <f>SUMPRODUCT(G2:G6,D2:D6)</f>
        <v>87734.516472389194</v>
      </c>
      <c r="H9" t="s">
        <v>22</v>
      </c>
      <c r="N9" s="4">
        <f>N2/M2</f>
        <v>3.7333546504454564E-2</v>
      </c>
      <c r="O9" s="7">
        <v>12900000</v>
      </c>
      <c r="P9" s="7"/>
    </row>
    <row r="10" spans="1:18" x14ac:dyDescent="0.25">
      <c r="A10" s="9" t="s">
        <v>23</v>
      </c>
      <c r="B10" s="3">
        <v>760758</v>
      </c>
      <c r="C10" s="4">
        <f t="shared" si="0"/>
        <v>6.2591139804140133E-2</v>
      </c>
      <c r="G10" s="6">
        <v>80670</v>
      </c>
      <c r="H10" t="s">
        <v>24</v>
      </c>
      <c r="N10" s="4">
        <f t="shared" ref="N10:N14" si="7">N3/M3</f>
        <v>3.7333546504454571E-2</v>
      </c>
      <c r="Q10" t="s">
        <v>25</v>
      </c>
    </row>
    <row r="11" spans="1:18" ht="16.5" customHeight="1" x14ac:dyDescent="0.25">
      <c r="A11" s="9" t="s">
        <v>26</v>
      </c>
      <c r="B11" s="3">
        <v>57226</v>
      </c>
      <c r="C11" s="4">
        <f t="shared" si="0"/>
        <v>4.7082522516118438E-3</v>
      </c>
      <c r="N11" s="4">
        <f t="shared" si="7"/>
        <v>3.7333546504454571E-2</v>
      </c>
      <c r="Q11" s="10" t="s">
        <v>27</v>
      </c>
      <c r="R11" s="11"/>
    </row>
    <row r="12" spans="1:18" x14ac:dyDescent="0.25">
      <c r="A12" s="12" t="s">
        <v>28</v>
      </c>
      <c r="B12" s="13">
        <f>SUM(B2:B6)</f>
        <v>1207637</v>
      </c>
      <c r="C12" s="14">
        <f>B12/SUM($B$2:$B$11,B13)</f>
        <v>9.9357977569282704E-2</v>
      </c>
      <c r="G12" s="51"/>
      <c r="N12" s="4">
        <f t="shared" si="7"/>
        <v>3.7333546504454571E-2</v>
      </c>
      <c r="Q12" s="10"/>
    </row>
    <row r="13" spans="1:18" x14ac:dyDescent="0.25">
      <c r="B13" s="13"/>
      <c r="N13" s="4">
        <f t="shared" si="7"/>
        <v>3.7333546504454564E-2</v>
      </c>
    </row>
    <row r="14" spans="1:18" x14ac:dyDescent="0.25">
      <c r="B14" t="s">
        <v>29</v>
      </c>
      <c r="N14" s="4">
        <f t="shared" si="7"/>
        <v>3.7333546504454571E-2</v>
      </c>
      <c r="Q14" t="s">
        <v>30</v>
      </c>
    </row>
    <row r="15" spans="1:18" x14ac:dyDescent="0.25">
      <c r="B15" t="s">
        <v>31</v>
      </c>
      <c r="O15" t="s">
        <v>32</v>
      </c>
      <c r="Q15" s="10" t="s">
        <v>33</v>
      </c>
    </row>
    <row r="16" spans="1:18" x14ac:dyDescent="0.25">
      <c r="O16" s="15" t="s">
        <v>34</v>
      </c>
    </row>
    <row r="17" spans="1:19" x14ac:dyDescent="0.25">
      <c r="A17" t="s">
        <v>35</v>
      </c>
      <c r="O17" s="15" t="s">
        <v>36</v>
      </c>
    </row>
    <row r="18" spans="1:19" x14ac:dyDescent="0.25">
      <c r="A18" t="s">
        <v>37</v>
      </c>
    </row>
    <row r="19" spans="1:19" ht="45" x14ac:dyDescent="0.25">
      <c r="A19" s="10" t="s">
        <v>38</v>
      </c>
      <c r="M19" s="1" t="s">
        <v>39</v>
      </c>
      <c r="N19" s="1" t="s">
        <v>3</v>
      </c>
      <c r="O19" t="s">
        <v>4</v>
      </c>
      <c r="P19" s="1" t="s">
        <v>5</v>
      </c>
      <c r="Q19" s="1" t="s">
        <v>6</v>
      </c>
      <c r="R19" s="1" t="s">
        <v>7</v>
      </c>
    </row>
    <row r="20" spans="1:19" x14ac:dyDescent="0.25">
      <c r="L20" t="s">
        <v>9</v>
      </c>
      <c r="M20" s="3">
        <f>N33</f>
        <v>1318</v>
      </c>
      <c r="N20" s="16">
        <f>(M20*$D$2*$F$2)+(M20*$D$3*$F$3)+(M20*$D$4*$F$4)+(M20*$D$5*$F$5)+(M20*$D$6*$F$6)</f>
        <v>49.205614292871111</v>
      </c>
      <c r="O20" s="7">
        <f>N20*$O$9</f>
        <v>634752424.37803733</v>
      </c>
      <c r="P20" s="7">
        <f>(M20*$D$2*$G$2)+(M20*$D$3*$G$3)+(M20*$D$4*$G$4)+(M20*$D$5*$G$5)+(M20*$D$6*$G$6)</f>
        <v>115634092.71060894</v>
      </c>
      <c r="Q20" s="7">
        <f>O20+P20</f>
        <v>750386517.08864629</v>
      </c>
      <c r="R20" s="8">
        <f>Q20/1000000000</f>
        <v>0.75038651708864634</v>
      </c>
    </row>
    <row r="21" spans="1:19" x14ac:dyDescent="0.25">
      <c r="A21" t="s">
        <v>40</v>
      </c>
      <c r="L21" t="s">
        <v>11</v>
      </c>
      <c r="M21" s="3">
        <f>O33</f>
        <v>3417</v>
      </c>
      <c r="N21" s="16">
        <f t="shared" ref="N21:N25" si="8">(M21*$D$2*$F$2)+(M21*$D$3*$F$3)+(M21*$D$4*$F$4)+(M21*$D$5*$F$5)+(M21*$D$6*$F$6)</f>
        <v>127.56872840572126</v>
      </c>
      <c r="O21" s="7">
        <f t="shared" ref="O21:O25" si="9">N21*$O$9</f>
        <v>1645636596.4338043</v>
      </c>
      <c r="P21" s="7">
        <f t="shared" ref="P21:P25" si="10">(M21*$D$2*$G$2)+(M21*$D$3*$G$3)+(M21*$D$4*$G$4)+(M21*$D$5*$G$5)+(M21*$D$6*$G$6)</f>
        <v>299788842.78615385</v>
      </c>
      <c r="Q21" s="7">
        <f t="shared" ref="Q21:Q25" si="11">O21+P21</f>
        <v>1945425439.2199581</v>
      </c>
      <c r="R21" s="8">
        <f t="shared" ref="R21:R25" si="12">Q21/1000000000</f>
        <v>1.9454254392199581</v>
      </c>
    </row>
    <row r="22" spans="1:19" ht="18.75" customHeight="1" x14ac:dyDescent="0.25">
      <c r="A22" t="s">
        <v>41</v>
      </c>
      <c r="B22">
        <v>353.76</v>
      </c>
      <c r="C22" s="4">
        <f>B22/1000</f>
        <v>0.35375999999999996</v>
      </c>
      <c r="L22" t="s">
        <v>13</v>
      </c>
      <c r="M22" s="3">
        <f>P33</f>
        <v>4625</v>
      </c>
      <c r="N22" s="16">
        <f t="shared" si="8"/>
        <v>172.66765258310235</v>
      </c>
      <c r="O22" s="7">
        <f t="shared" si="9"/>
        <v>2227412718.3220205</v>
      </c>
      <c r="P22" s="7">
        <f t="shared" si="10"/>
        <v>405772138.68480003</v>
      </c>
      <c r="Q22" s="7">
        <f t="shared" si="11"/>
        <v>2633184857.0068207</v>
      </c>
      <c r="R22" s="8">
        <f t="shared" si="12"/>
        <v>2.6331848570068206</v>
      </c>
    </row>
    <row r="23" spans="1:19" x14ac:dyDescent="0.25">
      <c r="A23" t="s">
        <v>12</v>
      </c>
      <c r="B23">
        <v>41.14</v>
      </c>
      <c r="C23" s="4">
        <f t="shared" ref="C23:C25" si="13">B23/1000</f>
        <v>4.1140000000000003E-2</v>
      </c>
      <c r="L23" t="s">
        <v>15</v>
      </c>
      <c r="M23" s="3">
        <f>Q33</f>
        <v>7339</v>
      </c>
      <c r="N23" s="16">
        <f t="shared" si="8"/>
        <v>273.99089779619209</v>
      </c>
      <c r="O23" s="7">
        <f t="shared" si="9"/>
        <v>3534482581.570878</v>
      </c>
      <c r="P23" s="7">
        <f t="shared" si="10"/>
        <v>643883616.39086437</v>
      </c>
      <c r="Q23" s="7">
        <f t="shared" si="11"/>
        <v>4178366197.9617424</v>
      </c>
      <c r="R23" s="8">
        <f t="shared" si="12"/>
        <v>4.1783661979617426</v>
      </c>
    </row>
    <row r="24" spans="1:19" ht="18.75" customHeight="1" x14ac:dyDescent="0.25">
      <c r="A24" t="s">
        <v>14</v>
      </c>
      <c r="B24">
        <v>19.350000000000001</v>
      </c>
      <c r="C24" s="4">
        <f t="shared" si="13"/>
        <v>1.9350000000000003E-2</v>
      </c>
      <c r="L24" t="s">
        <v>17</v>
      </c>
      <c r="M24" s="3">
        <f>R33</f>
        <v>10058</v>
      </c>
      <c r="N24" s="16">
        <f t="shared" si="8"/>
        <v>375.500810741804</v>
      </c>
      <c r="O24" s="7">
        <f t="shared" si="9"/>
        <v>4843960458.569272</v>
      </c>
      <c r="P24" s="7">
        <f t="shared" si="10"/>
        <v>882433766.67929053</v>
      </c>
      <c r="Q24" s="7">
        <f t="shared" si="11"/>
        <v>5726394225.2485628</v>
      </c>
      <c r="R24" s="8">
        <f t="shared" si="12"/>
        <v>5.7263942252485629</v>
      </c>
    </row>
    <row r="25" spans="1:19" x14ac:dyDescent="0.25">
      <c r="A25" t="s">
        <v>16</v>
      </c>
      <c r="B25">
        <v>8.11</v>
      </c>
      <c r="C25" s="4">
        <f t="shared" si="13"/>
        <v>8.1099999999999992E-3</v>
      </c>
      <c r="L25" t="s">
        <v>19</v>
      </c>
      <c r="M25" s="3">
        <f>S33</f>
        <v>14790</v>
      </c>
      <c r="N25" s="16">
        <f t="shared" si="8"/>
        <v>552.16315280088304</v>
      </c>
      <c r="O25" s="7">
        <f t="shared" si="9"/>
        <v>7122904671.1313915</v>
      </c>
      <c r="P25" s="7">
        <f t="shared" si="10"/>
        <v>1297593498.6266363</v>
      </c>
      <c r="Q25" s="7">
        <f t="shared" si="11"/>
        <v>8420498169.758028</v>
      </c>
      <c r="R25" s="8">
        <f t="shared" si="12"/>
        <v>8.4204981697580283</v>
      </c>
    </row>
    <row r="28" spans="1:19" x14ac:dyDescent="0.25">
      <c r="A28" t="s">
        <v>42</v>
      </c>
    </row>
    <row r="29" spans="1:19" x14ac:dyDescent="0.25">
      <c r="A29" s="10" t="s">
        <v>43</v>
      </c>
      <c r="N29" t="s">
        <v>9</v>
      </c>
      <c r="O29" t="s">
        <v>11</v>
      </c>
      <c r="P29" t="s">
        <v>13</v>
      </c>
      <c r="Q29" t="s">
        <v>15</v>
      </c>
      <c r="R29" t="s">
        <v>17</v>
      </c>
      <c r="S29" t="s">
        <v>19</v>
      </c>
    </row>
    <row r="30" spans="1:19" x14ac:dyDescent="0.25">
      <c r="A30" t="s">
        <v>44</v>
      </c>
      <c r="K30" t="s">
        <v>45</v>
      </c>
      <c r="N30" s="3">
        <v>359</v>
      </c>
      <c r="O30" s="3">
        <v>895</v>
      </c>
      <c r="P30" s="3">
        <v>1198</v>
      </c>
      <c r="Q30" s="3">
        <v>2075</v>
      </c>
      <c r="R30" s="3">
        <v>2920</v>
      </c>
      <c r="S30" s="3">
        <v>5894</v>
      </c>
    </row>
    <row r="31" spans="1:19" x14ac:dyDescent="0.25">
      <c r="B31" t="s">
        <v>46</v>
      </c>
      <c r="C31" t="s">
        <v>47</v>
      </c>
      <c r="K31" t="s">
        <v>48</v>
      </c>
      <c r="N31" s="3">
        <v>874</v>
      </c>
      <c r="O31" s="3">
        <v>2274</v>
      </c>
      <c r="P31" s="3">
        <v>3033</v>
      </c>
      <c r="Q31" s="3">
        <v>4758</v>
      </c>
      <c r="R31" s="3">
        <v>6560</v>
      </c>
      <c r="S31" s="3">
        <v>7959</v>
      </c>
    </row>
    <row r="32" spans="1:19" x14ac:dyDescent="0.25">
      <c r="A32" t="s">
        <v>49</v>
      </c>
      <c r="B32" s="6">
        <v>242887</v>
      </c>
      <c r="C32" s="6">
        <f>B32-$B$40</f>
        <v>236517</v>
      </c>
      <c r="K32" t="s">
        <v>50</v>
      </c>
      <c r="N32" s="3">
        <v>85</v>
      </c>
      <c r="O32" s="3">
        <v>248</v>
      </c>
      <c r="P32" s="3">
        <v>394</v>
      </c>
      <c r="Q32" s="3">
        <v>506</v>
      </c>
      <c r="R32" s="3">
        <v>578</v>
      </c>
      <c r="S32" s="3">
        <v>937</v>
      </c>
    </row>
    <row r="33" spans="1:19" ht="18" customHeight="1" x14ac:dyDescent="0.25">
      <c r="A33" t="s">
        <v>51</v>
      </c>
      <c r="B33" s="6">
        <v>603778</v>
      </c>
      <c r="C33" s="6">
        <f t="shared" ref="C33:C39" si="14">B33-$B$40</f>
        <v>597408</v>
      </c>
      <c r="K33" t="s">
        <v>52</v>
      </c>
      <c r="N33" s="3">
        <f t="shared" ref="N33:S33" si="15">SUM(N30:N32)</f>
        <v>1318</v>
      </c>
      <c r="O33" s="3">
        <f t="shared" si="15"/>
        <v>3417</v>
      </c>
      <c r="P33" s="3">
        <f t="shared" si="15"/>
        <v>4625</v>
      </c>
      <c r="Q33" s="3">
        <f t="shared" si="15"/>
        <v>7339</v>
      </c>
      <c r="R33" s="3">
        <f t="shared" si="15"/>
        <v>10058</v>
      </c>
      <c r="S33" s="3">
        <f t="shared" si="15"/>
        <v>14790</v>
      </c>
    </row>
    <row r="34" spans="1:19" x14ac:dyDescent="0.25">
      <c r="A34" t="s">
        <v>53</v>
      </c>
      <c r="B34" s="6">
        <v>493304</v>
      </c>
      <c r="C34" s="6">
        <f t="shared" si="14"/>
        <v>486934</v>
      </c>
    </row>
    <row r="35" spans="1:19" x14ac:dyDescent="0.25">
      <c r="A35" t="s">
        <v>54</v>
      </c>
      <c r="B35" s="6">
        <v>356839</v>
      </c>
      <c r="C35" s="6">
        <f t="shared" si="14"/>
        <v>350469</v>
      </c>
    </row>
    <row r="36" spans="1:19" x14ac:dyDescent="0.25">
      <c r="A36" t="s">
        <v>55</v>
      </c>
      <c r="B36" s="6">
        <v>213353</v>
      </c>
      <c r="C36" s="6">
        <f t="shared" si="14"/>
        <v>206983</v>
      </c>
    </row>
    <row r="37" spans="1:19" x14ac:dyDescent="0.25">
      <c r="A37" t="s">
        <v>56</v>
      </c>
      <c r="B37" s="6">
        <v>124553</v>
      </c>
      <c r="C37" s="6">
        <f t="shared" si="14"/>
        <v>118183</v>
      </c>
    </row>
    <row r="38" spans="1:19" x14ac:dyDescent="0.25">
      <c r="A38" t="s">
        <v>57</v>
      </c>
      <c r="B38" s="6">
        <v>62994</v>
      </c>
      <c r="C38" s="6">
        <f t="shared" si="14"/>
        <v>56624</v>
      </c>
    </row>
    <row r="39" spans="1:19" x14ac:dyDescent="0.25">
      <c r="A39" t="s">
        <v>58</v>
      </c>
      <c r="B39" s="6">
        <v>24754</v>
      </c>
      <c r="C39" s="6">
        <f t="shared" si="14"/>
        <v>18384</v>
      </c>
    </row>
    <row r="40" spans="1:19" x14ac:dyDescent="0.25">
      <c r="A40" t="s">
        <v>59</v>
      </c>
      <c r="B40" s="6">
        <v>6370</v>
      </c>
    </row>
    <row r="41" spans="1:19" x14ac:dyDescent="0.25">
      <c r="B41" s="54" t="s">
        <v>60</v>
      </c>
      <c r="C41" s="54"/>
    </row>
  </sheetData>
  <mergeCells count="1">
    <mergeCell ref="B41:C41"/>
  </mergeCells>
  <hyperlinks>
    <hyperlink ref="A19" r:id="rId1" xr:uid="{DAC6B698-11C4-4937-9A26-9952D784DE99}"/>
    <hyperlink ref="Q15" r:id="rId2" xr:uid="{2693D723-4F3D-47BE-AE13-C1188659D6C8}"/>
    <hyperlink ref="A29" r:id="rId3" xr:uid="{6943A6F8-5DD3-4AEE-AF75-6984AB9C2604}"/>
  </hyperlinks>
  <pageMargins left="0.7" right="0.7" top="0.75" bottom="0.75" header="0.3" footer="0.3"/>
  <pageSetup orientation="portrait" r:id="rId4"/>
  <legacyDrawing r:id="rId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A600EC52E06034B87FEDA9721CD1864" ma:contentTypeVersion="12" ma:contentTypeDescription="Create a new document." ma:contentTypeScope="" ma:versionID="1c7c4c02d96a5b4570dc833b1c8c9972">
  <xsd:schema xmlns:xsd="http://www.w3.org/2001/XMLSchema" xmlns:xs="http://www.w3.org/2001/XMLSchema" xmlns:p="http://schemas.microsoft.com/office/2006/metadata/properties" xmlns:ns2="8a1c4297-2ac6-4255-bcee-2510ab9f8264" xmlns:ns3="2dab77f8-a4aa-47c2-ba33-b0994e41172d" targetNamespace="http://schemas.microsoft.com/office/2006/metadata/properties" ma:root="true" ma:fieldsID="1bc9fd79be406c0d9a40554152cb44af" ns2:_="" ns3:_="">
    <xsd:import namespace="8a1c4297-2ac6-4255-bcee-2510ab9f8264"/>
    <xsd:import namespace="2dab77f8-a4aa-47c2-ba33-b0994e41172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1c4297-2ac6-4255-bcee-2510ab9f826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e7135776-31ef-4c3e-b0ce-46fd5af6471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ab77f8-a4aa-47c2-ba33-b0994e41172d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cc17531-3817-45c2-9d25-4064dbe571ec}" ma:internalName="TaxCatchAll" ma:showField="CatchAllData" ma:web="2dab77f8-a4aa-47c2-ba33-b0994e41172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dab77f8-a4aa-47c2-ba33-b0994e41172d" xsi:nil="true"/>
    <lcf76f155ced4ddcb4097134ff3c332f xmlns="8a1c4297-2ac6-4255-bcee-2510ab9f826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AD2E5D2-9037-4FF7-B8C0-A00548D797F8}"/>
</file>

<file path=customXml/itemProps2.xml><?xml version="1.0" encoding="utf-8"?>
<ds:datastoreItem xmlns:ds="http://schemas.openxmlformats.org/officeDocument/2006/customXml" ds:itemID="{79A60E79-A6F1-4162-A0F5-73B5A36D1C9C}"/>
</file>

<file path=customXml/itemProps3.xml><?xml version="1.0" encoding="utf-8"?>
<ds:datastoreItem xmlns:ds="http://schemas.openxmlformats.org/officeDocument/2006/customXml" ds:itemID="{29B241EE-9BA4-450C-A7CE-9ED46CCE05D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morbidity_import</vt:lpstr>
      <vt:lpstr>VSL_import</vt:lpstr>
      <vt:lpstr>GDP deflator</vt:lpstr>
      <vt:lpstr>PE-E</vt:lpstr>
      <vt:lpstr>SB</vt:lpstr>
      <vt:lpstr>LBW</vt:lpstr>
      <vt:lpstr>GD</vt:lpstr>
      <vt:lpstr>PTB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 Jeweler</dc:creator>
  <cp:lastModifiedBy>Ben Jeweler</cp:lastModifiedBy>
  <dcterms:created xsi:type="dcterms:W3CDTF">2015-06-05T18:17:20Z</dcterms:created>
  <dcterms:modified xsi:type="dcterms:W3CDTF">2025-06-02T15:39:17Z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0x0101006A600EC52E06034B87FEDA9721CD1864</vt:lpwstr>
  </property>
</Properties>
</file>