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kamel_alaa_epa_gov/Documents/TO 14/Paper/LAGDA paper/Submission to JAP/"/>
    </mc:Choice>
  </mc:AlternateContent>
  <xr:revisionPtr revIDLastSave="0" documentId="8_{2C44604B-F0BF-4506-A71F-F9A93CFE889D}" xr6:coauthVersionLast="47" xr6:coauthVersionMax="47" xr10:uidLastSave="{00000000-0000-0000-0000-000000000000}"/>
  <bookViews>
    <workbookView xWindow="57480" yWindow="1620" windowWidth="29040" windowHeight="15720" xr2:uid="{010F8D7A-6778-49B2-AC1A-4D0921DF5988}"/>
  </bookViews>
  <sheets>
    <sheet name="2-EHHB" sheetId="1" r:id="rId1"/>
    <sheet name="Triclosan" sheetId="3" r:id="rId2"/>
    <sheet name="4-NP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E47" i="3" s="1"/>
  <c r="D46" i="3"/>
  <c r="D47" i="3" s="1"/>
  <c r="H45" i="3"/>
  <c r="E45" i="3"/>
  <c r="D45" i="3"/>
  <c r="C45" i="3"/>
  <c r="C46" i="3" s="1"/>
  <c r="H44" i="3"/>
  <c r="E44" i="3"/>
  <c r="E48" i="3" s="1"/>
  <c r="D44" i="3"/>
  <c r="D48" i="3" s="1"/>
  <c r="C44" i="3"/>
  <c r="S40" i="3"/>
  <c r="C40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E39" i="3"/>
  <c r="D39" i="3"/>
  <c r="C39" i="3"/>
  <c r="T38" i="3"/>
  <c r="AE37" i="3"/>
  <c r="AE39" i="3" s="1"/>
  <c r="AD37" i="3"/>
  <c r="AC37" i="3"/>
  <c r="AC38" i="3" s="1"/>
  <c r="AB37" i="3"/>
  <c r="AB38" i="3" s="1"/>
  <c r="AE36" i="3"/>
  <c r="AE38" i="3" s="1"/>
  <c r="AD36" i="3"/>
  <c r="AD38" i="3" s="1"/>
  <c r="AC36" i="3"/>
  <c r="AB36" i="3"/>
  <c r="AA36" i="3"/>
  <c r="AA37" i="3" s="1"/>
  <c r="AA38" i="3" s="1"/>
  <c r="T36" i="3"/>
  <c r="AE35" i="3"/>
  <c r="AD35" i="3"/>
  <c r="AD39" i="3" s="1"/>
  <c r="AC35" i="3"/>
  <c r="AB35" i="3"/>
  <c r="AB39" i="3" s="1"/>
  <c r="AA35" i="3"/>
  <c r="AA39" i="3" s="1"/>
  <c r="T35" i="3"/>
  <c r="T34" i="3"/>
  <c r="S34" i="3"/>
  <c r="C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T32" i="3"/>
  <c r="AH31" i="3"/>
  <c r="F37" i="3" s="1"/>
  <c r="T31" i="3"/>
  <c r="AH30" i="3"/>
  <c r="T30" i="3"/>
  <c r="T29" i="3"/>
  <c r="T33" i="3" s="1"/>
  <c r="S28" i="3"/>
  <c r="C28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T26" i="3"/>
  <c r="T25" i="3"/>
  <c r="T24" i="3"/>
  <c r="T23" i="3"/>
  <c r="T27" i="3" s="1"/>
  <c r="S22" i="3"/>
  <c r="C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T20" i="3"/>
  <c r="T19" i="3"/>
  <c r="T18" i="3"/>
  <c r="T21" i="3" s="1"/>
  <c r="T17" i="3"/>
  <c r="S16" i="3"/>
  <c r="C16" i="3"/>
  <c r="AC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C14" i="3"/>
  <c r="T14" i="3"/>
  <c r="AC13" i="3"/>
  <c r="T13" i="3"/>
  <c r="AR12" i="3"/>
  <c r="AC12" i="3"/>
  <c r="T12" i="3"/>
  <c r="AR11" i="3"/>
  <c r="AC11" i="3"/>
  <c r="T11" i="3"/>
  <c r="AR10" i="3"/>
  <c r="AC10" i="3"/>
  <c r="T10" i="3"/>
  <c r="AR9" i="3"/>
  <c r="AC9" i="3"/>
  <c r="T9" i="3"/>
  <c r="AC8" i="3"/>
  <c r="T8" i="3"/>
  <c r="T16" i="3" s="1"/>
  <c r="U7" i="3"/>
  <c r="W11" i="3" s="1"/>
  <c r="T7" i="3"/>
  <c r="F45" i="3" l="1"/>
  <c r="T37" i="3"/>
  <c r="T39" i="3" s="1"/>
  <c r="F44" i="3"/>
  <c r="F39" i="3"/>
  <c r="C48" i="3"/>
  <c r="C47" i="3"/>
  <c r="T28" i="3"/>
  <c r="AC39" i="3"/>
  <c r="T15" i="3"/>
  <c r="U29" i="3"/>
  <c r="H46" i="3"/>
  <c r="H47" i="3" s="1"/>
  <c r="X7" i="3"/>
  <c r="T22" i="3"/>
  <c r="U17" i="3"/>
  <c r="U18" i="3" s="1"/>
  <c r="U19" i="3" s="1"/>
  <c r="V7" i="3"/>
  <c r="W9" i="3"/>
  <c r="U23" i="3"/>
  <c r="V23" i="3"/>
  <c r="V35" i="3" l="1"/>
  <c r="T40" i="3"/>
  <c r="W24" i="3"/>
  <c r="X23" i="3"/>
  <c r="W25" i="3"/>
  <c r="F46" i="3"/>
  <c r="F47" i="3"/>
  <c r="X17" i="3"/>
  <c r="W19" i="3"/>
  <c r="W18" i="3"/>
  <c r="V17" i="3"/>
  <c r="U35" i="3"/>
  <c r="W30" i="3"/>
  <c r="X29" i="3"/>
  <c r="W31" i="3"/>
  <c r="H48" i="3"/>
  <c r="V29" i="3"/>
  <c r="U20" i="3"/>
  <c r="U24" i="3" s="1"/>
  <c r="F48" i="3"/>
  <c r="W36" i="3" l="1"/>
  <c r="X35" i="3"/>
  <c r="W37" i="3"/>
  <c r="U25" i="3"/>
  <c r="U26" i="3" s="1"/>
  <c r="U30" i="3" s="1"/>
  <c r="U31" i="3" l="1"/>
  <c r="U32" i="3" s="1"/>
  <c r="U36" i="3" s="1"/>
  <c r="U37" i="3" l="1"/>
  <c r="U38" i="3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C40" i="2"/>
  <c r="R39" i="2"/>
  <c r="Q39" i="2"/>
  <c r="P39" i="2"/>
  <c r="O39" i="2"/>
  <c r="N39" i="2"/>
  <c r="M39" i="2"/>
  <c r="L39" i="2"/>
  <c r="K39" i="2"/>
  <c r="H39" i="2"/>
  <c r="G39" i="2"/>
  <c r="F39" i="2"/>
  <c r="E39" i="2"/>
  <c r="D39" i="2"/>
  <c r="C39" i="2"/>
  <c r="AE36" i="2"/>
  <c r="AE37" i="2" s="1"/>
  <c r="AE38" i="2" s="1"/>
  <c r="AD36" i="2"/>
  <c r="AD37" i="2" s="1"/>
  <c r="AD38" i="2" s="1"/>
  <c r="AC36" i="2"/>
  <c r="AC37" i="2" s="1"/>
  <c r="AC38" i="2" s="1"/>
  <c r="AB36" i="2"/>
  <c r="AB37" i="2" s="1"/>
  <c r="AA36" i="2"/>
  <c r="AA37" i="2" s="1"/>
  <c r="I36" i="2"/>
  <c r="I39" i="2" s="1"/>
  <c r="AE35" i="2"/>
  <c r="AE39" i="2" s="1"/>
  <c r="AD35" i="2"/>
  <c r="AD39" i="2" s="1"/>
  <c r="AC35" i="2"/>
  <c r="AC39" i="2" s="1"/>
  <c r="AB35" i="2"/>
  <c r="AA35" i="2"/>
  <c r="S35" i="2"/>
  <c r="H35" i="2"/>
  <c r="R33" i="2"/>
  <c r="Q33" i="2"/>
  <c r="P33" i="2"/>
  <c r="O33" i="2"/>
  <c r="N33" i="2"/>
  <c r="M33" i="2"/>
  <c r="L33" i="2"/>
  <c r="K33" i="2"/>
  <c r="J33" i="2"/>
  <c r="I33" i="2"/>
  <c r="G33" i="2"/>
  <c r="F33" i="2"/>
  <c r="E33" i="2"/>
  <c r="D33" i="2"/>
  <c r="BG31" i="2"/>
  <c r="S38" i="2" s="1"/>
  <c r="T38" i="2" s="1"/>
  <c r="AM31" i="2"/>
  <c r="S31" i="2"/>
  <c r="T31" i="2" s="1"/>
  <c r="BG30" i="2"/>
  <c r="S37" i="2" s="1"/>
  <c r="S30" i="2"/>
  <c r="T30" i="2" s="1"/>
  <c r="BG29" i="2"/>
  <c r="S36" i="2" s="1"/>
  <c r="F81" i="2" s="1"/>
  <c r="BG28" i="2"/>
  <c r="C28" i="2"/>
  <c r="BG27" i="2"/>
  <c r="S32" i="2" s="1"/>
  <c r="AM27" i="2"/>
  <c r="AC27" i="2"/>
  <c r="C32" i="2" s="1"/>
  <c r="R27" i="2"/>
  <c r="Q27" i="2"/>
  <c r="P27" i="2"/>
  <c r="O27" i="2"/>
  <c r="N27" i="2"/>
  <c r="M27" i="2"/>
  <c r="L27" i="2"/>
  <c r="K27" i="2"/>
  <c r="J27" i="2"/>
  <c r="I27" i="2"/>
  <c r="G27" i="2"/>
  <c r="F27" i="2"/>
  <c r="E27" i="2"/>
  <c r="D27" i="2"/>
  <c r="C27" i="2"/>
  <c r="BG26" i="2"/>
  <c r="BG25" i="2"/>
  <c r="S25" i="2"/>
  <c r="T25" i="2" s="1"/>
  <c r="BG24" i="2"/>
  <c r="S29" i="2" s="1"/>
  <c r="S24" i="2"/>
  <c r="T24" i="2" s="1"/>
  <c r="BG23" i="2"/>
  <c r="S26" i="2" s="1"/>
  <c r="T26" i="2" s="1"/>
  <c r="S23" i="2"/>
  <c r="BG22" i="2"/>
  <c r="AM22" i="2"/>
  <c r="C22" i="2"/>
  <c r="BG21" i="2"/>
  <c r="AM21" i="2"/>
  <c r="H29" i="2" s="1"/>
  <c r="R21" i="2"/>
  <c r="Q21" i="2"/>
  <c r="P21" i="2"/>
  <c r="O21" i="2"/>
  <c r="N21" i="2"/>
  <c r="M21" i="2"/>
  <c r="L21" i="2"/>
  <c r="K21" i="2"/>
  <c r="I21" i="2"/>
  <c r="H21" i="2"/>
  <c r="G21" i="2"/>
  <c r="F21" i="2"/>
  <c r="E21" i="2"/>
  <c r="D21" i="2"/>
  <c r="C21" i="2"/>
  <c r="BG20" i="2"/>
  <c r="AM20" i="2"/>
  <c r="H23" i="2" s="1"/>
  <c r="S20" i="2"/>
  <c r="T20" i="2" s="1"/>
  <c r="BG19" i="2"/>
  <c r="AM19" i="2"/>
  <c r="BG18" i="2"/>
  <c r="S19" i="2" s="1"/>
  <c r="BG17" i="2"/>
  <c r="S18" i="2" s="1"/>
  <c r="T18" i="2" s="1"/>
  <c r="H17" i="2"/>
  <c r="BG16" i="2"/>
  <c r="S17" i="2" s="1"/>
  <c r="S16" i="2"/>
  <c r="AC15" i="2"/>
  <c r="C14" i="2" s="1"/>
  <c r="T14" i="2" s="1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AC14" i="2"/>
  <c r="AC13" i="2"/>
  <c r="C13" i="2"/>
  <c r="T13" i="2" s="1"/>
  <c r="AR12" i="2"/>
  <c r="J37" i="2" s="1"/>
  <c r="AC12" i="2"/>
  <c r="I12" i="2"/>
  <c r="C12" i="2"/>
  <c r="T12" i="2" s="1"/>
  <c r="AC11" i="2"/>
  <c r="C11" i="2"/>
  <c r="T11" i="2" s="1"/>
  <c r="AC10" i="2"/>
  <c r="C10" i="2"/>
  <c r="T10" i="2" s="1"/>
  <c r="AR9" i="2"/>
  <c r="J19" i="2" s="1"/>
  <c r="AC9" i="2"/>
  <c r="C8" i="2" s="1"/>
  <c r="T8" i="2" s="1"/>
  <c r="C9" i="2"/>
  <c r="T9" i="2" s="1"/>
  <c r="AC8" i="2"/>
  <c r="C7" i="2" s="1"/>
  <c r="C80" i="2" l="1"/>
  <c r="J21" i="2"/>
  <c r="T19" i="2"/>
  <c r="C15" i="2"/>
  <c r="T7" i="2"/>
  <c r="C16" i="2"/>
  <c r="T16" i="2" s="1"/>
  <c r="D81" i="2"/>
  <c r="D80" i="2"/>
  <c r="T23" i="2"/>
  <c r="H27" i="2"/>
  <c r="S34" i="2"/>
  <c r="S33" i="2"/>
  <c r="C81" i="2"/>
  <c r="T37" i="2"/>
  <c r="J39" i="2"/>
  <c r="C34" i="2"/>
  <c r="T34" i="2" s="1"/>
  <c r="C33" i="2"/>
  <c r="T32" i="2"/>
  <c r="F80" i="2"/>
  <c r="F82" i="2" s="1"/>
  <c r="F83" i="2" s="1"/>
  <c r="AA38" i="2"/>
  <c r="AA39" i="2"/>
  <c r="S22" i="2"/>
  <c r="T22" i="2" s="1"/>
  <c r="T17" i="2"/>
  <c r="S21" i="2"/>
  <c r="H33" i="2"/>
  <c r="E81" i="2"/>
  <c r="T29" i="2"/>
  <c r="E80" i="2"/>
  <c r="S28" i="2"/>
  <c r="T28" i="2" s="1"/>
  <c r="S39" i="2"/>
  <c r="AB39" i="2"/>
  <c r="AB38" i="2"/>
  <c r="S27" i="2"/>
  <c r="S40" i="2"/>
  <c r="T40" i="2" s="1"/>
  <c r="T35" i="2"/>
  <c r="T36" i="2"/>
  <c r="U23" i="2" l="1"/>
  <c r="V23" i="2"/>
  <c r="T27" i="2"/>
  <c r="X23" i="2" s="1"/>
  <c r="V29" i="2"/>
  <c r="T33" i="2"/>
  <c r="U29" i="2"/>
  <c r="U7" i="2"/>
  <c r="T15" i="2"/>
  <c r="E84" i="2"/>
  <c r="U17" i="2"/>
  <c r="T21" i="2"/>
  <c r="X17" i="2" s="1"/>
  <c r="D82" i="2"/>
  <c r="D84" i="2" s="1"/>
  <c r="C82" i="2"/>
  <c r="C84" i="2" s="1"/>
  <c r="C83" i="2"/>
  <c r="E82" i="2"/>
  <c r="E83" i="2" s="1"/>
  <c r="F84" i="2"/>
  <c r="V35" i="2"/>
  <c r="U35" i="2"/>
  <c r="T39" i="2"/>
  <c r="W30" i="2" l="1"/>
  <c r="W31" i="2"/>
  <c r="X29" i="2"/>
  <c r="W24" i="2"/>
  <c r="W25" i="2"/>
  <c r="X35" i="2"/>
  <c r="W37" i="2"/>
  <c r="W36" i="2"/>
  <c r="D83" i="2"/>
  <c r="W19" i="2"/>
  <c r="W18" i="2"/>
  <c r="V17" i="2"/>
  <c r="U18" i="2"/>
  <c r="U19" i="2"/>
  <c r="U20" i="2" s="1"/>
  <c r="U24" i="2" s="1"/>
  <c r="U25" i="2" l="1"/>
  <c r="U26" i="2" s="1"/>
  <c r="U30" i="2" s="1"/>
  <c r="U31" i="2" l="1"/>
  <c r="U32" i="2" s="1"/>
  <c r="U36" i="2" s="1"/>
  <c r="U38" i="2" l="1"/>
  <c r="U37" i="2"/>
  <c r="D45" i="1" l="1"/>
  <c r="D44" i="1"/>
  <c r="S40" i="1"/>
  <c r="S39" i="1"/>
  <c r="R39" i="1"/>
  <c r="Q39" i="1"/>
  <c r="P39" i="1"/>
  <c r="N39" i="1"/>
  <c r="L39" i="1"/>
  <c r="K39" i="1"/>
  <c r="J39" i="1"/>
  <c r="I39" i="1"/>
  <c r="G39" i="1"/>
  <c r="F39" i="1"/>
  <c r="E39" i="1"/>
  <c r="D39" i="1"/>
  <c r="O38" i="1"/>
  <c r="O39" i="1" s="1"/>
  <c r="AE36" i="1"/>
  <c r="AD36" i="1"/>
  <c r="AC36" i="1"/>
  <c r="AB36" i="1"/>
  <c r="AA36" i="1"/>
  <c r="AE35" i="1"/>
  <c r="AD35" i="1"/>
  <c r="AC35" i="1"/>
  <c r="AB35" i="1"/>
  <c r="AA35" i="1"/>
  <c r="S34" i="1"/>
  <c r="S33" i="1"/>
  <c r="R33" i="1"/>
  <c r="Q33" i="1"/>
  <c r="O33" i="1"/>
  <c r="N33" i="1"/>
  <c r="M33" i="1"/>
  <c r="L33" i="1"/>
  <c r="K33" i="1"/>
  <c r="J33" i="1"/>
  <c r="I33" i="1"/>
  <c r="H33" i="1"/>
  <c r="G33" i="1"/>
  <c r="F33" i="1"/>
  <c r="E33" i="1"/>
  <c r="D33" i="1"/>
  <c r="AW31" i="1"/>
  <c r="AC31" i="1"/>
  <c r="C38" i="1" s="1"/>
  <c r="T38" i="1" s="1"/>
  <c r="AC30" i="1"/>
  <c r="C37" i="1" s="1"/>
  <c r="T37" i="1" s="1"/>
  <c r="AC29" i="1"/>
  <c r="C36" i="1" s="1"/>
  <c r="P29" i="1"/>
  <c r="T29" i="1" s="1"/>
  <c r="C29" i="1"/>
  <c r="AC28" i="1"/>
  <c r="C35" i="1" s="1"/>
  <c r="S28" i="1"/>
  <c r="C28" i="1"/>
  <c r="AM27" i="1"/>
  <c r="AC27" i="1"/>
  <c r="C32" i="1" s="1"/>
  <c r="T32" i="1" s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C26" i="1"/>
  <c r="C31" i="1" s="1"/>
  <c r="T31" i="1" s="1"/>
  <c r="T26" i="1"/>
  <c r="AC25" i="1"/>
  <c r="C30" i="1" s="1"/>
  <c r="T30" i="1" s="1"/>
  <c r="T25" i="1"/>
  <c r="AC24" i="1"/>
  <c r="T24" i="1"/>
  <c r="AC23" i="1"/>
  <c r="U23" i="1"/>
  <c r="X23" i="1" s="1"/>
  <c r="T23" i="1"/>
  <c r="T28" i="1" s="1"/>
  <c r="AM22" i="1"/>
  <c r="H35" i="1" s="1"/>
  <c r="H39" i="1" s="1"/>
  <c r="AC22" i="1"/>
  <c r="S22" i="1"/>
  <c r="AC21" i="1"/>
  <c r="S21" i="1"/>
  <c r="R21" i="1"/>
  <c r="Q21" i="1"/>
  <c r="P21" i="1"/>
  <c r="O21" i="1"/>
  <c r="N21" i="1"/>
  <c r="L21" i="1"/>
  <c r="K21" i="1"/>
  <c r="J21" i="1"/>
  <c r="I21" i="1"/>
  <c r="G21" i="1"/>
  <c r="F21" i="1"/>
  <c r="E21" i="1"/>
  <c r="D21" i="1"/>
  <c r="AC20" i="1"/>
  <c r="AM19" i="1"/>
  <c r="H17" i="1" s="1"/>
  <c r="AC19" i="1"/>
  <c r="C20" i="1" s="1"/>
  <c r="T20" i="1" s="1"/>
  <c r="AM18" i="1"/>
  <c r="AH18" i="1"/>
  <c r="AC18" i="1"/>
  <c r="C19" i="1" s="1"/>
  <c r="T19" i="1" s="1"/>
  <c r="AC17" i="1"/>
  <c r="C18" i="1" s="1"/>
  <c r="C17" i="1"/>
  <c r="AC16" i="1"/>
  <c r="S16" i="1"/>
  <c r="S15" i="1"/>
  <c r="R15" i="1"/>
  <c r="Q15" i="1"/>
  <c r="P15" i="1"/>
  <c r="O15" i="1"/>
  <c r="N15" i="1"/>
  <c r="M15" i="1"/>
  <c r="L15" i="1"/>
  <c r="K15" i="1"/>
  <c r="J15" i="1"/>
  <c r="H15" i="1"/>
  <c r="G15" i="1"/>
  <c r="F15" i="1"/>
  <c r="E15" i="1"/>
  <c r="T14" i="1"/>
  <c r="T13" i="1"/>
  <c r="J13" i="1"/>
  <c r="BB12" i="1"/>
  <c r="AW12" i="1"/>
  <c r="M36" i="1" s="1"/>
  <c r="M39" i="1" s="1"/>
  <c r="AC12" i="1"/>
  <c r="C11" i="1" s="1"/>
  <c r="I12" i="1"/>
  <c r="T12" i="1" s="1"/>
  <c r="BB11" i="1"/>
  <c r="AC11" i="1"/>
  <c r="C10" i="1" s="1"/>
  <c r="T10" i="1" s="1"/>
  <c r="H11" i="1"/>
  <c r="AC10" i="1"/>
  <c r="AW9" i="1"/>
  <c r="M18" i="1" s="1"/>
  <c r="M21" i="1" s="1"/>
  <c r="AC9" i="1"/>
  <c r="C8" i="1" s="1"/>
  <c r="T8" i="1" s="1"/>
  <c r="T9" i="1"/>
  <c r="C9" i="1"/>
  <c r="AR8" i="1"/>
  <c r="AH8" i="1"/>
  <c r="AC8" i="1"/>
  <c r="E8" i="1"/>
  <c r="D7" i="1"/>
  <c r="T7" i="1" s="1"/>
  <c r="C7" i="1"/>
  <c r="C16" i="1" l="1"/>
  <c r="T11" i="1"/>
  <c r="C15" i="1"/>
  <c r="V7" i="1"/>
  <c r="U7" i="1"/>
  <c r="T16" i="1"/>
  <c r="T15" i="1"/>
  <c r="H21" i="1"/>
  <c r="T17" i="1"/>
  <c r="T36" i="1"/>
  <c r="C21" i="1"/>
  <c r="C22" i="1"/>
  <c r="T18" i="1"/>
  <c r="H45" i="1"/>
  <c r="C33" i="1"/>
  <c r="U29" i="1"/>
  <c r="T34" i="1"/>
  <c r="T33" i="1"/>
  <c r="C44" i="1"/>
  <c r="AA39" i="1"/>
  <c r="C40" i="1"/>
  <c r="T35" i="1"/>
  <c r="F45" i="1"/>
  <c r="C39" i="1"/>
  <c r="F44" i="1"/>
  <c r="AB39" i="1"/>
  <c r="E44" i="1"/>
  <c r="I15" i="1"/>
  <c r="W24" i="1"/>
  <c r="C34" i="1"/>
  <c r="H44" i="1"/>
  <c r="V23" i="1"/>
  <c r="C45" i="1"/>
  <c r="E45" i="1"/>
  <c r="D15" i="1"/>
  <c r="AA37" i="1"/>
  <c r="AA38" i="1" s="1"/>
  <c r="AB37" i="1"/>
  <c r="AB38" i="1" s="1"/>
  <c r="W25" i="1"/>
  <c r="AC37" i="1"/>
  <c r="AC39" i="1" s="1"/>
  <c r="P33" i="1"/>
  <c r="T27" i="1"/>
  <c r="AD37" i="1"/>
  <c r="AD39" i="1" s="1"/>
  <c r="D46" i="1"/>
  <c r="D48" i="1" s="1"/>
  <c r="AE37" i="1"/>
  <c r="AE39" i="1" s="1"/>
  <c r="F46" i="1" l="1"/>
  <c r="F47" i="1" s="1"/>
  <c r="X29" i="1"/>
  <c r="W31" i="1"/>
  <c r="W30" i="1"/>
  <c r="V29" i="1"/>
  <c r="E46" i="1"/>
  <c r="E48" i="1" s="1"/>
  <c r="T40" i="1"/>
  <c r="T39" i="1"/>
  <c r="U35" i="1"/>
  <c r="T22" i="1"/>
  <c r="U17" i="1"/>
  <c r="T21" i="1"/>
  <c r="AE38" i="1"/>
  <c r="AC38" i="1"/>
  <c r="C46" i="1"/>
  <c r="C48" i="1" s="1"/>
  <c r="AD38" i="1"/>
  <c r="H46" i="1"/>
  <c r="H48" i="1" s="1"/>
  <c r="D47" i="1"/>
  <c r="W11" i="1"/>
  <c r="W9" i="1"/>
  <c r="F48" i="1"/>
  <c r="C47" i="1" l="1"/>
  <c r="W18" i="1"/>
  <c r="X17" i="1"/>
  <c r="W19" i="1"/>
  <c r="V17" i="1"/>
  <c r="X35" i="1"/>
  <c r="W37" i="1"/>
  <c r="W36" i="1"/>
  <c r="V35" i="1"/>
  <c r="U18" i="1"/>
  <c r="E47" i="1"/>
  <c r="U19" i="1"/>
  <c r="U20" i="1"/>
  <c r="U24" i="1" s="1"/>
  <c r="H47" i="1"/>
  <c r="U25" i="1" l="1"/>
  <c r="U26" i="1" s="1"/>
  <c r="U30" i="1" s="1"/>
  <c r="U31" i="1" l="1"/>
  <c r="U32" i="1" s="1"/>
  <c r="U36" i="1" s="1"/>
  <c r="U37" i="1" l="1"/>
  <c r="U38" i="1" s="1"/>
</calcChain>
</file>

<file path=xl/sharedStrings.xml><?xml version="1.0" encoding="utf-8"?>
<sst xmlns="http://schemas.openxmlformats.org/spreadsheetml/2006/main" count="1021" uniqueCount="189">
  <si>
    <t>Substance</t>
  </si>
  <si>
    <t>Study</t>
  </si>
  <si>
    <t>CONCENTRATION ANALYSIS</t>
  </si>
  <si>
    <t>DUPLICATES</t>
  </si>
  <si>
    <t>Treatment and Replicate</t>
  </si>
  <si>
    <t>Nominal Conc. (µg/L)</t>
  </si>
  <si>
    <t>Measured Concentration (µg/L)</t>
  </si>
  <si>
    <t>Mean</t>
  </si>
  <si>
    <t>Overall treatment</t>
  </si>
  <si>
    <t xml:space="preserve">% </t>
  </si>
  <si>
    <t>Analytical results, IQR Calculations, and Means.</t>
  </si>
  <si>
    <t>Week 0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</si>
  <si>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</si>
  <si>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</si>
  <si>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</si>
  <si>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</si>
  <si>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</si>
  <si>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</si>
  <si>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</si>
  <si>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</si>
  <si>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</si>
  <si>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</si>
  <si>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</si>
  <si>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</si>
  <si>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</si>
  <si>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</si>
  <si>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</si>
  <si>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</si>
  <si>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(µg/L)</t>
  </si>
  <si>
    <t>Mean (µg/L)</t>
  </si>
  <si>
    <t xml:space="preserve">Replicate Mean CVs [Within] </t>
  </si>
  <si>
    <t>SEMs</t>
  </si>
  <si>
    <t>Nominal</t>
  </si>
  <si>
    <t>0.0 µg/L A</t>
  </si>
  <si>
    <t>&lt;MQL</t>
  </si>
  <si>
    <t>ID</t>
  </si>
  <si>
    <t>Desc.</t>
  </si>
  <si>
    <t>Orig</t>
  </si>
  <si>
    <t>Dup</t>
  </si>
  <si>
    <t>Avg</t>
  </si>
  <si>
    <t>0.0 µg/L B</t>
  </si>
  <si>
    <t>0.0 µg/L Rep A</t>
  </si>
  <si>
    <t>0.0 µg/L Rep D</t>
  </si>
  <si>
    <t>0.0 µg/L Rep G</t>
  </si>
  <si>
    <t>0.0 µg/L Rep B</t>
  </si>
  <si>
    <t>0.0 µg/L Rep E</t>
  </si>
  <si>
    <t>0.0 µg/L C</t>
  </si>
  <si>
    <t>3.6 µg/L Rep A</t>
  </si>
  <si>
    <t>3.6 µg/L Rep D</t>
  </si>
  <si>
    <t>3.6 µg/L Rep C</t>
  </si>
  <si>
    <t>3.6 µg/L Rep B</t>
  </si>
  <si>
    <t>0.0 µg/L D</t>
  </si>
  <si>
    <t>0.0 µg/L Rep C</t>
  </si>
  <si>
    <t>10.9 µg/L Rep A</t>
  </si>
  <si>
    <t>10.9 µg/L Rep D</t>
  </si>
  <si>
    <t>10.9 µg/L Rep C</t>
  </si>
  <si>
    <t>10.9 µg/L Rep B</t>
  </si>
  <si>
    <t>0.0 µg/L E</t>
  </si>
  <si>
    <t>33 µg/L Rep A</t>
  </si>
  <si>
    <t>33 µg/L Rep D</t>
  </si>
  <si>
    <t>33 µg/L Rep C</t>
  </si>
  <si>
    <t>33 µg/L Rep B</t>
  </si>
  <si>
    <t>0.0 µg/L F</t>
  </si>
  <si>
    <t>100 µg/L Rep A</t>
  </si>
  <si>
    <t>100 µg/L Rep D</t>
  </si>
  <si>
    <t>100 µg/L Rep C</t>
  </si>
  <si>
    <t>100 µg/L Rep B</t>
  </si>
  <si>
    <t>0.0 µg/L G</t>
  </si>
  <si>
    <t>0.0 µg/L Rep F</t>
  </si>
  <si>
    <t>0.0 µg/L H</t>
  </si>
  <si>
    <t>0.0 µg/L Mean</t>
  </si>
  <si>
    <t>0.0 µg/L Rep H</t>
  </si>
  <si>
    <t>Replicate CV</t>
  </si>
  <si>
    <t>3.6 µg/L A</t>
  </si>
  <si>
    <t>3.6 µg/L B</t>
  </si>
  <si>
    <t>3.6 µg/L C</t>
  </si>
  <si>
    <t>3.6 µg/L D</t>
  </si>
  <si>
    <t>3.6 µg/L Mean</t>
  </si>
  <si>
    <t>10.9 µg/L A</t>
  </si>
  <si>
    <t>10.9 µg/L B</t>
  </si>
  <si>
    <t>10.9 µg/L C</t>
  </si>
  <si>
    <t>10.9 µg/L D</t>
  </si>
  <si>
    <t>10.9 µg/L Mean</t>
  </si>
  <si>
    <t>33.0 µg/L A</t>
  </si>
  <si>
    <t>33.0 µg/L B</t>
  </si>
  <si>
    <t>33.0 µg/L C</t>
  </si>
  <si>
    <t>33.0 µg/L D</t>
  </si>
  <si>
    <t>This color indicates the value was determined to be outside IQR, therefor not used in calculating average.</t>
  </si>
  <si>
    <t>33.0 µg/L Mean</t>
  </si>
  <si>
    <t>IQR Calculations</t>
  </si>
  <si>
    <t>This color indicates the value used in the Concentration Analysis Sheet.</t>
  </si>
  <si>
    <t>100 µg/L A</t>
  </si>
  <si>
    <t>1st Quartile</t>
  </si>
  <si>
    <t>100 µg/L B</t>
  </si>
  <si>
    <t>3rd Quartile</t>
  </si>
  <si>
    <t>100 µg/L C</t>
  </si>
  <si>
    <t>IQR</t>
  </si>
  <si>
    <t>100 µg/L D</t>
  </si>
  <si>
    <t>Upper</t>
  </si>
  <si>
    <t>100 µg/L Mean</t>
  </si>
  <si>
    <t>Lower</t>
  </si>
  <si>
    <t>Indicates value from Duplicates sheet.</t>
  </si>
  <si>
    <t>Outlier, no duplicate value available since value was within 20% of nominal concentration, reported as measured.</t>
  </si>
  <si>
    <t>NOTE: &lt;MQL reported as 1/2 of MQL (0.104)</t>
  </si>
  <si>
    <t>&lt;MQL reported as 1/2 of MQL (0.104)</t>
  </si>
  <si>
    <t>4-NP</t>
  </si>
  <si>
    <t>BATT01-00392</t>
  </si>
  <si>
    <t>%</t>
  </si>
  <si>
    <t>Replicate Mean CVs [Within]</t>
  </si>
  <si>
    <t>1.8 µg/L Rep A</t>
  </si>
  <si>
    <t>1.8 µg/L Rep D</t>
  </si>
  <si>
    <t>1.8 µg/L Rep C</t>
  </si>
  <si>
    <t>1.8 µg/L Rep B</t>
  </si>
  <si>
    <t>5.5 µg/L Rep A</t>
  </si>
  <si>
    <t>5.5 µg/L Rep D</t>
  </si>
  <si>
    <t>5.5 µg/L Rep C</t>
  </si>
  <si>
    <t>5.5 µg/L Rep B</t>
  </si>
  <si>
    <t>16.5 µg/L Rep A</t>
  </si>
  <si>
    <t>16.5 µg/L Rep D</t>
  </si>
  <si>
    <t>16.5 µg/L Rep C</t>
  </si>
  <si>
    <t>16.5 µg/L Rep B</t>
  </si>
  <si>
    <t>50 µg/L Rep A</t>
  </si>
  <si>
    <t>50 µg/L Rep D</t>
  </si>
  <si>
    <t>50 µg/L Rep C</t>
  </si>
  <si>
    <t>50 µg/L Rep B</t>
  </si>
  <si>
    <t>1.8 µg/L A</t>
  </si>
  <si>
    <t>1.8 µg/L B</t>
  </si>
  <si>
    <t>1.8 µg/L C</t>
  </si>
  <si>
    <t>1.8 µg/L D</t>
  </si>
  <si>
    <t>1.8 µg/L Mean</t>
  </si>
  <si>
    <t>5.5 µg/L A</t>
  </si>
  <si>
    <t>5.5 µg/L B</t>
  </si>
  <si>
    <t>5.5 µg/L C</t>
  </si>
  <si>
    <t>5.5 µg/L D</t>
  </si>
  <si>
    <t>5.5 µg/L Mean</t>
  </si>
  <si>
    <t>16.5 µg/L A</t>
  </si>
  <si>
    <t>16.5 µg/L B</t>
  </si>
  <si>
    <t>16.5 µg/L C</t>
  </si>
  <si>
    <t>16.5 µg/L D</t>
  </si>
  <si>
    <t>16.5 µg/L Mean</t>
  </si>
  <si>
    <t>This color indicates the value used in the Concentration Analysis sheet.</t>
  </si>
  <si>
    <t>50 µg/L A</t>
  </si>
  <si>
    <t>50 µg/L B</t>
  </si>
  <si>
    <t>50 µg/L C</t>
  </si>
  <si>
    <t>50 µg/L D</t>
  </si>
  <si>
    <t>50 µg/L Mean</t>
  </si>
  <si>
    <t>Indicated value from Duplicates sheet.</t>
  </si>
  <si>
    <t>NOTE: &lt;MQL reported as 1/2 of MQL (0.1665)</t>
  </si>
  <si>
    <t>Week 0 0.0 A</t>
  </si>
  <si>
    <t>Week 0 0.0 B</t>
  </si>
  <si>
    <t>Week 0 0.0 C</t>
  </si>
  <si>
    <t>Week 0 0.0 D</t>
  </si>
  <si>
    <t>Week 0 0.0 E</t>
  </si>
  <si>
    <t>Week 0 0.0 F</t>
  </si>
  <si>
    <t>Week 0 0.0 G</t>
  </si>
  <si>
    <t>Week 0 0.0 H</t>
  </si>
  <si>
    <t>Week 0 16.5 D</t>
  </si>
  <si>
    <t>Week 5 1.8 A</t>
  </si>
  <si>
    <t>Week 5 5.5 A</t>
  </si>
  <si>
    <t>Week 5 16.5 A</t>
  </si>
  <si>
    <t>Week 5 50 A</t>
  </si>
  <si>
    <t>Week 6 0.0 F</t>
  </si>
  <si>
    <t>Week 6 50 B</t>
  </si>
  <si>
    <t>Week 7 1.8 C</t>
  </si>
  <si>
    <t>Week 7 50 C</t>
  </si>
  <si>
    <t>Week 16 1.8 A</t>
  </si>
  <si>
    <t>Week 16 1.8 B</t>
  </si>
  <si>
    <t>Week 16 1.8 C</t>
  </si>
  <si>
    <t>Week 16 1.8 D</t>
  </si>
  <si>
    <t>Week 16 5.5 A</t>
  </si>
  <si>
    <t>Week 16 5.5 B</t>
  </si>
  <si>
    <t>Week 16 5.5 C</t>
  </si>
  <si>
    <t>Week 16 5.5 D</t>
  </si>
  <si>
    <t>Week 16 16.5 A</t>
  </si>
  <si>
    <t>Week 16 16.5 B</t>
  </si>
  <si>
    <t>Week 16 16.5 C</t>
  </si>
  <si>
    <t>Week 16 16.5 D</t>
  </si>
  <si>
    <t>Week 16 50 A</t>
  </si>
  <si>
    <t>Week 16 50 B</t>
  </si>
  <si>
    <t>Week 16 50 C</t>
  </si>
  <si>
    <t>Week 16 50 D</t>
  </si>
  <si>
    <t>% Nominal</t>
  </si>
  <si>
    <t xml:space="preserve"> </t>
  </si>
  <si>
    <t>`</t>
  </si>
  <si>
    <t>NOTE: &lt;MQL reported as 1/2 of MQL (0.0995)</t>
  </si>
  <si>
    <t>&lt;MQL reported as 1/2 of MQL (0.0995)</t>
  </si>
  <si>
    <t>Spreadsheet S1a. Measured concentrations of 2-EHHB samples throughout the study and statistical analyses used</t>
  </si>
  <si>
    <t>Spreadsheet S1b. Measured concentrations of triclosan samples throughout the study and statistical analyses used</t>
  </si>
  <si>
    <t>Spreadsheet S1c. Measured concentrations of 4-NP samples throughout the study and statistical analyses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</si>
</sst>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0"/>
    <numFmt numFmtId="168" formatCode="0.00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Trellis">
        <bgColor theme="2" tint="-9.9978637043366805E-2"/>
      </patternFill>
    </fill>
    <fill>
      <patternFill patternType="solid">
        <fgColor rgb="FF00B0F0"/>
        <bgColor indexed="64"/>
      </patternFill>
    </fill>
    <fill>
      <patternFill patternType="lightTrellis">
        <bgColor theme="2" tint="-0.249977111117893"/>
      </patternFill>
    </fill>
    <fill>
      <patternFill patternType="lightTrellis"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quotePrefix="1" applyFont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2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2" fontId="4" fillId="0" borderId="19" xfId="0" applyNumberFormat="1" applyFont="1" applyBorder="1"/>
    <xf numFmtId="0" fontId="0" fillId="3" borderId="19" xfId="0" applyFill="1" applyBorder="1"/>
    <xf numFmtId="2" fontId="0" fillId="6" borderId="18" xfId="0" applyNumberFormat="1" applyFill="1" applyBorder="1"/>
    <xf numFmtId="0" fontId="0" fillId="3" borderId="18" xfId="0" applyFill="1" applyBorder="1"/>
    <xf numFmtId="164" fontId="0" fillId="0" borderId="19" xfId="0" applyNumberFormat="1" applyBorder="1"/>
    <xf numFmtId="10" fontId="2" fillId="2" borderId="9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/>
    <xf numFmtId="2" fontId="0" fillId="3" borderId="19" xfId="0" applyNumberFormat="1" applyFill="1" applyBorder="1"/>
    <xf numFmtId="165" fontId="2" fillId="2" borderId="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1" fontId="0" fillId="0" borderId="19" xfId="0" applyNumberFormat="1" applyBorder="1"/>
    <xf numFmtId="0" fontId="0" fillId="0" borderId="20" xfId="0" applyBorder="1"/>
    <xf numFmtId="0" fontId="4" fillId="0" borderId="21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166" fontId="0" fillId="3" borderId="22" xfId="0" applyNumberFormat="1" applyFill="1" applyBorder="1"/>
    <xf numFmtId="0" fontId="0" fillId="3" borderId="21" xfId="0" applyFill="1" applyBorder="1"/>
    <xf numFmtId="0" fontId="0" fillId="6" borderId="21" xfId="0" applyFill="1" applyBorder="1"/>
    <xf numFmtId="1" fontId="0" fillId="0" borderId="22" xfId="0" applyNumberFormat="1" applyBorder="1"/>
    <xf numFmtId="0" fontId="0" fillId="7" borderId="0" xfId="0" applyFill="1"/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4" fillId="5" borderId="8" xfId="0" applyFont="1" applyFill="1" applyBorder="1"/>
    <xf numFmtId="0" fontId="4" fillId="5" borderId="0" xfId="0" applyFont="1" applyFill="1"/>
    <xf numFmtId="0" fontId="0" fillId="5" borderId="10" xfId="0" applyFill="1" applyBorder="1" applyAlignment="1">
      <alignment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8" borderId="7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/>
    <xf numFmtId="2" fontId="3" fillId="0" borderId="7" xfId="0" applyNumberFormat="1" applyFont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9" fontId="2" fillId="2" borderId="4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0" fillId="0" borderId="18" xfId="0" applyNumberFormat="1" applyBorder="1"/>
    <xf numFmtId="9" fontId="2" fillId="2" borderId="6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166" fontId="3" fillId="4" borderId="7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4" fillId="3" borderId="19" xfId="0" applyNumberFormat="1" applyFont="1" applyFill="1" applyBorder="1"/>
    <xf numFmtId="166" fontId="4" fillId="0" borderId="18" xfId="0" applyNumberFormat="1" applyFont="1" applyBorder="1"/>
    <xf numFmtId="166" fontId="3" fillId="3" borderId="7" xfId="0" applyNumberFormat="1" applyFont="1" applyFill="1" applyBorder="1" applyAlignment="1">
      <alignment horizontal="center" vertical="center"/>
    </xf>
    <xf numFmtId="0" fontId="4" fillId="0" borderId="20" xfId="0" applyFont="1" applyBorder="1"/>
    <xf numFmtId="0" fontId="4" fillId="0" borderId="21" xfId="0" applyFont="1" applyBorder="1"/>
    <xf numFmtId="166" fontId="4" fillId="3" borderId="22" xfId="0" applyNumberFormat="1" applyFont="1" applyFill="1" applyBorder="1"/>
    <xf numFmtId="1" fontId="0" fillId="3" borderId="22" xfId="0" applyNumberFormat="1" applyFill="1" applyBorder="1"/>
    <xf numFmtId="166" fontId="3" fillId="9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4" xfId="0" applyBorder="1"/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2" fontId="0" fillId="0" borderId="0" xfId="0" applyNumberFormat="1"/>
    <xf numFmtId="166" fontId="0" fillId="0" borderId="0" xfId="0" applyNumberFormat="1"/>
    <xf numFmtId="166" fontId="0" fillId="0" borderId="10" xfId="0" applyNumberFormat="1" applyBorder="1" applyAlignment="1">
      <alignment horizontal="center"/>
    </xf>
    <xf numFmtId="166" fontId="3" fillId="10" borderId="7" xfId="0" applyNumberFormat="1" applyFont="1" applyFill="1" applyBorder="1" applyAlignment="1">
      <alignment horizontal="center" vertical="center"/>
    </xf>
    <xf numFmtId="1" fontId="3" fillId="10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166" fontId="3" fillId="2" borderId="8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2" fontId="0" fillId="0" borderId="26" xfId="0" applyNumberFormat="1" applyBorder="1"/>
    <xf numFmtId="166" fontId="0" fillId="0" borderId="7" xfId="0" applyNumberFormat="1" applyBorder="1" applyAlignment="1">
      <alignment horizontal="center"/>
    </xf>
    <xf numFmtId="0" fontId="4" fillId="5" borderId="26" xfId="0" applyFont="1" applyFill="1" applyBorder="1"/>
    <xf numFmtId="0" fontId="0" fillId="5" borderId="7" xfId="0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0" fillId="3" borderId="0" xfId="0" applyNumberFormat="1" applyFill="1"/>
    <xf numFmtId="164" fontId="0" fillId="0" borderId="0" xfId="0" applyNumberFormat="1"/>
    <xf numFmtId="2" fontId="0" fillId="3" borderId="0" xfId="0" applyNumberFormat="1" applyFill="1"/>
    <xf numFmtId="166" fontId="4" fillId="0" borderId="0" xfId="0" applyNumberFormat="1" applyFont="1" applyAlignment="1">
      <alignment horizontal="center" vertical="center"/>
    </xf>
    <xf numFmtId="166" fontId="0" fillId="3" borderId="0" xfId="0" applyNumberFormat="1" applyFill="1"/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vertical="center"/>
    </xf>
    <xf numFmtId="2" fontId="0" fillId="0" borderId="18" xfId="0" applyNumberFormat="1" applyBorder="1"/>
    <xf numFmtId="164" fontId="0" fillId="0" borderId="18" xfId="0" applyNumberFormat="1" applyBorder="1"/>
    <xf numFmtId="2" fontId="0" fillId="0" borderId="19" xfId="0" applyNumberFormat="1" applyBorder="1"/>
    <xf numFmtId="9" fontId="2" fillId="2" borderId="9" xfId="0" applyNumberFormat="1" applyFont="1" applyFill="1" applyBorder="1" applyAlignment="1">
      <alignment horizontal="center" vertical="center"/>
    </xf>
    <xf numFmtId="166" fontId="0" fillId="0" borderId="19" xfId="0" applyNumberFormat="1" applyBorder="1"/>
    <xf numFmtId="166" fontId="0" fillId="0" borderId="21" xfId="0" applyNumberFormat="1" applyBorder="1"/>
    <xf numFmtId="166" fontId="0" fillId="0" borderId="22" xfId="0" applyNumberFormat="1" applyBorder="1"/>
    <xf numFmtId="164" fontId="4" fillId="0" borderId="18" xfId="0" applyNumberFormat="1" applyFont="1" applyBorder="1"/>
    <xf numFmtId="0" fontId="4" fillId="8" borderId="8" xfId="0" applyFont="1" applyFill="1" applyBorder="1"/>
    <xf numFmtId="0" fontId="4" fillId="8" borderId="0" xfId="0" applyFont="1" applyFill="1"/>
    <xf numFmtId="1" fontId="0" fillId="8" borderId="10" xfId="0" applyNumberFormat="1" applyFill="1" applyBorder="1"/>
    <xf numFmtId="164" fontId="3" fillId="0" borderId="7" xfId="0" applyNumberFormat="1" applyFont="1" applyBorder="1" applyAlignment="1">
      <alignment horizontal="center" vertical="center"/>
    </xf>
    <xf numFmtId="2" fontId="3" fillId="10" borderId="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6" fontId="0" fillId="6" borderId="18" xfId="0" applyNumberFormat="1" applyFill="1" applyBorder="1"/>
    <xf numFmtId="2" fontId="0" fillId="3" borderId="18" xfId="0" applyNumberFormat="1" applyFill="1" applyBorder="1"/>
    <xf numFmtId="166" fontId="0" fillId="3" borderId="19" xfId="0" applyNumberFormat="1" applyFill="1" applyBorder="1"/>
    <xf numFmtId="2" fontId="3" fillId="0" borderId="6" xfId="0" applyNumberFormat="1" applyFont="1" applyBorder="1" applyAlignment="1">
      <alignment horizontal="center" vertical="center"/>
    </xf>
    <xf numFmtId="166" fontId="4" fillId="0" borderId="19" xfId="0" applyNumberFormat="1" applyFont="1" applyBorder="1"/>
    <xf numFmtId="166" fontId="4" fillId="0" borderId="22" xfId="0" applyNumberFormat="1" applyFont="1" applyBorder="1"/>
    <xf numFmtId="164" fontId="0" fillId="0" borderId="26" xfId="0" applyNumberFormat="1" applyBorder="1"/>
    <xf numFmtId="0" fontId="4" fillId="8" borderId="26" xfId="0" applyFont="1" applyFill="1" applyBorder="1"/>
    <xf numFmtId="1" fontId="0" fillId="8" borderId="7" xfId="0" applyNumberFormat="1" applyFill="1" applyBorder="1"/>
    <xf numFmtId="0" fontId="0" fillId="10" borderId="0" xfId="0" applyFill="1"/>
    <xf numFmtId="0" fontId="0" fillId="0" borderId="0" xfId="0" applyAlignment="1">
      <alignment horizontal="right"/>
    </xf>
    <xf numFmtId="0" fontId="0" fillId="3" borderId="0" xfId="0" applyFill="1"/>
    <xf numFmtId="0" fontId="0" fillId="0" borderId="0" xfId="0" applyAlignment="1">
      <alignment horizontal="left"/>
    </xf>
    <xf numFmtId="0" fontId="0" fillId="6" borderId="0" xfId="0" applyFill="1"/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11" borderId="8" xfId="0" applyFont="1" applyFill="1" applyBorder="1" applyAlignment="1">
      <alignment horizontal="center" vertical="center"/>
    </xf>
    <xf numFmtId="167" fontId="3" fillId="4" borderId="7" xfId="0" applyNumberFormat="1" applyFont="1" applyFill="1" applyBorder="1" applyAlignment="1">
      <alignment horizontal="center" vertical="center"/>
    </xf>
    <xf numFmtId="168" fontId="2" fillId="2" borderId="10" xfId="0" applyNumberFormat="1" applyFont="1" applyFill="1" applyBorder="1" applyAlignment="1">
      <alignment horizontal="center" vertical="center"/>
    </xf>
    <xf numFmtId="2" fontId="4" fillId="6" borderId="18" xfId="0" applyNumberFormat="1" applyFont="1" applyFill="1" applyBorder="1" applyAlignment="1">
      <alignment vertical="center"/>
    </xf>
    <xf numFmtId="164" fontId="4" fillId="3" borderId="18" xfId="0" applyNumberFormat="1" applyFont="1" applyFill="1" applyBorder="1" applyAlignment="1">
      <alignment vertical="center"/>
    </xf>
    <xf numFmtId="168" fontId="2" fillId="2" borderId="9" xfId="0" applyNumberFormat="1" applyFont="1" applyFill="1" applyBorder="1" applyAlignment="1">
      <alignment horizontal="center" vertical="center"/>
    </xf>
    <xf numFmtId="164" fontId="0" fillId="6" borderId="18" xfId="0" applyNumberFormat="1" applyFill="1" applyBorder="1"/>
    <xf numFmtId="164" fontId="4" fillId="0" borderId="19" xfId="0" applyNumberFormat="1" applyFont="1" applyBorder="1"/>
    <xf numFmtId="164" fontId="0" fillId="6" borderId="21" xfId="0" applyNumberFormat="1" applyFill="1" applyBorder="1"/>
    <xf numFmtId="2" fontId="4" fillId="6" borderId="18" xfId="0" applyNumberFormat="1" applyFont="1" applyFill="1" applyBorder="1"/>
    <xf numFmtId="164" fontId="4" fillId="3" borderId="18" xfId="0" applyNumberFormat="1" applyFont="1" applyFill="1" applyBorder="1"/>
    <xf numFmtId="167" fontId="3" fillId="2" borderId="7" xfId="0" applyNumberFormat="1" applyFont="1" applyFill="1" applyBorder="1" applyAlignment="1">
      <alignment horizontal="center" vertical="center"/>
    </xf>
    <xf numFmtId="0" fontId="4" fillId="5" borderId="27" xfId="0" applyFont="1" applyFill="1" applyBorder="1"/>
    <xf numFmtId="0" fontId="0" fillId="5" borderId="5" xfId="0" applyFill="1" applyBorder="1"/>
    <xf numFmtId="167" fontId="3" fillId="8" borderId="7" xfId="0" applyNumberFormat="1" applyFont="1" applyFill="1" applyBorder="1" applyAlignment="1">
      <alignment horizontal="center" vertical="center"/>
    </xf>
    <xf numFmtId="0" fontId="4" fillId="5" borderId="25" xfId="0" applyFont="1" applyFill="1" applyBorder="1"/>
    <xf numFmtId="0" fontId="0" fillId="5" borderId="7" xfId="0" applyFill="1" applyBorder="1"/>
    <xf numFmtId="1" fontId="3" fillId="4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166" fontId="0" fillId="0" borderId="26" xfId="0" applyNumberFormat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166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2" fillId="4" borderId="8" xfId="0" applyNumberFormat="1" applyFont="1" applyFill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0" xfId="0" applyFill="1" applyAlignment="1">
      <alignment horizontal="center"/>
    </xf>
    <xf numFmtId="2" fontId="2" fillId="0" borderId="8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5" fontId="2" fillId="4" borderId="9" xfId="0" applyNumberFormat="1" applyFont="1" applyFill="1" applyBorder="1" applyAlignment="1">
      <alignment horizontal="center" vertical="center"/>
    </xf>
    <xf numFmtId="165" fontId="2" fillId="4" borderId="6" xfId="0" applyNumberFormat="1" applyFon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 vertical="center"/>
    </xf>
    <xf numFmtId="2" fontId="0" fillId="5" borderId="6" xfId="0" applyNumberForma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2" fillId="0" borderId="8" xfId="0" applyNumberFormat="1" applyFont="1" applyBorder="1" applyAlignment="1">
      <alignment horizontal="center" vertical="center"/>
    </xf>
    <xf numFmtId="10" fontId="2" fillId="4" borderId="8" xfId="0" applyNumberFormat="1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7" fontId="2" fillId="0" borderId="4" xfId="0" applyNumberFormat="1" applyFont="1" applyBorder="1" applyAlignment="1">
      <alignment horizontal="center" vertical="center"/>
    </xf>
    <xf numFmtId="167" fontId="2" fillId="0" borderId="9" xfId="0" applyNumberFormat="1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/>
    </xf>
    <xf numFmtId="168" fontId="2" fillId="4" borderId="4" xfId="0" applyNumberFormat="1" applyFont="1" applyFill="1" applyBorder="1" applyAlignment="1">
      <alignment horizontal="center" vertical="center"/>
    </xf>
    <xf numFmtId="168" fontId="2" fillId="4" borderId="9" xfId="0" applyNumberFormat="1" applyFont="1" applyFill="1" applyBorder="1" applyAlignment="1">
      <alignment horizontal="center" vertical="center"/>
    </xf>
    <xf numFmtId="168" fontId="2" fillId="4" borderId="6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9" fontId="2" fillId="4" borderId="4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/>
    </xf>
    <xf numFmtId="9" fontId="2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2A2BF-41A6-476F-9D33-76C88B8463B5}">
  <dimension ref="A1:BG88"/>
  <sheetViews>
    <sheetView tabSelected="1" workbookViewId="0"/>
  </sheetViews>
  <sheetFormatPr defaultRowHeight="14.4" x14ac:dyDescent="0.55000000000000004"/>
  <cols>
    <col min="1" max="1" width="14.41796875" bestFit="1" customWidth="1"/>
    <col min="2" max="2" width="14.41796875" customWidth="1"/>
    <col min="3" max="12" width="7.578125" bestFit="1" customWidth="1"/>
    <col min="13" max="19" width="8.578125" bestFit="1" customWidth="1"/>
    <col min="20" max="20" width="5.83984375" customWidth="1"/>
    <col min="21" max="21" width="12" bestFit="1" customWidth="1"/>
    <col min="22" max="22" width="27.26171875" bestFit="1" customWidth="1"/>
    <col min="23" max="23" width="16.68359375" customWidth="1"/>
    <col min="25" max="25" width="3" customWidth="1"/>
    <col min="26" max="26" width="12.578125" customWidth="1"/>
    <col min="27" max="29" width="6.578125" customWidth="1"/>
    <col min="30" max="30" width="7" customWidth="1"/>
    <col min="31" max="31" width="12.578125" customWidth="1"/>
    <col min="32" max="34" width="6.578125" customWidth="1"/>
    <col min="35" max="35" width="4.26171875" customWidth="1"/>
    <col min="36" max="36" width="12.578125" customWidth="1"/>
    <col min="37" max="39" width="6.578125" customWidth="1"/>
    <col min="40" max="40" width="4.26171875" customWidth="1"/>
    <col min="41" max="41" width="12.578125" customWidth="1"/>
    <col min="42" max="44" width="6.578125" customWidth="1"/>
    <col min="45" max="45" width="4.26171875" customWidth="1"/>
    <col min="46" max="46" width="12.578125" customWidth="1"/>
    <col min="47" max="49" width="6.578125" customWidth="1"/>
    <col min="50" max="50" width="4.26171875" customWidth="1"/>
    <col min="51" max="51" width="12.578125" customWidth="1"/>
    <col min="52" max="54" width="6.578125" customWidth="1"/>
    <col min="55" max="55" width="4.68359375" customWidth="1"/>
    <col min="56" max="56" width="12.578125" customWidth="1"/>
    <col min="57" max="59" width="6.578125" customWidth="1"/>
  </cols>
  <sheetData>
    <row r="1" spans="1:59" ht="18.3" x14ac:dyDescent="0.7">
      <c r="A1" s="167" t="s">
        <v>186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69"/>
      <c r="AA1" s="169"/>
      <c r="AB1" s="169"/>
      <c r="AC1" s="169"/>
      <c r="AD1" s="169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59" x14ac:dyDescent="0.55000000000000004">
      <c r="A2" s="2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68"/>
      <c r="AA2" s="168"/>
      <c r="AB2" s="168"/>
      <c r="AC2" s="168"/>
      <c r="AD2" s="168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4.7" thickBot="1" x14ac:dyDescent="0.6">
      <c r="A3" s="2"/>
      <c r="B3" s="1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ht="14.7" thickBot="1" x14ac:dyDescent="0.6">
      <c r="A4" s="182" t="s">
        <v>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4"/>
      <c r="Y4" s="182" t="s">
        <v>3</v>
      </c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3"/>
    </row>
    <row r="5" spans="1:59" ht="14.7" thickBot="1" x14ac:dyDescent="0.6">
      <c r="A5" s="204" t="s">
        <v>4</v>
      </c>
      <c r="B5" s="204" t="s">
        <v>5</v>
      </c>
      <c r="C5" s="206" t="s">
        <v>6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4" t="s">
        <v>7</v>
      </c>
      <c r="U5" s="206" t="s">
        <v>8</v>
      </c>
      <c r="V5" s="207"/>
      <c r="W5" s="5"/>
      <c r="X5" s="146" t="s">
        <v>9</v>
      </c>
      <c r="Y5" s="208" t="s">
        <v>10</v>
      </c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4"/>
    </row>
    <row r="6" spans="1:59" ht="14.7" thickBot="1" x14ac:dyDescent="0.6">
      <c r="A6" s="205"/>
      <c r="B6" s="205"/>
      <c r="C6" s="6" t="s">
        <v>11</v>
      </c>
      <c r="D6" s="6" t="s">
        <v>12</v>
      </c>
      <c r="E6" s="6" t="s">
        <v>13</v>
      </c>
      <c r="F6" s="6" t="s">
        <v>14</v>
      </c>
      <c r="G6" s="67" t="s">
        <v>15</v>
      </c>
      <c r="H6" s="111" t="s">
        <v>16</v>
      </c>
      <c r="I6" s="67" t="s">
        <v>17</v>
      </c>
      <c r="J6" s="67" t="s">
        <v>18</v>
      </c>
      <c r="K6" s="67" t="s">
        <v>19</v>
      </c>
      <c r="L6" s="67" t="s">
        <v>20</v>
      </c>
      <c r="M6" s="67" t="s">
        <v>21</v>
      </c>
      <c r="N6" s="67" t="s">
        <v>22</v>
      </c>
      <c r="O6" s="67" t="s">
        <v>23</v>
      </c>
      <c r="P6" s="67" t="s">
        <v>24</v>
      </c>
      <c r="Q6" s="67" t="s">
        <v>25</v>
      </c>
      <c r="R6" s="67" t="s">
        <v>26</v>
      </c>
      <c r="S6" s="67" t="s">
        <v>27</v>
      </c>
      <c r="T6" s="7" t="s">
        <v>28</v>
      </c>
      <c r="U6" s="8" t="s">
        <v>29</v>
      </c>
      <c r="V6" s="9" t="s">
        <v>30</v>
      </c>
      <c r="W6" s="10" t="s">
        <v>31</v>
      </c>
      <c r="X6" s="11" t="s">
        <v>32</v>
      </c>
      <c r="Y6" s="199" t="s">
        <v>11</v>
      </c>
      <c r="Z6" s="200"/>
      <c r="AA6" s="200"/>
      <c r="AB6" s="200"/>
      <c r="AC6" s="201"/>
      <c r="AD6" s="178" t="s">
        <v>12</v>
      </c>
      <c r="AE6" s="179"/>
      <c r="AF6" s="179"/>
      <c r="AG6" s="179"/>
      <c r="AH6" s="180"/>
      <c r="AI6" s="178" t="s">
        <v>15</v>
      </c>
      <c r="AJ6" s="179"/>
      <c r="AK6" s="179"/>
      <c r="AL6" s="179"/>
      <c r="AM6" s="180"/>
      <c r="AN6" s="178" t="s">
        <v>18</v>
      </c>
      <c r="AO6" s="179"/>
      <c r="AP6" s="179"/>
      <c r="AQ6" s="179"/>
      <c r="AR6" s="180"/>
      <c r="AS6" s="178" t="s">
        <v>21</v>
      </c>
      <c r="AT6" s="179"/>
      <c r="AU6" s="179"/>
      <c r="AV6" s="179"/>
      <c r="AW6" s="180"/>
      <c r="AX6" s="178" t="s">
        <v>24</v>
      </c>
      <c r="AY6" s="179"/>
      <c r="AZ6" s="179"/>
      <c r="BA6" s="179"/>
      <c r="BB6" s="180"/>
      <c r="BC6" s="199" t="s">
        <v>27</v>
      </c>
      <c r="BD6" s="200"/>
      <c r="BE6" s="200"/>
      <c r="BF6" s="200"/>
      <c r="BG6" s="201"/>
    </row>
    <row r="7" spans="1:59" ht="14.7" thickBot="1" x14ac:dyDescent="0.6">
      <c r="A7" s="12" t="s">
        <v>33</v>
      </c>
      <c r="B7" s="13" t="s">
        <v>34</v>
      </c>
      <c r="C7" s="14">
        <f>AB8</f>
        <v>0.104</v>
      </c>
      <c r="D7" s="15">
        <f>AH8</f>
        <v>0.42449999999999999</v>
      </c>
      <c r="E7" s="6"/>
      <c r="F7" s="6"/>
      <c r="G7" s="6"/>
      <c r="H7" s="6"/>
      <c r="I7" s="6"/>
      <c r="J7" s="6"/>
      <c r="K7" s="6"/>
      <c r="L7" s="6">
        <v>0.104</v>
      </c>
      <c r="M7" s="6"/>
      <c r="N7" s="6"/>
      <c r="O7" s="6"/>
      <c r="P7" s="6"/>
      <c r="Q7" s="6"/>
      <c r="R7" s="6"/>
      <c r="S7" s="6">
        <v>0.104</v>
      </c>
      <c r="T7" s="16">
        <f t="shared" ref="T7:T14" si="0">AVERAGE(C7:S7)</f>
        <v>0.18412499999999998</v>
      </c>
      <c r="U7" s="190">
        <f>AVERAGE(T7:T14)</f>
        <v>0.149890625</v>
      </c>
      <c r="V7" s="193">
        <f>STDEV(T7:T14)/AVERAGE(U7)</f>
        <v>0.30160575353975233</v>
      </c>
      <c r="W7" s="17"/>
      <c r="X7" s="196"/>
      <c r="Y7" s="18" t="s">
        <v>35</v>
      </c>
      <c r="Z7" s="19" t="s">
        <v>36</v>
      </c>
      <c r="AA7" s="19" t="s">
        <v>37</v>
      </c>
      <c r="AB7" s="19" t="s">
        <v>38</v>
      </c>
      <c r="AC7" s="20" t="s">
        <v>39</v>
      </c>
      <c r="AD7" s="21" t="s">
        <v>35</v>
      </c>
      <c r="AE7" s="22" t="s">
        <v>36</v>
      </c>
      <c r="AF7" s="22" t="s">
        <v>37</v>
      </c>
      <c r="AG7" s="22" t="s">
        <v>38</v>
      </c>
      <c r="AH7" s="23" t="s">
        <v>39</v>
      </c>
      <c r="AI7" s="21" t="s">
        <v>35</v>
      </c>
      <c r="AJ7" s="22" t="s">
        <v>36</v>
      </c>
      <c r="AK7" s="22" t="s">
        <v>37</v>
      </c>
      <c r="AL7" s="22" t="s">
        <v>38</v>
      </c>
      <c r="AM7" s="23" t="s">
        <v>39</v>
      </c>
      <c r="AN7" s="21" t="s">
        <v>35</v>
      </c>
      <c r="AO7" s="22" t="s">
        <v>36</v>
      </c>
      <c r="AP7" s="22" t="s">
        <v>37</v>
      </c>
      <c r="AQ7" s="22" t="s">
        <v>38</v>
      </c>
      <c r="AR7" s="23" t="s">
        <v>39</v>
      </c>
      <c r="AS7" s="21" t="s">
        <v>35</v>
      </c>
      <c r="AT7" s="22" t="s">
        <v>36</v>
      </c>
      <c r="AU7" s="22" t="s">
        <v>37</v>
      </c>
      <c r="AV7" s="22" t="s">
        <v>38</v>
      </c>
      <c r="AW7" s="23" t="s">
        <v>39</v>
      </c>
      <c r="AX7" s="21" t="s">
        <v>35</v>
      </c>
      <c r="AY7" s="22" t="s">
        <v>36</v>
      </c>
      <c r="AZ7" s="22" t="s">
        <v>37</v>
      </c>
      <c r="BA7" s="22" t="s">
        <v>38</v>
      </c>
      <c r="BB7" s="23" t="s">
        <v>39</v>
      </c>
      <c r="BC7" s="21" t="s">
        <v>35</v>
      </c>
      <c r="BD7" s="22" t="s">
        <v>36</v>
      </c>
      <c r="BE7" s="22" t="s">
        <v>37</v>
      </c>
      <c r="BF7" s="22" t="s">
        <v>38</v>
      </c>
      <c r="BG7" s="23" t="s">
        <v>39</v>
      </c>
    </row>
    <row r="8" spans="1:59" ht="14.7" thickBot="1" x14ac:dyDescent="0.6">
      <c r="A8" s="12" t="s">
        <v>40</v>
      </c>
      <c r="B8" s="13" t="s">
        <v>34</v>
      </c>
      <c r="C8" s="15">
        <f>AC9</f>
        <v>0.29299999999999998</v>
      </c>
      <c r="D8" s="6"/>
      <c r="E8" s="14">
        <f>AG18</f>
        <v>0.104</v>
      </c>
      <c r="F8" s="6"/>
      <c r="G8" s="6"/>
      <c r="H8" s="6"/>
      <c r="I8" s="6"/>
      <c r="J8" s="6"/>
      <c r="K8" s="6"/>
      <c r="L8" s="6"/>
      <c r="M8" s="6">
        <v>0.104</v>
      </c>
      <c r="N8" s="6"/>
      <c r="O8" s="6"/>
      <c r="P8" s="6"/>
      <c r="Q8" s="6"/>
      <c r="R8" s="6"/>
      <c r="S8" s="6">
        <v>0.104</v>
      </c>
      <c r="T8" s="16">
        <f t="shared" si="0"/>
        <v>0.15125</v>
      </c>
      <c r="U8" s="191"/>
      <c r="V8" s="194"/>
      <c r="W8" s="24"/>
      <c r="X8" s="197"/>
      <c r="Y8" s="18">
        <v>1</v>
      </c>
      <c r="Z8" s="25" t="s">
        <v>41</v>
      </c>
      <c r="AA8" s="26">
        <v>3.49</v>
      </c>
      <c r="AB8" s="27">
        <v>0.104</v>
      </c>
      <c r="AC8" s="28">
        <f>AVERAGE(AA8:AB8)</f>
        <v>1.7970000000000002</v>
      </c>
      <c r="AD8" s="21">
        <v>29</v>
      </c>
      <c r="AE8" s="25" t="s">
        <v>41</v>
      </c>
      <c r="AF8" s="22">
        <v>0.52100000000000002</v>
      </c>
      <c r="AG8" s="22">
        <v>0.32800000000000001</v>
      </c>
      <c r="AH8" s="29">
        <f>AVERAGE(AF8:AG8)</f>
        <v>0.42449999999999999</v>
      </c>
      <c r="AI8" s="21">
        <v>58</v>
      </c>
      <c r="AJ8" s="25" t="s">
        <v>42</v>
      </c>
      <c r="AK8" s="22"/>
      <c r="AL8" s="22"/>
      <c r="AM8" s="23"/>
      <c r="AN8" s="21">
        <v>118</v>
      </c>
      <c r="AO8" s="25" t="s">
        <v>43</v>
      </c>
      <c r="AP8" s="30">
        <v>1.2</v>
      </c>
      <c r="AQ8" s="31">
        <v>0.104</v>
      </c>
      <c r="AR8" s="32">
        <f>AVERAGE(AP8:AQ8)</f>
        <v>0.65200000000000002</v>
      </c>
      <c r="AS8" s="21">
        <v>345</v>
      </c>
      <c r="AT8" s="25" t="s">
        <v>44</v>
      </c>
      <c r="AU8" s="22"/>
      <c r="AV8" s="22"/>
      <c r="AW8" s="23"/>
      <c r="AX8" s="21">
        <v>377</v>
      </c>
      <c r="AY8" s="25" t="s">
        <v>45</v>
      </c>
      <c r="AZ8" s="22"/>
      <c r="BA8" s="22"/>
      <c r="BB8" s="23"/>
      <c r="BC8" s="21">
        <v>1124</v>
      </c>
      <c r="BD8" s="25" t="s">
        <v>41</v>
      </c>
      <c r="BE8" s="22"/>
      <c r="BF8" s="22"/>
      <c r="BG8" s="23"/>
    </row>
    <row r="9" spans="1:59" ht="14.7" thickBot="1" x14ac:dyDescent="0.6">
      <c r="A9" s="12" t="s">
        <v>46</v>
      </c>
      <c r="B9" s="13" t="s">
        <v>34</v>
      </c>
      <c r="C9" s="15">
        <f>AC10</f>
        <v>0.27850000000000003</v>
      </c>
      <c r="D9" s="6"/>
      <c r="E9" s="6"/>
      <c r="F9" s="6">
        <v>0.104</v>
      </c>
      <c r="G9" s="6"/>
      <c r="H9" s="6"/>
      <c r="I9" s="6"/>
      <c r="J9" s="6"/>
      <c r="K9" s="6"/>
      <c r="L9" s="6"/>
      <c r="M9" s="6"/>
      <c r="N9" s="6">
        <v>0.218</v>
      </c>
      <c r="O9" s="6"/>
      <c r="P9" s="6"/>
      <c r="Q9" s="6"/>
      <c r="R9" s="6"/>
      <c r="S9" s="6">
        <v>0.104</v>
      </c>
      <c r="T9" s="16">
        <f t="shared" si="0"/>
        <v>0.176125</v>
      </c>
      <c r="U9" s="191"/>
      <c r="V9" s="194"/>
      <c r="W9" s="33">
        <f>STDEV(T7:T14)/(SQRT(COUNT(T7:T14)))/U7</f>
        <v>0.10663373678641871</v>
      </c>
      <c r="X9" s="197"/>
      <c r="Y9" s="18">
        <v>2</v>
      </c>
      <c r="Z9" s="25" t="s">
        <v>44</v>
      </c>
      <c r="AA9" s="25">
        <v>0.34699999999999998</v>
      </c>
      <c r="AB9" s="25">
        <v>0.23899999999999999</v>
      </c>
      <c r="AC9" s="34">
        <f>AVERAGE(AA9:AB9)</f>
        <v>0.29299999999999998</v>
      </c>
      <c r="AD9" s="21">
        <v>30</v>
      </c>
      <c r="AE9" s="25" t="s">
        <v>47</v>
      </c>
      <c r="AF9" s="22"/>
      <c r="AG9" s="22"/>
      <c r="AH9" s="23"/>
      <c r="AI9" s="21">
        <v>59</v>
      </c>
      <c r="AJ9" s="25" t="s">
        <v>48</v>
      </c>
      <c r="AK9" s="22"/>
      <c r="AL9" s="22"/>
      <c r="AM9" s="23"/>
      <c r="AN9" s="21">
        <v>119</v>
      </c>
      <c r="AO9" s="25" t="s">
        <v>49</v>
      </c>
      <c r="AP9" s="22"/>
      <c r="AQ9" s="22"/>
      <c r="AR9" s="23"/>
      <c r="AS9" s="21">
        <v>346</v>
      </c>
      <c r="AT9" s="25" t="s">
        <v>50</v>
      </c>
      <c r="AU9" s="22">
        <v>9.33</v>
      </c>
      <c r="AV9" s="22">
        <v>5.69</v>
      </c>
      <c r="AW9" s="35">
        <f>AVERAGE(AU9:AV9)</f>
        <v>7.51</v>
      </c>
      <c r="AX9" s="21">
        <v>378</v>
      </c>
      <c r="AY9" s="25" t="s">
        <v>47</v>
      </c>
      <c r="AZ9" s="22"/>
      <c r="BA9" s="22"/>
      <c r="BB9" s="23"/>
      <c r="BC9" s="21">
        <v>1125</v>
      </c>
      <c r="BD9" s="25" t="s">
        <v>44</v>
      </c>
      <c r="BE9" s="22"/>
      <c r="BF9" s="22"/>
      <c r="BG9" s="23"/>
    </row>
    <row r="10" spans="1:59" ht="14.7" thickBot="1" x14ac:dyDescent="0.6">
      <c r="A10" s="12" t="s">
        <v>51</v>
      </c>
      <c r="B10" s="13" t="s">
        <v>34</v>
      </c>
      <c r="C10" s="15">
        <f>AC11</f>
        <v>0.27800000000000002</v>
      </c>
      <c r="D10" s="6"/>
      <c r="E10" s="6"/>
      <c r="F10" s="6"/>
      <c r="G10" s="6">
        <v>0.104</v>
      </c>
      <c r="H10" s="6"/>
      <c r="I10" s="6"/>
      <c r="J10" s="6"/>
      <c r="K10" s="6"/>
      <c r="L10" s="6"/>
      <c r="M10" s="6"/>
      <c r="N10" s="6"/>
      <c r="O10" s="6">
        <v>0.104</v>
      </c>
      <c r="P10" s="6"/>
      <c r="Q10" s="6"/>
      <c r="R10" s="6"/>
      <c r="S10" s="6">
        <v>0.104</v>
      </c>
      <c r="T10" s="16">
        <f t="shared" si="0"/>
        <v>0.14749999999999999</v>
      </c>
      <c r="U10" s="191"/>
      <c r="V10" s="194"/>
      <c r="W10" s="24"/>
      <c r="X10" s="197"/>
      <c r="Y10" s="18">
        <v>3</v>
      </c>
      <c r="Z10" s="25" t="s">
        <v>52</v>
      </c>
      <c r="AA10" s="25">
        <v>0.45300000000000001</v>
      </c>
      <c r="AB10" s="25">
        <v>0.104</v>
      </c>
      <c r="AC10" s="34">
        <f>AVERAGE(AA10:AB10)</f>
        <v>0.27850000000000003</v>
      </c>
      <c r="AD10" s="21">
        <v>31</v>
      </c>
      <c r="AE10" s="25" t="s">
        <v>53</v>
      </c>
      <c r="AF10" s="22"/>
      <c r="AG10" s="22"/>
      <c r="AH10" s="23"/>
      <c r="AI10" s="21">
        <v>60</v>
      </c>
      <c r="AJ10" s="25" t="s">
        <v>54</v>
      </c>
      <c r="AK10" s="22"/>
      <c r="AL10" s="22"/>
      <c r="AM10" s="23"/>
      <c r="AN10" s="21">
        <v>120</v>
      </c>
      <c r="AO10" s="25" t="s">
        <v>55</v>
      </c>
      <c r="AP10" s="22"/>
      <c r="AQ10" s="22"/>
      <c r="AR10" s="23"/>
      <c r="AS10" s="21">
        <v>347</v>
      </c>
      <c r="AT10" s="25" t="s">
        <v>56</v>
      </c>
      <c r="AU10" s="22"/>
      <c r="AV10" s="22"/>
      <c r="AW10" s="23"/>
      <c r="AX10" s="21">
        <v>379</v>
      </c>
      <c r="AY10" s="25" t="s">
        <v>53</v>
      </c>
      <c r="AZ10" s="22"/>
      <c r="BA10" s="22"/>
      <c r="BB10" s="23"/>
      <c r="BC10" s="21">
        <v>1126</v>
      </c>
      <c r="BD10" s="25" t="s">
        <v>52</v>
      </c>
      <c r="BE10" s="22"/>
      <c r="BF10" s="22"/>
      <c r="BG10" s="23"/>
    </row>
    <row r="11" spans="1:59" ht="14.7" thickBot="1" x14ac:dyDescent="0.6">
      <c r="A11" s="12" t="s">
        <v>57</v>
      </c>
      <c r="B11" s="13" t="s">
        <v>34</v>
      </c>
      <c r="C11" s="15">
        <f>AC12</f>
        <v>0.42749999999999999</v>
      </c>
      <c r="D11" s="6"/>
      <c r="E11" s="6"/>
      <c r="F11" s="6"/>
      <c r="G11" s="6"/>
      <c r="H11" s="14">
        <f>AL18</f>
        <v>0.27700000000000002</v>
      </c>
      <c r="I11" s="6"/>
      <c r="J11" s="6"/>
      <c r="K11" s="6"/>
      <c r="L11" s="6"/>
      <c r="M11" s="6"/>
      <c r="N11" s="6"/>
      <c r="O11" s="6"/>
      <c r="P11" s="6">
        <v>0.104</v>
      </c>
      <c r="Q11" s="6"/>
      <c r="R11" s="6"/>
      <c r="S11" s="6">
        <v>0.104</v>
      </c>
      <c r="T11" s="16">
        <f t="shared" si="0"/>
        <v>0.22812499999999999</v>
      </c>
      <c r="U11" s="191"/>
      <c r="V11" s="194"/>
      <c r="W11" s="36">
        <f>STDEV(C15:S15)/(SQRT(COUNT((C15:S15))))/U7</f>
        <v>0.14262557610754761</v>
      </c>
      <c r="X11" s="197"/>
      <c r="Y11" s="18">
        <v>4</v>
      </c>
      <c r="Z11" s="25" t="s">
        <v>42</v>
      </c>
      <c r="AA11" s="25">
        <v>0.45200000000000001</v>
      </c>
      <c r="AB11" s="25">
        <v>0.104</v>
      </c>
      <c r="AC11" s="34">
        <f>AVERAGE(AA11:AB11)</f>
        <v>0.27800000000000002</v>
      </c>
      <c r="AD11" s="21">
        <v>32</v>
      </c>
      <c r="AE11" s="25" t="s">
        <v>58</v>
      </c>
      <c r="AF11" s="22"/>
      <c r="AG11" s="22"/>
      <c r="AH11" s="23"/>
      <c r="AI11" s="21">
        <v>61</v>
      </c>
      <c r="AJ11" s="25" t="s">
        <v>59</v>
      </c>
      <c r="AK11" s="22"/>
      <c r="AL11" s="22"/>
      <c r="AM11" s="23"/>
      <c r="AN11" s="21">
        <v>121</v>
      </c>
      <c r="AO11" s="25" t="s">
        <v>60</v>
      </c>
      <c r="AP11" s="22"/>
      <c r="AQ11" s="22"/>
      <c r="AR11" s="23"/>
      <c r="AS11" s="21">
        <v>348</v>
      </c>
      <c r="AT11" s="25" t="s">
        <v>61</v>
      </c>
      <c r="AU11" s="22"/>
      <c r="AV11" s="22"/>
      <c r="AW11" s="23"/>
      <c r="AX11" s="21">
        <v>380</v>
      </c>
      <c r="AY11" s="25" t="s">
        <v>58</v>
      </c>
      <c r="AZ11" s="31">
        <v>18.7</v>
      </c>
      <c r="BA11" s="37">
        <v>237</v>
      </c>
      <c r="BB11" s="38">
        <f>AVERAGE(AZ11:BA11)</f>
        <v>127.85</v>
      </c>
      <c r="BC11" s="21">
        <v>1127</v>
      </c>
      <c r="BD11" s="25" t="s">
        <v>42</v>
      </c>
      <c r="BE11" s="22"/>
      <c r="BF11" s="22"/>
      <c r="BG11" s="23"/>
    </row>
    <row r="12" spans="1:59" ht="14.7" thickBot="1" x14ac:dyDescent="0.6">
      <c r="A12" s="12" t="s">
        <v>62</v>
      </c>
      <c r="B12" s="13" t="s">
        <v>34</v>
      </c>
      <c r="C12" s="6">
        <v>0.104</v>
      </c>
      <c r="D12" s="6"/>
      <c r="E12" s="6"/>
      <c r="F12" s="6"/>
      <c r="G12" s="6"/>
      <c r="H12" s="6"/>
      <c r="I12" s="14">
        <f>AL27</f>
        <v>0.104</v>
      </c>
      <c r="J12" s="6"/>
      <c r="K12" s="6"/>
      <c r="L12" s="6"/>
      <c r="M12" s="6"/>
      <c r="N12" s="6"/>
      <c r="O12" s="6"/>
      <c r="P12" s="6"/>
      <c r="Q12" s="6">
        <v>0.104</v>
      </c>
      <c r="R12" s="6"/>
      <c r="S12" s="6">
        <v>0.104</v>
      </c>
      <c r="T12" s="16">
        <f t="shared" si="0"/>
        <v>0.104</v>
      </c>
      <c r="U12" s="191"/>
      <c r="V12" s="194"/>
      <c r="W12" s="24"/>
      <c r="X12" s="197"/>
      <c r="Y12" s="18">
        <v>5</v>
      </c>
      <c r="Z12" s="25" t="s">
        <v>45</v>
      </c>
      <c r="AA12" s="25">
        <v>0.63300000000000001</v>
      </c>
      <c r="AB12" s="25">
        <v>0.222</v>
      </c>
      <c r="AC12" s="34">
        <f>AVERAGE(AA12:AB12)</f>
        <v>0.42749999999999999</v>
      </c>
      <c r="AD12" s="39">
        <v>33</v>
      </c>
      <c r="AE12" s="40" t="s">
        <v>63</v>
      </c>
      <c r="AF12" s="41"/>
      <c r="AG12" s="41"/>
      <c r="AH12" s="42"/>
      <c r="AI12" s="39">
        <v>62</v>
      </c>
      <c r="AJ12" s="40" t="s">
        <v>64</v>
      </c>
      <c r="AK12" s="41"/>
      <c r="AL12" s="41"/>
      <c r="AM12" s="42"/>
      <c r="AN12" s="39">
        <v>122</v>
      </c>
      <c r="AO12" s="40" t="s">
        <v>65</v>
      </c>
      <c r="AP12" s="41"/>
      <c r="AQ12" s="41"/>
      <c r="AR12" s="42"/>
      <c r="AS12" s="39">
        <v>349</v>
      </c>
      <c r="AT12" s="40" t="s">
        <v>66</v>
      </c>
      <c r="AU12" s="41">
        <v>52.6</v>
      </c>
      <c r="AV12" s="41">
        <v>76.099999999999994</v>
      </c>
      <c r="AW12" s="43">
        <f>AVERAGE(AU12:AV12)</f>
        <v>64.349999999999994</v>
      </c>
      <c r="AX12" s="39">
        <v>381</v>
      </c>
      <c r="AY12" s="40" t="s">
        <v>63</v>
      </c>
      <c r="AZ12" s="44">
        <v>48.1</v>
      </c>
      <c r="BA12" s="45">
        <v>268</v>
      </c>
      <c r="BB12" s="46">
        <f>AVERAGE(AZ12:BA12)</f>
        <v>158.05000000000001</v>
      </c>
      <c r="BC12" s="21">
        <v>1128</v>
      </c>
      <c r="BD12" s="25" t="s">
        <v>45</v>
      </c>
      <c r="BE12" s="22"/>
      <c r="BF12" s="22"/>
      <c r="BG12" s="23"/>
    </row>
    <row r="13" spans="1:59" ht="14.7" thickBot="1" x14ac:dyDescent="0.6">
      <c r="A13" s="12" t="s">
        <v>67</v>
      </c>
      <c r="B13" s="13" t="s">
        <v>34</v>
      </c>
      <c r="C13" s="6">
        <v>0.104</v>
      </c>
      <c r="D13" s="6"/>
      <c r="E13" s="6"/>
      <c r="F13" s="6"/>
      <c r="G13" s="6"/>
      <c r="H13" s="6"/>
      <c r="I13" s="6"/>
      <c r="J13" s="14">
        <f>AQ8</f>
        <v>0.104</v>
      </c>
      <c r="K13" s="6"/>
      <c r="L13" s="6"/>
      <c r="M13" s="6"/>
      <c r="N13" s="6"/>
      <c r="O13" s="6"/>
      <c r="P13" s="6"/>
      <c r="Q13" s="6"/>
      <c r="R13" s="6">
        <v>0.104</v>
      </c>
      <c r="S13" s="6">
        <v>0.104</v>
      </c>
      <c r="T13" s="16">
        <f t="shared" si="0"/>
        <v>0.104</v>
      </c>
      <c r="U13" s="191"/>
      <c r="V13" s="194"/>
      <c r="W13" s="24"/>
      <c r="X13" s="197"/>
      <c r="Y13" s="18">
        <v>6</v>
      </c>
      <c r="Z13" s="25" t="s">
        <v>68</v>
      </c>
      <c r="AA13" s="19"/>
      <c r="AB13" s="19"/>
      <c r="AC13" s="20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21">
        <v>1129</v>
      </c>
      <c r="BD13" s="25" t="s">
        <v>68</v>
      </c>
      <c r="BE13" s="22"/>
      <c r="BF13" s="22"/>
      <c r="BG13" s="23"/>
    </row>
    <row r="14" spans="1:59" ht="14.7" thickBot="1" x14ac:dyDescent="0.6">
      <c r="A14" s="12" t="s">
        <v>69</v>
      </c>
      <c r="B14" s="13" t="s">
        <v>34</v>
      </c>
      <c r="C14" s="6">
        <v>0.104</v>
      </c>
      <c r="D14" s="6"/>
      <c r="E14" s="6"/>
      <c r="F14" s="6"/>
      <c r="G14" s="6"/>
      <c r="H14" s="6"/>
      <c r="I14" s="6"/>
      <c r="J14" s="6"/>
      <c r="K14" s="6">
        <v>0.104</v>
      </c>
      <c r="L14" s="6"/>
      <c r="M14" s="6"/>
      <c r="N14" s="6"/>
      <c r="O14" s="6"/>
      <c r="P14" s="6"/>
      <c r="Q14" s="6"/>
      <c r="R14" s="6"/>
      <c r="S14" s="6">
        <v>0.104</v>
      </c>
      <c r="T14" s="16">
        <f t="shared" si="0"/>
        <v>0.104</v>
      </c>
      <c r="U14" s="192"/>
      <c r="V14" s="195"/>
      <c r="W14" s="48"/>
      <c r="X14" s="198"/>
      <c r="Y14" s="18">
        <v>7</v>
      </c>
      <c r="Z14" s="25" t="s">
        <v>43</v>
      </c>
      <c r="AA14" s="19"/>
      <c r="AB14" s="19"/>
      <c r="AC14" s="20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21">
        <v>1130</v>
      </c>
      <c r="BD14" s="25" t="s">
        <v>43</v>
      </c>
      <c r="BE14" s="22"/>
      <c r="BF14" s="22"/>
      <c r="BG14" s="23"/>
    </row>
    <row r="15" spans="1:59" ht="14.7" thickBot="1" x14ac:dyDescent="0.6">
      <c r="A15" s="49" t="s">
        <v>70</v>
      </c>
      <c r="B15" s="50"/>
      <c r="C15" s="51">
        <f>AVERAGE(C11:C14)</f>
        <v>0.18487499999999998</v>
      </c>
      <c r="D15" s="51">
        <f t="shared" ref="D15:R15" si="1">AVERAGE(D7:D14)</f>
        <v>0.42449999999999999</v>
      </c>
      <c r="E15" s="51">
        <f t="shared" si="1"/>
        <v>0.104</v>
      </c>
      <c r="F15" s="51">
        <f t="shared" si="1"/>
        <v>0.104</v>
      </c>
      <c r="G15" s="51">
        <f t="shared" si="1"/>
        <v>0.104</v>
      </c>
      <c r="H15" s="51">
        <f t="shared" si="1"/>
        <v>0.27700000000000002</v>
      </c>
      <c r="I15" s="51">
        <f t="shared" si="1"/>
        <v>0.104</v>
      </c>
      <c r="J15" s="51">
        <f t="shared" si="1"/>
        <v>0.104</v>
      </c>
      <c r="K15" s="51">
        <f t="shared" si="1"/>
        <v>0.104</v>
      </c>
      <c r="L15" s="51">
        <f t="shared" si="1"/>
        <v>0.104</v>
      </c>
      <c r="M15" s="51">
        <f t="shared" si="1"/>
        <v>0.104</v>
      </c>
      <c r="N15" s="51">
        <f t="shared" si="1"/>
        <v>0.218</v>
      </c>
      <c r="O15" s="51">
        <f t="shared" si="1"/>
        <v>0.104</v>
      </c>
      <c r="P15" s="51">
        <f t="shared" si="1"/>
        <v>0.104</v>
      </c>
      <c r="Q15" s="51">
        <f t="shared" si="1"/>
        <v>0.104</v>
      </c>
      <c r="R15" s="51">
        <f t="shared" si="1"/>
        <v>0.104</v>
      </c>
      <c r="S15" s="51">
        <f>AVERAGE(S11:S14)</f>
        <v>0.104</v>
      </c>
      <c r="T15" s="51">
        <f>AVERAGE(T7:T14)</f>
        <v>0.149890625</v>
      </c>
      <c r="U15" s="52"/>
      <c r="V15" s="52"/>
      <c r="W15" s="53"/>
      <c r="X15" s="54"/>
      <c r="Y15" s="18">
        <v>8</v>
      </c>
      <c r="Z15" s="25" t="s">
        <v>71</v>
      </c>
      <c r="AA15" s="19"/>
      <c r="AB15" s="19"/>
      <c r="AC15" s="20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21">
        <v>1131</v>
      </c>
      <c r="BD15" s="25" t="s">
        <v>71</v>
      </c>
      <c r="BE15" s="22"/>
      <c r="BF15" s="22"/>
      <c r="BG15" s="23"/>
    </row>
    <row r="16" spans="1:59" ht="14.7" thickBot="1" x14ac:dyDescent="0.6">
      <c r="A16" s="49" t="s">
        <v>72</v>
      </c>
      <c r="B16" s="50"/>
      <c r="C16" s="55">
        <f>(STDEV(C11:C14)/AVERAGE(C11:C14))*100</f>
        <v>87.491548343475316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1">
        <f>(STDEV(S11:S14)/AVERAGE(S11:S14))*100</f>
        <v>0</v>
      </c>
      <c r="T16" s="55">
        <f>(STDEV(T7:T14)/AVERAGE(T7:T14))*100</f>
        <v>30.160575353975233</v>
      </c>
      <c r="U16" s="52"/>
      <c r="V16" s="52"/>
      <c r="W16" s="53"/>
      <c r="X16" s="54"/>
      <c r="Y16" s="18">
        <v>9</v>
      </c>
      <c r="Z16" s="25" t="s">
        <v>47</v>
      </c>
      <c r="AA16" s="19">
        <v>0.75900000000000001</v>
      </c>
      <c r="AB16" s="19">
        <v>6.18</v>
      </c>
      <c r="AC16" s="57">
        <f>AVERAGE(AA16:AB16)</f>
        <v>3.4695</v>
      </c>
      <c r="AD16" s="178" t="s">
        <v>13</v>
      </c>
      <c r="AE16" s="179"/>
      <c r="AF16" s="179"/>
      <c r="AG16" s="179"/>
      <c r="AH16" s="180"/>
      <c r="AI16" s="178" t="s">
        <v>16</v>
      </c>
      <c r="AJ16" s="179"/>
      <c r="AK16" s="179"/>
      <c r="AL16" s="179"/>
      <c r="AM16" s="180"/>
      <c r="AN16" s="178" t="s">
        <v>19</v>
      </c>
      <c r="AO16" s="179"/>
      <c r="AP16" s="179"/>
      <c r="AQ16" s="179"/>
      <c r="AR16" s="180"/>
      <c r="AS16" s="178" t="s">
        <v>22</v>
      </c>
      <c r="AT16" s="179"/>
      <c r="AU16" s="179"/>
      <c r="AV16" s="179"/>
      <c r="AW16" s="180"/>
      <c r="AX16" s="178" t="s">
        <v>25</v>
      </c>
      <c r="AY16" s="179"/>
      <c r="AZ16" s="179"/>
      <c r="BA16" s="179"/>
      <c r="BB16" s="180"/>
      <c r="BC16" s="21">
        <v>1132</v>
      </c>
      <c r="BD16" s="25" t="s">
        <v>47</v>
      </c>
      <c r="BE16" s="22"/>
      <c r="BF16" s="22"/>
      <c r="BG16" s="23"/>
    </row>
    <row r="17" spans="1:59" ht="14.7" thickBot="1" x14ac:dyDescent="0.6">
      <c r="A17" s="12" t="s">
        <v>73</v>
      </c>
      <c r="B17" s="58">
        <v>3.6</v>
      </c>
      <c r="C17" s="59">
        <f>AC16</f>
        <v>3.4695</v>
      </c>
      <c r="D17" s="58">
        <v>4.1500000000000004</v>
      </c>
      <c r="E17" s="58"/>
      <c r="F17" s="58"/>
      <c r="G17" s="58"/>
      <c r="H17" s="59">
        <f>AM19</f>
        <v>8.625</v>
      </c>
      <c r="I17" s="58"/>
      <c r="J17" s="58"/>
      <c r="K17" s="58"/>
      <c r="L17" s="58">
        <v>3.23</v>
      </c>
      <c r="M17" s="58"/>
      <c r="N17" s="58"/>
      <c r="O17" s="58"/>
      <c r="P17" s="58">
        <v>3.61</v>
      </c>
      <c r="Q17" s="58"/>
      <c r="R17" s="58"/>
      <c r="S17" s="58">
        <v>7.52</v>
      </c>
      <c r="T17" s="60">
        <f>AVERAGE(C17:S17)</f>
        <v>5.1007500000000006</v>
      </c>
      <c r="U17" s="186">
        <f>AVERAGE(T17:T20)</f>
        <v>5.3330125000000006</v>
      </c>
      <c r="V17" s="172">
        <f>STDEV(T17:T20)/AVERAGE(U17)</f>
        <v>0.20692690176819653</v>
      </c>
      <c r="W17" s="61"/>
      <c r="X17" s="187">
        <f>(U17/3.6)*100</f>
        <v>148.13923611111113</v>
      </c>
      <c r="Y17" s="18">
        <v>10</v>
      </c>
      <c r="Z17" s="25" t="s">
        <v>50</v>
      </c>
      <c r="AA17" s="19">
        <v>0.84099999999999997</v>
      </c>
      <c r="AB17" s="19">
        <v>8.19</v>
      </c>
      <c r="AC17" s="57">
        <f t="shared" ref="AC17:AC31" si="2">AVERAGE(AA17:AB17)</f>
        <v>4.5154999999999994</v>
      </c>
      <c r="AD17" s="21" t="s">
        <v>35</v>
      </c>
      <c r="AE17" s="22" t="s">
        <v>36</v>
      </c>
      <c r="AF17" s="22" t="s">
        <v>37</v>
      </c>
      <c r="AG17" s="22" t="s">
        <v>38</v>
      </c>
      <c r="AH17" s="23" t="s">
        <v>39</v>
      </c>
      <c r="AI17" s="21" t="s">
        <v>35</v>
      </c>
      <c r="AJ17" s="22" t="s">
        <v>36</v>
      </c>
      <c r="AK17" s="22" t="s">
        <v>37</v>
      </c>
      <c r="AL17" s="22" t="s">
        <v>38</v>
      </c>
      <c r="AM17" s="23" t="s">
        <v>39</v>
      </c>
      <c r="AN17" s="21" t="s">
        <v>35</v>
      </c>
      <c r="AO17" s="22" t="s">
        <v>36</v>
      </c>
      <c r="AP17" s="22" t="s">
        <v>37</v>
      </c>
      <c r="AQ17" s="22" t="s">
        <v>38</v>
      </c>
      <c r="AR17" s="23" t="s">
        <v>39</v>
      </c>
      <c r="AS17" s="21" t="s">
        <v>35</v>
      </c>
      <c r="AT17" s="22" t="s">
        <v>36</v>
      </c>
      <c r="AU17" s="22" t="s">
        <v>37</v>
      </c>
      <c r="AV17" s="22" t="s">
        <v>38</v>
      </c>
      <c r="AW17" s="23" t="s">
        <v>39</v>
      </c>
      <c r="AX17" s="21" t="s">
        <v>35</v>
      </c>
      <c r="AY17" s="22" t="s">
        <v>36</v>
      </c>
      <c r="AZ17" s="22" t="s">
        <v>37</v>
      </c>
      <c r="BA17" s="22" t="s">
        <v>38</v>
      </c>
      <c r="BB17" s="23" t="s">
        <v>39</v>
      </c>
      <c r="BC17" s="21">
        <v>1133</v>
      </c>
      <c r="BD17" s="25" t="s">
        <v>50</v>
      </c>
      <c r="BE17" s="22"/>
      <c r="BF17" s="22"/>
      <c r="BG17" s="23"/>
    </row>
    <row r="18" spans="1:59" ht="14.7" thickBot="1" x14ac:dyDescent="0.6">
      <c r="A18" s="12" t="s">
        <v>74</v>
      </c>
      <c r="B18" s="58">
        <v>3.6</v>
      </c>
      <c r="C18" s="59">
        <f>AC17</f>
        <v>4.5154999999999994</v>
      </c>
      <c r="D18" s="58"/>
      <c r="E18" s="58">
        <v>5.12</v>
      </c>
      <c r="F18" s="58"/>
      <c r="G18" s="58"/>
      <c r="H18" s="58"/>
      <c r="I18" s="58">
        <v>6.27</v>
      </c>
      <c r="J18" s="58"/>
      <c r="K18" s="58"/>
      <c r="L18" s="58"/>
      <c r="M18" s="59">
        <f>AW9</f>
        <v>7.51</v>
      </c>
      <c r="N18" s="58"/>
      <c r="O18" s="58"/>
      <c r="P18" s="58"/>
      <c r="Q18" s="62">
        <v>11.3</v>
      </c>
      <c r="R18" s="58"/>
      <c r="S18" s="58">
        <v>6.96</v>
      </c>
      <c r="T18" s="60">
        <f>AVERAGE(C18:S18)</f>
        <v>6.9459166666666681</v>
      </c>
      <c r="U18" s="186">
        <f>AVERAGE(U4:U17)</f>
        <v>2.7414515625000004</v>
      </c>
      <c r="V18" s="172"/>
      <c r="W18" s="33">
        <f>STDEV(T17:T20)/(SQRT(COUNT(T17:T20)))/U17</f>
        <v>0.10346345088409827</v>
      </c>
      <c r="X18" s="188"/>
      <c r="Y18" s="18">
        <v>11</v>
      </c>
      <c r="Z18" s="25" t="s">
        <v>49</v>
      </c>
      <c r="AA18" s="19">
        <v>0.79100000000000004</v>
      </c>
      <c r="AB18" s="19">
        <v>6.38</v>
      </c>
      <c r="AC18" s="57">
        <f t="shared" si="2"/>
        <v>3.5855000000000001</v>
      </c>
      <c r="AD18" s="21">
        <v>40</v>
      </c>
      <c r="AE18" s="25" t="s">
        <v>44</v>
      </c>
      <c r="AF18" s="37">
        <v>0.85499999999999998</v>
      </c>
      <c r="AG18" s="31">
        <v>0.104</v>
      </c>
      <c r="AH18" s="32">
        <f>AVERAGE(AF18:AG18)</f>
        <v>0.47949999999999998</v>
      </c>
      <c r="AI18" s="21">
        <v>66</v>
      </c>
      <c r="AJ18" s="25" t="s">
        <v>45</v>
      </c>
      <c r="AK18" s="37">
        <v>288</v>
      </c>
      <c r="AL18" s="31">
        <v>0.27700000000000002</v>
      </c>
      <c r="AM18" s="38">
        <f>AVERAGE(AK18:AL18)</f>
        <v>144.13849999999999</v>
      </c>
      <c r="AN18" s="21">
        <v>176</v>
      </c>
      <c r="AO18" s="25" t="s">
        <v>71</v>
      </c>
      <c r="AP18" s="22"/>
      <c r="AQ18" s="22"/>
      <c r="AR18" s="23"/>
      <c r="AS18" s="21">
        <v>359</v>
      </c>
      <c r="AT18" s="25" t="s">
        <v>52</v>
      </c>
      <c r="AU18" s="22"/>
      <c r="AV18" s="22"/>
      <c r="AW18" s="23"/>
      <c r="AX18" s="21">
        <v>386</v>
      </c>
      <c r="AY18" s="25" t="s">
        <v>68</v>
      </c>
      <c r="AZ18" s="22"/>
      <c r="BA18" s="22"/>
      <c r="BB18" s="23"/>
      <c r="BC18" s="21">
        <v>1134</v>
      </c>
      <c r="BD18" s="25" t="s">
        <v>49</v>
      </c>
      <c r="BE18" s="22"/>
      <c r="BF18" s="22"/>
      <c r="BG18" s="23"/>
    </row>
    <row r="19" spans="1:59" ht="14.7" thickBot="1" x14ac:dyDescent="0.6">
      <c r="A19" s="12" t="s">
        <v>75</v>
      </c>
      <c r="B19" s="58">
        <v>3.6</v>
      </c>
      <c r="C19" s="59">
        <f>AC18</f>
        <v>3.5855000000000001</v>
      </c>
      <c r="D19" s="58"/>
      <c r="E19" s="58"/>
      <c r="F19" s="58">
        <v>5.24</v>
      </c>
      <c r="G19" s="58"/>
      <c r="H19" s="58"/>
      <c r="I19" s="58"/>
      <c r="J19" s="58">
        <v>3.86</v>
      </c>
      <c r="K19" s="58"/>
      <c r="L19" s="58"/>
      <c r="M19" s="58"/>
      <c r="N19" s="58">
        <v>5.34</v>
      </c>
      <c r="O19" s="58"/>
      <c r="P19" s="58"/>
      <c r="Q19" s="58"/>
      <c r="R19" s="58">
        <v>4.24</v>
      </c>
      <c r="S19" s="58">
        <v>6.49</v>
      </c>
      <c r="T19" s="60">
        <f>AVERAGE(C19:S19)</f>
        <v>4.7925833333333339</v>
      </c>
      <c r="U19" s="186">
        <f>AVERAGE(U5:U18)</f>
        <v>2.7414515625000004</v>
      </c>
      <c r="V19" s="172"/>
      <c r="W19" s="33">
        <f>STDEV(C21:S21)/(SQRT(COUNT((C21:S21))))/U17</f>
        <v>0.1023344872602884</v>
      </c>
      <c r="X19" s="188"/>
      <c r="Y19" s="18">
        <v>12</v>
      </c>
      <c r="Z19" s="25" t="s">
        <v>48</v>
      </c>
      <c r="AA19" s="19">
        <v>0.75800000000000001</v>
      </c>
      <c r="AB19" s="19">
        <v>6.89</v>
      </c>
      <c r="AC19" s="57">
        <f t="shared" si="2"/>
        <v>3.8239999999999998</v>
      </c>
      <c r="AD19" s="21">
        <v>41</v>
      </c>
      <c r="AE19" s="25" t="s">
        <v>50</v>
      </c>
      <c r="AF19" s="22"/>
      <c r="AG19" s="22"/>
      <c r="AH19" s="23"/>
      <c r="AI19" s="21">
        <v>67</v>
      </c>
      <c r="AJ19" s="25" t="s">
        <v>47</v>
      </c>
      <c r="AK19" s="63">
        <v>11</v>
      </c>
      <c r="AL19" s="22">
        <v>6.25</v>
      </c>
      <c r="AM19" s="35">
        <f>AVERAGE(AK19:AL19)</f>
        <v>8.625</v>
      </c>
      <c r="AN19" s="21">
        <v>177</v>
      </c>
      <c r="AO19" s="25" t="s">
        <v>48</v>
      </c>
      <c r="AP19" s="22"/>
      <c r="AQ19" s="22"/>
      <c r="AR19" s="23"/>
      <c r="AS19" s="21">
        <v>360</v>
      </c>
      <c r="AT19" s="25" t="s">
        <v>49</v>
      </c>
      <c r="AU19" s="22"/>
      <c r="AV19" s="22"/>
      <c r="AW19" s="23"/>
      <c r="AX19" s="21">
        <v>387</v>
      </c>
      <c r="AY19" s="25" t="s">
        <v>50</v>
      </c>
      <c r="AZ19" s="22"/>
      <c r="BA19" s="22"/>
      <c r="BB19" s="23"/>
      <c r="BC19" s="21">
        <v>1135</v>
      </c>
      <c r="BD19" s="25" t="s">
        <v>48</v>
      </c>
      <c r="BE19" s="22"/>
      <c r="BF19" s="22"/>
      <c r="BG19" s="23"/>
    </row>
    <row r="20" spans="1:59" ht="14.7" thickBot="1" x14ac:dyDescent="0.6">
      <c r="A20" s="12" t="s">
        <v>76</v>
      </c>
      <c r="B20" s="58">
        <v>3.6</v>
      </c>
      <c r="C20" s="59">
        <f>AC19</f>
        <v>3.8239999999999998</v>
      </c>
      <c r="D20" s="58"/>
      <c r="E20" s="58"/>
      <c r="F20" s="58"/>
      <c r="G20" s="58">
        <v>4.4800000000000004</v>
      </c>
      <c r="H20" s="58"/>
      <c r="I20" s="58"/>
      <c r="J20" s="58"/>
      <c r="K20" s="58">
        <v>3.49</v>
      </c>
      <c r="L20" s="58"/>
      <c r="M20" s="58"/>
      <c r="N20" s="58"/>
      <c r="O20" s="58">
        <v>2.72</v>
      </c>
      <c r="P20" s="58"/>
      <c r="Q20" s="58"/>
      <c r="R20" s="58"/>
      <c r="S20" s="58">
        <v>7.95</v>
      </c>
      <c r="T20" s="60">
        <f>AVERAGE(C20:S20)</f>
        <v>4.4928000000000008</v>
      </c>
      <c r="U20" s="186">
        <f>AVERAGE(U6:U19)</f>
        <v>2.7414515625000004</v>
      </c>
      <c r="V20" s="172"/>
      <c r="W20" s="64"/>
      <c r="X20" s="189"/>
      <c r="Y20" s="18">
        <v>13</v>
      </c>
      <c r="Z20" s="25" t="s">
        <v>53</v>
      </c>
      <c r="AA20" s="19">
        <v>6.87</v>
      </c>
      <c r="AB20" s="19">
        <v>9.1300000000000008</v>
      </c>
      <c r="AC20" s="57">
        <f t="shared" si="2"/>
        <v>8</v>
      </c>
      <c r="AD20" s="21">
        <v>42</v>
      </c>
      <c r="AE20" s="25" t="s">
        <v>56</v>
      </c>
      <c r="AF20" s="22"/>
      <c r="AG20" s="22"/>
      <c r="AH20" s="23"/>
      <c r="AI20" s="21">
        <v>68</v>
      </c>
      <c r="AJ20" s="25" t="s">
        <v>53</v>
      </c>
      <c r="AK20" s="22"/>
      <c r="AL20" s="22"/>
      <c r="AM20" s="23"/>
      <c r="AN20" s="21">
        <v>178</v>
      </c>
      <c r="AO20" s="25" t="s">
        <v>54</v>
      </c>
      <c r="AP20" s="22"/>
      <c r="AQ20" s="22"/>
      <c r="AR20" s="23"/>
      <c r="AS20" s="21">
        <v>361</v>
      </c>
      <c r="AT20" s="25" t="s">
        <v>55</v>
      </c>
      <c r="AU20" s="22"/>
      <c r="AV20" s="22"/>
      <c r="AW20" s="23"/>
      <c r="AX20" s="21">
        <v>388</v>
      </c>
      <c r="AY20" s="25" t="s">
        <v>56</v>
      </c>
      <c r="AZ20" s="22"/>
      <c r="BA20" s="22"/>
      <c r="BB20" s="23"/>
      <c r="BC20" s="21">
        <v>1136</v>
      </c>
      <c r="BD20" s="25" t="s">
        <v>53</v>
      </c>
      <c r="BE20" s="22"/>
      <c r="BF20" s="22"/>
      <c r="BG20" s="23"/>
    </row>
    <row r="21" spans="1:59" ht="14.7" thickBot="1" x14ac:dyDescent="0.6">
      <c r="A21" s="49" t="s">
        <v>77</v>
      </c>
      <c r="B21" s="50"/>
      <c r="C21" s="65">
        <f t="shared" ref="C21:S21" si="3">AVERAGE(C17:C20)</f>
        <v>3.8486249999999997</v>
      </c>
      <c r="D21" s="65">
        <f t="shared" si="3"/>
        <v>4.1500000000000004</v>
      </c>
      <c r="E21" s="65">
        <f t="shared" si="3"/>
        <v>5.12</v>
      </c>
      <c r="F21" s="65">
        <f t="shared" si="3"/>
        <v>5.24</v>
      </c>
      <c r="G21" s="65">
        <f t="shared" si="3"/>
        <v>4.4800000000000004</v>
      </c>
      <c r="H21" s="65">
        <f t="shared" si="3"/>
        <v>8.625</v>
      </c>
      <c r="I21" s="65">
        <f t="shared" si="3"/>
        <v>6.27</v>
      </c>
      <c r="J21" s="65">
        <f t="shared" si="3"/>
        <v>3.86</v>
      </c>
      <c r="K21" s="65">
        <f t="shared" si="3"/>
        <v>3.49</v>
      </c>
      <c r="L21" s="65">
        <f t="shared" si="3"/>
        <v>3.23</v>
      </c>
      <c r="M21" s="65">
        <f t="shared" si="3"/>
        <v>7.51</v>
      </c>
      <c r="N21" s="65">
        <f t="shared" si="3"/>
        <v>5.34</v>
      </c>
      <c r="O21" s="65">
        <f t="shared" si="3"/>
        <v>2.72</v>
      </c>
      <c r="P21" s="65">
        <f t="shared" si="3"/>
        <v>3.61</v>
      </c>
      <c r="Q21" s="65">
        <f t="shared" si="3"/>
        <v>11.3</v>
      </c>
      <c r="R21" s="65">
        <f t="shared" si="3"/>
        <v>4.24</v>
      </c>
      <c r="S21" s="65">
        <f t="shared" si="3"/>
        <v>7.2299999999999995</v>
      </c>
      <c r="T21" s="65">
        <f>AVERAGE(T17:T20)</f>
        <v>5.3330125000000006</v>
      </c>
      <c r="U21" s="52"/>
      <c r="V21" s="52"/>
      <c r="W21" s="53"/>
      <c r="X21" s="54"/>
      <c r="Y21" s="18">
        <v>14</v>
      </c>
      <c r="Z21" s="25" t="s">
        <v>56</v>
      </c>
      <c r="AA21" s="19">
        <v>6.98</v>
      </c>
      <c r="AB21" s="19">
        <v>9.94</v>
      </c>
      <c r="AC21" s="57">
        <f t="shared" si="2"/>
        <v>8.4600000000000009</v>
      </c>
      <c r="AD21" s="21">
        <v>43</v>
      </c>
      <c r="AE21" s="25" t="s">
        <v>61</v>
      </c>
      <c r="AF21" s="22"/>
      <c r="AG21" s="22"/>
      <c r="AH21" s="23"/>
      <c r="AI21" s="21">
        <v>69</v>
      </c>
      <c r="AJ21" s="25" t="s">
        <v>58</v>
      </c>
      <c r="AK21" s="22"/>
      <c r="AL21" s="22"/>
      <c r="AM21" s="23"/>
      <c r="AN21" s="21">
        <v>179</v>
      </c>
      <c r="AO21" s="25" t="s">
        <v>59</v>
      </c>
      <c r="AP21" s="22"/>
      <c r="AQ21" s="22"/>
      <c r="AR21" s="23"/>
      <c r="AS21" s="21">
        <v>362</v>
      </c>
      <c r="AT21" s="25" t="s">
        <v>60</v>
      </c>
      <c r="AU21" s="22"/>
      <c r="AV21" s="22"/>
      <c r="AW21" s="23"/>
      <c r="AX21" s="21">
        <v>389</v>
      </c>
      <c r="AY21" s="25" t="s">
        <v>61</v>
      </c>
      <c r="AZ21" s="22"/>
      <c r="BA21" s="22"/>
      <c r="BB21" s="23"/>
      <c r="BC21" s="21">
        <v>1137</v>
      </c>
      <c r="BD21" s="25" t="s">
        <v>56</v>
      </c>
      <c r="BE21" s="22"/>
      <c r="BF21" s="22"/>
      <c r="BG21" s="23"/>
    </row>
    <row r="22" spans="1:59" ht="14.7" thickBot="1" x14ac:dyDescent="0.6">
      <c r="A22" s="49" t="s">
        <v>72</v>
      </c>
      <c r="B22" s="50"/>
      <c r="C22" s="55">
        <f>(STDEV(C17:C20)/AVERAGE(C17:C20))*100</f>
        <v>12.171537333948223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65">
        <f>(STDEV(S17:S20)/AVERAGE(S17:S20))*100</f>
        <v>8.8310898589660969</v>
      </c>
      <c r="T22" s="55">
        <f>(STDEV(T17:T20)/AVERAGE(T17:T20))*100</f>
        <v>20.692690176819653</v>
      </c>
      <c r="U22" s="52"/>
      <c r="V22" s="52"/>
      <c r="W22" s="53"/>
      <c r="X22" s="54"/>
      <c r="Y22" s="18">
        <v>15</v>
      </c>
      <c r="Z22" s="25" t="s">
        <v>55</v>
      </c>
      <c r="AA22" s="19">
        <v>6.81</v>
      </c>
      <c r="AB22" s="19">
        <v>8.25</v>
      </c>
      <c r="AC22" s="57">
        <f t="shared" si="2"/>
        <v>7.5299999999999994</v>
      </c>
      <c r="AD22" s="39">
        <v>44</v>
      </c>
      <c r="AE22" s="40" t="s">
        <v>66</v>
      </c>
      <c r="AF22" s="41"/>
      <c r="AG22" s="41"/>
      <c r="AH22" s="42"/>
      <c r="AI22" s="39">
        <v>70</v>
      </c>
      <c r="AJ22" s="40" t="s">
        <v>63</v>
      </c>
      <c r="AK22" s="41">
        <v>60.4</v>
      </c>
      <c r="AL22" s="41">
        <v>72.099999999999994</v>
      </c>
      <c r="AM22" s="43">
        <f>AVERAGE(AK22:AL22)</f>
        <v>66.25</v>
      </c>
      <c r="AN22" s="39">
        <v>180</v>
      </c>
      <c r="AO22" s="40" t="s">
        <v>64</v>
      </c>
      <c r="AP22" s="41"/>
      <c r="AQ22" s="41"/>
      <c r="AR22" s="42"/>
      <c r="AS22" s="39">
        <v>363</v>
      </c>
      <c r="AT22" s="40" t="s">
        <v>65</v>
      </c>
      <c r="AU22" s="41"/>
      <c r="AV22" s="41"/>
      <c r="AW22" s="42"/>
      <c r="AX22" s="39">
        <v>390</v>
      </c>
      <c r="AY22" s="40" t="s">
        <v>66</v>
      </c>
      <c r="AZ22" s="41"/>
      <c r="BA22" s="41"/>
      <c r="BB22" s="42"/>
      <c r="BC22" s="21">
        <v>1138</v>
      </c>
      <c r="BD22" s="25" t="s">
        <v>55</v>
      </c>
      <c r="BE22" s="22"/>
      <c r="BF22" s="22"/>
      <c r="BG22" s="23"/>
    </row>
    <row r="23" spans="1:59" ht="14.7" thickBot="1" x14ac:dyDescent="0.6">
      <c r="A23" s="12" t="s">
        <v>78</v>
      </c>
      <c r="B23" s="13">
        <v>10.9</v>
      </c>
      <c r="C23" s="59">
        <v>8</v>
      </c>
      <c r="D23" s="62">
        <v>10.3</v>
      </c>
      <c r="E23" s="62"/>
      <c r="F23" s="62"/>
      <c r="G23" s="62"/>
      <c r="H23" s="62">
        <v>14</v>
      </c>
      <c r="I23" s="62"/>
      <c r="J23" s="62"/>
      <c r="K23" s="58"/>
      <c r="L23" s="58">
        <v>7.93</v>
      </c>
      <c r="M23" s="62"/>
      <c r="N23" s="62"/>
      <c r="O23" s="58"/>
      <c r="P23" s="58">
        <v>8.6</v>
      </c>
      <c r="Q23" s="62"/>
      <c r="R23" s="62"/>
      <c r="S23" s="62">
        <v>13.4</v>
      </c>
      <c r="T23" s="66">
        <f>AVERAGE(C23:S23)</f>
        <v>10.371666666666666</v>
      </c>
      <c r="U23" s="170">
        <f>AVERAGE(T23:T26)</f>
        <v>10.8125</v>
      </c>
      <c r="V23" s="172">
        <f>STDEV(T23:T26)/AVERAGE(U23)</f>
        <v>0.1401611018527347</v>
      </c>
      <c r="W23" s="61"/>
      <c r="X23" s="173">
        <f>(U23/10.9)*100</f>
        <v>99.197247706422019</v>
      </c>
      <c r="Y23" s="18">
        <v>16</v>
      </c>
      <c r="Z23" s="25" t="s">
        <v>54</v>
      </c>
      <c r="AA23" s="19">
        <v>6.53</v>
      </c>
      <c r="AB23" s="19">
        <v>8.91</v>
      </c>
      <c r="AC23" s="57">
        <f t="shared" si="2"/>
        <v>7.7200000000000006</v>
      </c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21">
        <v>1139</v>
      </c>
      <c r="BD23" s="25" t="s">
        <v>54</v>
      </c>
      <c r="BE23" s="22"/>
      <c r="BF23" s="22"/>
      <c r="BG23" s="23"/>
    </row>
    <row r="24" spans="1:59" ht="14.7" thickBot="1" x14ac:dyDescent="0.6">
      <c r="A24" s="12" t="s">
        <v>79</v>
      </c>
      <c r="B24" s="13">
        <v>10.9</v>
      </c>
      <c r="C24" s="59">
        <v>8.4600000000000009</v>
      </c>
      <c r="D24" s="62"/>
      <c r="E24" s="62">
        <v>11.9</v>
      </c>
      <c r="F24" s="62"/>
      <c r="G24" s="62"/>
      <c r="H24" s="62"/>
      <c r="I24" s="62">
        <v>10.5</v>
      </c>
      <c r="J24" s="62"/>
      <c r="K24" s="58"/>
      <c r="L24" s="58"/>
      <c r="M24" s="62">
        <v>18</v>
      </c>
      <c r="N24" s="62"/>
      <c r="O24" s="58"/>
      <c r="P24" s="58"/>
      <c r="Q24" s="62">
        <v>16.2</v>
      </c>
      <c r="R24" s="62"/>
      <c r="S24" s="62">
        <v>13.3</v>
      </c>
      <c r="T24" s="66">
        <f>AVERAGE(C24:S24)</f>
        <v>13.06</v>
      </c>
      <c r="U24" s="171">
        <f>AVERAGE(U20:U23)</f>
        <v>6.77697578125</v>
      </c>
      <c r="V24" s="172"/>
      <c r="W24" s="33">
        <f>STDEV(T23:T26)/(SQRT(COUNT(T23:T26)))/U23</f>
        <v>7.0080550926367349E-2</v>
      </c>
      <c r="X24" s="174"/>
      <c r="Y24" s="18">
        <v>17</v>
      </c>
      <c r="Z24" s="25" t="s">
        <v>58</v>
      </c>
      <c r="AA24" s="19">
        <v>17.600000000000001</v>
      </c>
      <c r="AB24" s="19">
        <v>19.8</v>
      </c>
      <c r="AC24" s="68">
        <f t="shared" si="2"/>
        <v>18.700000000000003</v>
      </c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21">
        <v>1140</v>
      </c>
      <c r="BD24" s="25" t="s">
        <v>58</v>
      </c>
      <c r="BE24" s="22"/>
      <c r="BF24" s="22"/>
      <c r="BG24" s="23"/>
    </row>
    <row r="25" spans="1:59" ht="14.7" thickBot="1" x14ac:dyDescent="0.6">
      <c r="A25" s="12" t="s">
        <v>80</v>
      </c>
      <c r="B25" s="13">
        <v>10.9</v>
      </c>
      <c r="C25" s="59">
        <v>7.5299999999999994</v>
      </c>
      <c r="D25" s="62"/>
      <c r="E25" s="62"/>
      <c r="F25" s="62">
        <v>11.1</v>
      </c>
      <c r="G25" s="62"/>
      <c r="H25" s="62"/>
      <c r="I25" s="62"/>
      <c r="J25" s="58">
        <v>8.24</v>
      </c>
      <c r="K25" s="58"/>
      <c r="L25" s="58"/>
      <c r="M25" s="62"/>
      <c r="N25" s="62">
        <v>10.1</v>
      </c>
      <c r="O25" s="58"/>
      <c r="P25" s="58"/>
      <c r="Q25" s="62"/>
      <c r="R25" s="58">
        <v>8.4600000000000009</v>
      </c>
      <c r="S25" s="62">
        <v>14.5</v>
      </c>
      <c r="T25" s="66">
        <f>AVERAGE(C25:S25)</f>
        <v>9.9883333333333333</v>
      </c>
      <c r="U25" s="171">
        <f>AVERAGE(U21:U24)</f>
        <v>8.7947378906250009</v>
      </c>
      <c r="V25" s="172"/>
      <c r="W25" s="33">
        <f>STDEV(C27:S27)/(SQRT(COUNT((C27:S27))))/U23</f>
        <v>6.9805943582683716E-2</v>
      </c>
      <c r="X25" s="174"/>
      <c r="Y25" s="18">
        <v>18</v>
      </c>
      <c r="Z25" s="25" t="s">
        <v>61</v>
      </c>
      <c r="AA25" s="19">
        <v>17.100000000000001</v>
      </c>
      <c r="AB25" s="19">
        <v>23.2</v>
      </c>
      <c r="AC25" s="68">
        <f t="shared" si="2"/>
        <v>20.149999999999999</v>
      </c>
      <c r="AD25" s="178" t="s">
        <v>14</v>
      </c>
      <c r="AE25" s="179"/>
      <c r="AF25" s="179"/>
      <c r="AG25" s="179"/>
      <c r="AH25" s="180"/>
      <c r="AI25" s="178" t="s">
        <v>17</v>
      </c>
      <c r="AJ25" s="179"/>
      <c r="AK25" s="179"/>
      <c r="AL25" s="179"/>
      <c r="AM25" s="180"/>
      <c r="AN25" s="178" t="s">
        <v>20</v>
      </c>
      <c r="AO25" s="179"/>
      <c r="AP25" s="179"/>
      <c r="AQ25" s="179"/>
      <c r="AR25" s="180"/>
      <c r="AS25" s="178" t="s">
        <v>23</v>
      </c>
      <c r="AT25" s="179"/>
      <c r="AU25" s="179"/>
      <c r="AV25" s="179"/>
      <c r="AW25" s="180"/>
      <c r="AX25" s="178" t="s">
        <v>26</v>
      </c>
      <c r="AY25" s="179"/>
      <c r="AZ25" s="179"/>
      <c r="BA25" s="179"/>
      <c r="BB25" s="180"/>
      <c r="BC25" s="21">
        <v>1141</v>
      </c>
      <c r="BD25" s="25" t="s">
        <v>61</v>
      </c>
      <c r="BE25" s="22"/>
      <c r="BF25" s="22"/>
      <c r="BG25" s="23"/>
    </row>
    <row r="26" spans="1:59" ht="14.7" thickBot="1" x14ac:dyDescent="0.6">
      <c r="A26" s="12" t="s">
        <v>81</v>
      </c>
      <c r="B26" s="13">
        <v>10.9</v>
      </c>
      <c r="C26" s="59">
        <v>7.7200000000000006</v>
      </c>
      <c r="D26" s="62"/>
      <c r="E26" s="62"/>
      <c r="F26" s="62"/>
      <c r="G26" s="62">
        <v>12.3</v>
      </c>
      <c r="H26" s="62"/>
      <c r="I26" s="62"/>
      <c r="J26" s="58"/>
      <c r="K26" s="58">
        <v>8.4700000000000006</v>
      </c>
      <c r="L26" s="58"/>
      <c r="M26" s="62"/>
      <c r="N26" s="62"/>
      <c r="O26" s="58">
        <v>7.26</v>
      </c>
      <c r="P26" s="58"/>
      <c r="Q26" s="62"/>
      <c r="R26" s="58"/>
      <c r="S26" s="62">
        <v>13.4</v>
      </c>
      <c r="T26" s="60">
        <f>AVERAGE(C26:S26)</f>
        <v>9.83</v>
      </c>
      <c r="U26" s="171">
        <f>AVERAGE(U22:U25)</f>
        <v>8.7947378906250009</v>
      </c>
      <c r="V26" s="172"/>
      <c r="W26" s="64"/>
      <c r="X26" s="175"/>
      <c r="Y26" s="18">
        <v>19</v>
      </c>
      <c r="Z26" s="25" t="s">
        <v>60</v>
      </c>
      <c r="AA26" s="19">
        <v>16.399999999999999</v>
      </c>
      <c r="AB26" s="19">
        <v>22.2</v>
      </c>
      <c r="AC26" s="68">
        <f t="shared" si="2"/>
        <v>19.299999999999997</v>
      </c>
      <c r="AD26" s="21" t="s">
        <v>35</v>
      </c>
      <c r="AE26" s="22" t="s">
        <v>36</v>
      </c>
      <c r="AF26" s="22" t="s">
        <v>37</v>
      </c>
      <c r="AG26" s="22" t="s">
        <v>38</v>
      </c>
      <c r="AH26" s="23" t="s">
        <v>39</v>
      </c>
      <c r="AI26" s="21" t="s">
        <v>35</v>
      </c>
      <c r="AJ26" s="22" t="s">
        <v>36</v>
      </c>
      <c r="AK26" s="22" t="s">
        <v>37</v>
      </c>
      <c r="AL26" s="22" t="s">
        <v>38</v>
      </c>
      <c r="AM26" s="23" t="s">
        <v>39</v>
      </c>
      <c r="AN26" s="21" t="s">
        <v>35</v>
      </c>
      <c r="AO26" s="22" t="s">
        <v>36</v>
      </c>
      <c r="AP26" s="22" t="s">
        <v>37</v>
      </c>
      <c r="AQ26" s="22" t="s">
        <v>38</v>
      </c>
      <c r="AR26" s="23" t="s">
        <v>39</v>
      </c>
      <c r="AS26" s="21" t="s">
        <v>35</v>
      </c>
      <c r="AT26" s="22" t="s">
        <v>36</v>
      </c>
      <c r="AU26" s="22" t="s">
        <v>37</v>
      </c>
      <c r="AV26" s="22" t="s">
        <v>38</v>
      </c>
      <c r="AW26" s="23" t="s">
        <v>39</v>
      </c>
      <c r="AX26" s="21" t="s">
        <v>35</v>
      </c>
      <c r="AY26" s="22" t="s">
        <v>36</v>
      </c>
      <c r="AZ26" s="22" t="s">
        <v>37</v>
      </c>
      <c r="BA26" s="22" t="s">
        <v>38</v>
      </c>
      <c r="BB26" s="23" t="s">
        <v>39</v>
      </c>
      <c r="BC26" s="21">
        <v>1142</v>
      </c>
      <c r="BD26" s="25" t="s">
        <v>60</v>
      </c>
      <c r="BE26" s="22"/>
      <c r="BF26" s="22"/>
      <c r="BG26" s="23"/>
    </row>
    <row r="27" spans="1:59" ht="14.7" thickBot="1" x14ac:dyDescent="0.6">
      <c r="A27" s="49" t="s">
        <v>82</v>
      </c>
      <c r="B27" s="50"/>
      <c r="C27" s="65">
        <f t="shared" ref="C27:S27" si="4">AVERAGE(C23:C26)</f>
        <v>7.9275000000000002</v>
      </c>
      <c r="D27" s="55">
        <f t="shared" si="4"/>
        <v>10.3</v>
      </c>
      <c r="E27" s="55">
        <f t="shared" si="4"/>
        <v>11.9</v>
      </c>
      <c r="F27" s="55">
        <f t="shared" si="4"/>
        <v>11.1</v>
      </c>
      <c r="G27" s="55">
        <f t="shared" si="4"/>
        <v>12.3</v>
      </c>
      <c r="H27" s="55">
        <f t="shared" si="4"/>
        <v>14</v>
      </c>
      <c r="I27" s="55">
        <f t="shared" si="4"/>
        <v>10.5</v>
      </c>
      <c r="J27" s="65">
        <f t="shared" si="4"/>
        <v>8.24</v>
      </c>
      <c r="K27" s="65">
        <f t="shared" si="4"/>
        <v>8.4700000000000006</v>
      </c>
      <c r="L27" s="65">
        <f t="shared" si="4"/>
        <v>7.93</v>
      </c>
      <c r="M27" s="55">
        <f t="shared" si="4"/>
        <v>18</v>
      </c>
      <c r="N27" s="55">
        <f t="shared" si="4"/>
        <v>10.1</v>
      </c>
      <c r="O27" s="65">
        <f t="shared" si="4"/>
        <v>7.26</v>
      </c>
      <c r="P27" s="65">
        <f t="shared" si="4"/>
        <v>8.6</v>
      </c>
      <c r="Q27" s="55">
        <f t="shared" si="4"/>
        <v>16.2</v>
      </c>
      <c r="R27" s="65">
        <f t="shared" si="4"/>
        <v>8.4600000000000009</v>
      </c>
      <c r="S27" s="55">
        <f t="shared" si="4"/>
        <v>13.65</v>
      </c>
      <c r="T27" s="55">
        <f>AVERAGE(T23:T26)</f>
        <v>10.8125</v>
      </c>
      <c r="U27" s="52"/>
      <c r="V27" s="52"/>
      <c r="W27" s="53"/>
      <c r="X27" s="54"/>
      <c r="Y27" s="18">
        <v>20</v>
      </c>
      <c r="Z27" s="25" t="s">
        <v>59</v>
      </c>
      <c r="AA27" s="19">
        <v>16.2</v>
      </c>
      <c r="AB27" s="69">
        <v>20</v>
      </c>
      <c r="AC27" s="68">
        <f t="shared" si="2"/>
        <v>18.100000000000001</v>
      </c>
      <c r="AD27" s="21">
        <v>49</v>
      </c>
      <c r="AE27" s="25" t="s">
        <v>52</v>
      </c>
      <c r="AF27" s="22"/>
      <c r="AG27" s="22"/>
      <c r="AH27" s="23"/>
      <c r="AI27" s="21">
        <v>86</v>
      </c>
      <c r="AJ27" s="25" t="s">
        <v>68</v>
      </c>
      <c r="AK27" s="37">
        <v>1.1599999999999999</v>
      </c>
      <c r="AL27" s="31">
        <v>0.104</v>
      </c>
      <c r="AM27" s="32">
        <f>AVERAGE(AK27:AL27)</f>
        <v>0.63200000000000001</v>
      </c>
      <c r="AN27" s="21">
        <v>206</v>
      </c>
      <c r="AO27" s="25" t="s">
        <v>41</v>
      </c>
      <c r="AP27" s="22"/>
      <c r="AQ27" s="22"/>
      <c r="AR27" s="23"/>
      <c r="AS27" s="21">
        <v>368</v>
      </c>
      <c r="AT27" s="25" t="s">
        <v>42</v>
      </c>
      <c r="AU27" s="22"/>
      <c r="AV27" s="22"/>
      <c r="AW27" s="23"/>
      <c r="AX27" s="21">
        <v>635</v>
      </c>
      <c r="AY27" s="25" t="s">
        <v>43</v>
      </c>
      <c r="AZ27" s="22"/>
      <c r="BA27" s="22"/>
      <c r="BB27" s="23"/>
      <c r="BC27" s="21">
        <v>1143</v>
      </c>
      <c r="BD27" s="25" t="s">
        <v>59</v>
      </c>
      <c r="BE27" s="22"/>
      <c r="BF27" s="22"/>
      <c r="BG27" s="23"/>
    </row>
    <row r="28" spans="1:59" ht="14.7" thickBot="1" x14ac:dyDescent="0.6">
      <c r="A28" s="49" t="s">
        <v>72</v>
      </c>
      <c r="B28" s="50"/>
      <c r="C28" s="65">
        <f>(STDEV(C23:C26)/AVERAGE(C23:C26))*100</f>
        <v>5.0973653234130474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65">
        <f>(STDEV(S23:S26)/AVERAGE(S23:S26))*100</f>
        <v>4.1657441048185531</v>
      </c>
      <c r="T28" s="55">
        <f>(STDEV(T23:T26)/AVERAGE(T23:T26))*100</f>
        <v>14.016110185273471</v>
      </c>
      <c r="U28" s="52"/>
      <c r="V28" s="52"/>
      <c r="W28" s="53"/>
      <c r="X28" s="54"/>
      <c r="Y28" s="18">
        <v>21</v>
      </c>
      <c r="Z28" s="25" t="s">
        <v>63</v>
      </c>
      <c r="AA28" s="19">
        <v>53.4</v>
      </c>
      <c r="AB28" s="19">
        <v>68.900000000000006</v>
      </c>
      <c r="AC28" s="68">
        <f t="shared" si="2"/>
        <v>61.150000000000006</v>
      </c>
      <c r="AD28" s="21">
        <v>50</v>
      </c>
      <c r="AE28" s="25" t="s">
        <v>49</v>
      </c>
      <c r="AF28" s="22"/>
      <c r="AG28" s="22"/>
      <c r="AH28" s="23"/>
      <c r="AI28" s="21">
        <v>87</v>
      </c>
      <c r="AJ28" s="25" t="s">
        <v>50</v>
      </c>
      <c r="AK28" s="22"/>
      <c r="AL28" s="22"/>
      <c r="AM28" s="23"/>
      <c r="AN28" s="21">
        <v>207</v>
      </c>
      <c r="AO28" s="25" t="s">
        <v>47</v>
      </c>
      <c r="AP28" s="22"/>
      <c r="AQ28" s="22"/>
      <c r="AR28" s="23"/>
      <c r="AS28" s="21">
        <v>369</v>
      </c>
      <c r="AT28" s="25" t="s">
        <v>48</v>
      </c>
      <c r="AU28" s="22"/>
      <c r="AV28" s="22"/>
      <c r="AW28" s="23"/>
      <c r="AX28" s="21">
        <v>636</v>
      </c>
      <c r="AY28" s="25" t="s">
        <v>49</v>
      </c>
      <c r="AZ28" s="22"/>
      <c r="BA28" s="22"/>
      <c r="BB28" s="23"/>
      <c r="BC28" s="21">
        <v>1144</v>
      </c>
      <c r="BD28" s="25" t="s">
        <v>63</v>
      </c>
      <c r="BE28" s="22"/>
      <c r="BF28" s="22"/>
      <c r="BG28" s="23"/>
    </row>
    <row r="29" spans="1:59" ht="14.7" thickBot="1" x14ac:dyDescent="0.6">
      <c r="A29" s="12" t="s">
        <v>83</v>
      </c>
      <c r="B29" s="62">
        <v>33</v>
      </c>
      <c r="C29" s="70">
        <f>AC24</f>
        <v>18.700000000000003</v>
      </c>
      <c r="D29" s="62">
        <v>34.9</v>
      </c>
      <c r="E29" s="62"/>
      <c r="F29" s="62"/>
      <c r="G29" s="62"/>
      <c r="H29" s="62">
        <v>26.9</v>
      </c>
      <c r="I29" s="62"/>
      <c r="J29" s="62"/>
      <c r="K29" s="62"/>
      <c r="L29" s="62">
        <v>22.9</v>
      </c>
      <c r="M29" s="62"/>
      <c r="N29" s="62"/>
      <c r="O29" s="62"/>
      <c r="P29" s="70">
        <f>AZ11</f>
        <v>18.7</v>
      </c>
      <c r="Q29" s="62"/>
      <c r="R29" s="62"/>
      <c r="S29" s="62">
        <v>30.9</v>
      </c>
      <c r="T29" s="66">
        <f>AVERAGE(C29:S29)</f>
        <v>25.5</v>
      </c>
      <c r="U29" s="170">
        <f>AVERAGE(T29:T32)</f>
        <v>27.154583333333335</v>
      </c>
      <c r="V29" s="172">
        <f>STDEV(T29:T32)/AVERAGE(U29)</f>
        <v>7.8681624262259345E-2</v>
      </c>
      <c r="W29" s="61"/>
      <c r="X29" s="173">
        <f>(U29/33)*100</f>
        <v>82.286616161616166</v>
      </c>
      <c r="Y29" s="18">
        <v>22</v>
      </c>
      <c r="Z29" s="25" t="s">
        <v>66</v>
      </c>
      <c r="AA29" s="19">
        <v>48.9</v>
      </c>
      <c r="AB29" s="19">
        <v>71.900000000000006</v>
      </c>
      <c r="AC29" s="68">
        <f t="shared" si="2"/>
        <v>60.400000000000006</v>
      </c>
      <c r="AD29" s="21">
        <v>51</v>
      </c>
      <c r="AE29" s="25" t="s">
        <v>55</v>
      </c>
      <c r="AF29" s="22"/>
      <c r="AG29" s="22"/>
      <c r="AH29" s="23"/>
      <c r="AI29" s="21">
        <v>88</v>
      </c>
      <c r="AJ29" s="25" t="s">
        <v>56</v>
      </c>
      <c r="AK29" s="22"/>
      <c r="AL29" s="22"/>
      <c r="AM29" s="23"/>
      <c r="AN29" s="21">
        <v>208</v>
      </c>
      <c r="AO29" s="25" t="s">
        <v>53</v>
      </c>
      <c r="AP29" s="22"/>
      <c r="AQ29" s="22"/>
      <c r="AR29" s="23"/>
      <c r="AS29" s="21">
        <v>370</v>
      </c>
      <c r="AT29" s="25" t="s">
        <v>54</v>
      </c>
      <c r="AU29" s="22"/>
      <c r="AV29" s="22"/>
      <c r="AW29" s="23"/>
      <c r="AX29" s="21">
        <v>637</v>
      </c>
      <c r="AY29" s="25" t="s">
        <v>55</v>
      </c>
      <c r="AZ29" s="22"/>
      <c r="BA29" s="22"/>
      <c r="BB29" s="23"/>
      <c r="BC29" s="21">
        <v>1145</v>
      </c>
      <c r="BD29" s="25" t="s">
        <v>66</v>
      </c>
      <c r="BE29" s="22"/>
      <c r="BF29" s="22"/>
      <c r="BG29" s="23"/>
    </row>
    <row r="30" spans="1:59" ht="14.7" thickBot="1" x14ac:dyDescent="0.6">
      <c r="A30" s="12" t="s">
        <v>84</v>
      </c>
      <c r="B30" s="62">
        <v>33</v>
      </c>
      <c r="C30" s="70">
        <f>AC25</f>
        <v>20.149999999999999</v>
      </c>
      <c r="D30" s="62"/>
      <c r="E30" s="62">
        <v>29.9</v>
      </c>
      <c r="F30" s="62"/>
      <c r="G30" s="62"/>
      <c r="H30" s="62"/>
      <c r="I30" s="62">
        <v>26.9</v>
      </c>
      <c r="J30" s="62"/>
      <c r="K30" s="62"/>
      <c r="L30" s="62"/>
      <c r="M30" s="62">
        <v>33.299999999999997</v>
      </c>
      <c r="N30" s="62"/>
      <c r="O30" s="62"/>
      <c r="P30" s="62"/>
      <c r="Q30" s="62">
        <v>38</v>
      </c>
      <c r="R30" s="62"/>
      <c r="S30" s="62">
        <v>33.299999999999997</v>
      </c>
      <c r="T30" s="66">
        <f>AVERAGE(C30:S30)</f>
        <v>30.258333333333336</v>
      </c>
      <c r="U30" s="171">
        <f>AVERAGE(U26:U29)</f>
        <v>17.974660611979168</v>
      </c>
      <c r="V30" s="172"/>
      <c r="W30" s="33">
        <f>STDEV(T29:T32)/(SQRT(COUNT(T29:T32)))/U29</f>
        <v>3.9340812131129672E-2</v>
      </c>
      <c r="X30" s="174"/>
      <c r="Y30" s="18">
        <v>23</v>
      </c>
      <c r="Z30" s="25" t="s">
        <v>65</v>
      </c>
      <c r="AA30" s="19">
        <v>49.6</v>
      </c>
      <c r="AB30" s="69">
        <v>67</v>
      </c>
      <c r="AC30" s="68">
        <f t="shared" si="2"/>
        <v>58.3</v>
      </c>
      <c r="AD30" s="21">
        <v>52</v>
      </c>
      <c r="AE30" s="25" t="s">
        <v>60</v>
      </c>
      <c r="AF30" s="22"/>
      <c r="AG30" s="22"/>
      <c r="AH30" s="23"/>
      <c r="AI30" s="21">
        <v>89</v>
      </c>
      <c r="AJ30" s="25" t="s">
        <v>61</v>
      </c>
      <c r="AK30" s="22"/>
      <c r="AL30" s="22"/>
      <c r="AM30" s="23"/>
      <c r="AN30" s="21">
        <v>209</v>
      </c>
      <c r="AO30" s="25" t="s">
        <v>58</v>
      </c>
      <c r="AP30" s="22"/>
      <c r="AQ30" s="22"/>
      <c r="AR30" s="23"/>
      <c r="AS30" s="21">
        <v>371</v>
      </c>
      <c r="AT30" s="25" t="s">
        <v>59</v>
      </c>
      <c r="AU30" s="22"/>
      <c r="AV30" s="22"/>
      <c r="AW30" s="23"/>
      <c r="AX30" s="21">
        <v>638</v>
      </c>
      <c r="AY30" s="25" t="s">
        <v>60</v>
      </c>
      <c r="AZ30" s="22"/>
      <c r="BA30" s="22"/>
      <c r="BB30" s="23"/>
      <c r="BC30" s="21">
        <v>1146</v>
      </c>
      <c r="BD30" s="25" t="s">
        <v>65</v>
      </c>
      <c r="BE30" s="22"/>
      <c r="BF30" s="22"/>
      <c r="BG30" s="23"/>
    </row>
    <row r="31" spans="1:59" ht="14.7" thickBot="1" x14ac:dyDescent="0.6">
      <c r="A31" s="12" t="s">
        <v>85</v>
      </c>
      <c r="B31" s="62">
        <v>33</v>
      </c>
      <c r="C31" s="70">
        <f>AC26</f>
        <v>19.299999999999997</v>
      </c>
      <c r="D31" s="62"/>
      <c r="E31" s="62"/>
      <c r="F31" s="62">
        <v>25.8</v>
      </c>
      <c r="G31" s="62"/>
      <c r="H31" s="62"/>
      <c r="I31" s="62"/>
      <c r="J31" s="62">
        <v>30.4</v>
      </c>
      <c r="K31" s="62"/>
      <c r="L31" s="62"/>
      <c r="M31" s="62"/>
      <c r="N31" s="62">
        <v>30.4</v>
      </c>
      <c r="O31" s="62"/>
      <c r="P31" s="62"/>
      <c r="Q31" s="62"/>
      <c r="R31" s="62">
        <v>23.8</v>
      </c>
      <c r="S31" s="62">
        <v>31.1</v>
      </c>
      <c r="T31" s="66">
        <f>AVERAGE(C31:S31)</f>
        <v>26.8</v>
      </c>
      <c r="U31" s="171">
        <f>AVERAGE(U27:U30)</f>
        <v>22.564621972656251</v>
      </c>
      <c r="V31" s="172"/>
      <c r="W31" s="33">
        <f>STDEV(C33:S33)/(SQRT(COUNT((C33:S33))))/U29</f>
        <v>5.0498826449854192E-2</v>
      </c>
      <c r="X31" s="174"/>
      <c r="Y31" s="71">
        <v>24</v>
      </c>
      <c r="Z31" s="40" t="s">
        <v>64</v>
      </c>
      <c r="AA31" s="72">
        <v>45.3</v>
      </c>
      <c r="AB31" s="72">
        <v>70.8</v>
      </c>
      <c r="AC31" s="73">
        <f t="shared" si="2"/>
        <v>58.05</v>
      </c>
      <c r="AD31" s="39">
        <v>53</v>
      </c>
      <c r="AE31" s="40" t="s">
        <v>65</v>
      </c>
      <c r="AF31" s="41"/>
      <c r="AG31" s="41"/>
      <c r="AH31" s="42"/>
      <c r="AI31" s="39">
        <v>90</v>
      </c>
      <c r="AJ31" s="40" t="s">
        <v>66</v>
      </c>
      <c r="AK31" s="41"/>
      <c r="AL31" s="41"/>
      <c r="AM31" s="42"/>
      <c r="AN31" s="39">
        <v>210</v>
      </c>
      <c r="AO31" s="40" t="s">
        <v>63</v>
      </c>
      <c r="AP31" s="41"/>
      <c r="AQ31" s="41"/>
      <c r="AR31" s="42"/>
      <c r="AS31" s="39">
        <v>372</v>
      </c>
      <c r="AT31" s="40" t="s">
        <v>64</v>
      </c>
      <c r="AU31" s="45">
        <v>35.4</v>
      </c>
      <c r="AV31" s="45">
        <v>263</v>
      </c>
      <c r="AW31" s="74">
        <f>AVERAGE(AU31:AV31)</f>
        <v>149.19999999999999</v>
      </c>
      <c r="AX31" s="39">
        <v>639</v>
      </c>
      <c r="AY31" s="40" t="s">
        <v>65</v>
      </c>
      <c r="AZ31" s="41"/>
      <c r="BA31" s="41"/>
      <c r="BB31" s="42"/>
      <c r="BC31" s="39">
        <v>1147</v>
      </c>
      <c r="BD31" s="40" t="s">
        <v>64</v>
      </c>
      <c r="BE31" s="41"/>
      <c r="BF31" s="41"/>
      <c r="BG31" s="42"/>
    </row>
    <row r="32" spans="1:59" ht="14.7" thickBot="1" x14ac:dyDescent="0.6">
      <c r="A32" s="12" t="s">
        <v>86</v>
      </c>
      <c r="B32" s="62">
        <v>33</v>
      </c>
      <c r="C32" s="70">
        <f>AC27</f>
        <v>18.100000000000001</v>
      </c>
      <c r="D32" s="62"/>
      <c r="E32" s="62"/>
      <c r="F32" s="62"/>
      <c r="G32" s="62">
        <v>31.7</v>
      </c>
      <c r="H32" s="62"/>
      <c r="I32" s="62"/>
      <c r="J32" s="62"/>
      <c r="K32" s="62">
        <v>26.4</v>
      </c>
      <c r="L32" s="62"/>
      <c r="M32" s="62"/>
      <c r="N32" s="62"/>
      <c r="O32" s="75">
        <v>19.7</v>
      </c>
      <c r="P32" s="62"/>
      <c r="Q32" s="62"/>
      <c r="R32" s="62"/>
      <c r="S32" s="62">
        <v>34.4</v>
      </c>
      <c r="T32" s="66">
        <f>AVERAGE(C32:S32)</f>
        <v>26.059999999999995</v>
      </c>
      <c r="U32" s="171">
        <f>AVERAGE(U28:U31)</f>
        <v>22.564621972656251</v>
      </c>
      <c r="V32" s="172"/>
      <c r="W32" s="64"/>
      <c r="X32" s="175"/>
      <c r="Y32" s="2"/>
      <c r="Z32" s="2"/>
      <c r="AA32" s="2"/>
      <c r="AB32" s="2"/>
      <c r="AC32" s="2"/>
      <c r="AD32" s="2"/>
      <c r="AE32" s="76"/>
      <c r="AF32" s="2"/>
      <c r="AG32" s="181" t="s">
        <v>87</v>
      </c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46" ht="14.7" thickBot="1" x14ac:dyDescent="0.6">
      <c r="A33" s="49" t="s">
        <v>88</v>
      </c>
      <c r="B33" s="50"/>
      <c r="C33" s="55">
        <f t="shared" ref="C33:S33" si="5">AVERAGE(C29:C32)</f>
        <v>19.0625</v>
      </c>
      <c r="D33" s="55">
        <f t="shared" si="5"/>
        <v>34.9</v>
      </c>
      <c r="E33" s="55">
        <f t="shared" si="5"/>
        <v>29.9</v>
      </c>
      <c r="F33" s="55">
        <f t="shared" si="5"/>
        <v>25.8</v>
      </c>
      <c r="G33" s="55">
        <f t="shared" si="5"/>
        <v>31.7</v>
      </c>
      <c r="H33" s="55">
        <f t="shared" si="5"/>
        <v>26.9</v>
      </c>
      <c r="I33" s="55">
        <f t="shared" si="5"/>
        <v>26.9</v>
      </c>
      <c r="J33" s="55">
        <f t="shared" si="5"/>
        <v>30.4</v>
      </c>
      <c r="K33" s="55">
        <f t="shared" si="5"/>
        <v>26.4</v>
      </c>
      <c r="L33" s="55">
        <f t="shared" si="5"/>
        <v>22.9</v>
      </c>
      <c r="M33" s="55">
        <f t="shared" si="5"/>
        <v>33.299999999999997</v>
      </c>
      <c r="N33" s="55">
        <f t="shared" si="5"/>
        <v>30.4</v>
      </c>
      <c r="O33" s="55">
        <f t="shared" si="5"/>
        <v>19.7</v>
      </c>
      <c r="P33" s="55">
        <f t="shared" si="5"/>
        <v>18.7</v>
      </c>
      <c r="Q33" s="55">
        <f t="shared" si="5"/>
        <v>38</v>
      </c>
      <c r="R33" s="55">
        <f t="shared" si="5"/>
        <v>23.8</v>
      </c>
      <c r="S33" s="55">
        <f t="shared" si="5"/>
        <v>32.424999999999997</v>
      </c>
      <c r="T33" s="55">
        <f>AVERAGE(T29:T32)</f>
        <v>27.154583333333335</v>
      </c>
      <c r="U33" s="52"/>
      <c r="V33" s="52"/>
      <c r="W33" s="53"/>
      <c r="X33" s="54"/>
      <c r="Y33" s="2"/>
      <c r="Z33" s="182" t="s">
        <v>89</v>
      </c>
      <c r="AA33" s="183"/>
      <c r="AB33" s="183"/>
      <c r="AC33" s="183"/>
      <c r="AD33" s="183"/>
      <c r="AE33" s="184"/>
      <c r="AF33" s="2"/>
      <c r="AG33" s="185" t="s">
        <v>90</v>
      </c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</row>
    <row r="34" spans="1:46" ht="14.7" thickBot="1" x14ac:dyDescent="0.6">
      <c r="A34" s="49" t="s">
        <v>72</v>
      </c>
      <c r="B34" s="50"/>
      <c r="C34" s="65">
        <f>(STDEV(C29:C32)/AVERAGE(C29:C32))*100</f>
        <v>4.5901639344262204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65">
        <f>(STDEV(S29:S32)/AVERAGE(S29:S32))*100</f>
        <v>5.2662486822279666</v>
      </c>
      <c r="T34" s="65">
        <f>(STDEV(T29:T32)/AVERAGE(T29:T32))*100</f>
        <v>7.8681624262259344</v>
      </c>
      <c r="U34" s="52"/>
      <c r="V34" s="52"/>
      <c r="W34" s="53"/>
      <c r="X34" s="54"/>
      <c r="Y34" s="2"/>
      <c r="Z34" s="77"/>
      <c r="AA34" s="78">
        <v>0</v>
      </c>
      <c r="AB34" s="78">
        <v>3.6</v>
      </c>
      <c r="AC34" s="78">
        <v>10.9</v>
      </c>
      <c r="AD34" s="78">
        <v>33</v>
      </c>
      <c r="AE34" s="79">
        <v>100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4.7" thickBot="1" x14ac:dyDescent="0.6">
      <c r="A35" s="12" t="s">
        <v>91</v>
      </c>
      <c r="B35" s="13">
        <v>100</v>
      </c>
      <c r="C35" s="70">
        <f>AC28</f>
        <v>61.150000000000006</v>
      </c>
      <c r="D35" s="62">
        <v>83.5</v>
      </c>
      <c r="E35" s="62"/>
      <c r="F35" s="62"/>
      <c r="G35" s="62"/>
      <c r="H35" s="70">
        <f>AM22</f>
        <v>66.25</v>
      </c>
      <c r="I35" s="62"/>
      <c r="J35" s="62"/>
      <c r="K35" s="62"/>
      <c r="L35" s="62">
        <v>73.599999999999994</v>
      </c>
      <c r="M35" s="62"/>
      <c r="N35" s="62"/>
      <c r="O35" s="62"/>
      <c r="P35" s="70">
        <v>48.1</v>
      </c>
      <c r="Q35" s="62"/>
      <c r="R35" s="62"/>
      <c r="S35" s="62">
        <v>67.2</v>
      </c>
      <c r="T35" s="66">
        <f>AVERAGE(C35:S35)</f>
        <v>66.63333333333334</v>
      </c>
      <c r="U35" s="170">
        <f>AVERAGE(T35:T38)</f>
        <v>76.644583333333344</v>
      </c>
      <c r="V35" s="172">
        <f>STDEV(T35:T38)/AVERAGE(U35)</f>
        <v>0.12366070252532867</v>
      </c>
      <c r="W35" s="61"/>
      <c r="X35" s="173">
        <f>(U35/100)*100</f>
        <v>76.644583333333344</v>
      </c>
      <c r="Y35" s="2"/>
      <c r="Z35" s="77" t="s">
        <v>92</v>
      </c>
      <c r="AA35" s="2">
        <f>QUARTILE((C12:C14,F9:G10,K7:S14,AA8:AB12,AF8:AG8,AF18:AG18,AK18:AL18,AK27:AL27,AP8:AQ8),1)</f>
        <v>0.104</v>
      </c>
      <c r="AB35" s="2">
        <f>QUARTILE((D17:G20,I17:L20,N17:S20,AA16:AB19,AK19:AL19,AU9:AV9),1)</f>
        <v>3.61</v>
      </c>
      <c r="AC35" s="80">
        <f>QUARTILE((D23:S26,AA20:AB23),1)</f>
        <v>8.245000000000001</v>
      </c>
      <c r="AD35" s="81">
        <f>QUARTILE((D29:O32,Q29:S32,AA24:AB27,AZ11:BA11),1)</f>
        <v>19.95</v>
      </c>
      <c r="AE35" s="82">
        <f>QUARTILE((D35:G38,I35:L38,N37,Q35:S38,AA28:AB31,AK22:AL22,AU12:AV12,AU31:AV31,AZ12:BA12),1)</f>
        <v>63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4.7" thickBot="1" x14ac:dyDescent="0.6">
      <c r="A36" s="12" t="s">
        <v>93</v>
      </c>
      <c r="B36" s="13">
        <v>100</v>
      </c>
      <c r="C36" s="70">
        <f>AC29</f>
        <v>60.400000000000006</v>
      </c>
      <c r="D36" s="62"/>
      <c r="E36" s="62">
        <v>75.400000000000006</v>
      </c>
      <c r="F36" s="62"/>
      <c r="G36" s="62"/>
      <c r="H36" s="62"/>
      <c r="I36" s="62">
        <v>67.900000000000006</v>
      </c>
      <c r="J36" s="62"/>
      <c r="K36" s="62"/>
      <c r="L36" s="62"/>
      <c r="M36" s="70">
        <f>AW12</f>
        <v>64.349999999999994</v>
      </c>
      <c r="N36" s="62"/>
      <c r="O36" s="62"/>
      <c r="P36" s="62"/>
      <c r="Q36" s="83">
        <v>99.5</v>
      </c>
      <c r="R36" s="62"/>
      <c r="S36" s="62">
        <v>68</v>
      </c>
      <c r="T36" s="66">
        <f>AVERAGE(C36:S36)</f>
        <v>72.591666666666669</v>
      </c>
      <c r="U36" s="171">
        <f>AVERAGE(U32:U35)</f>
        <v>49.604602652994799</v>
      </c>
      <c r="V36" s="172"/>
      <c r="W36" s="33">
        <f>STDEV(T35:T38)/(SQRT(COUNT(T35:T38)))/U35</f>
        <v>6.1830351262664333E-2</v>
      </c>
      <c r="X36" s="174"/>
      <c r="Y36" s="2"/>
      <c r="Z36" s="77" t="s">
        <v>94</v>
      </c>
      <c r="AA36" s="2">
        <f>QUARTILE((C12:C14,F9:G10,K7:S14,AA8:AB12,AF8:AG8,AF18:AG18,AK18:AL18,AK27:AL27,AP8:AQ8),3)</f>
        <v>0.32800000000000001</v>
      </c>
      <c r="AB36" s="2">
        <f>QUARTILE((D17:G20,I17:L20,N17:S20,AA16:AB19,AK19:AL19,AU9:AV9),3)</f>
        <v>6.89</v>
      </c>
      <c r="AC36" s="2">
        <f>QUARTILE((D23:S26,AA20:AB23),3)</f>
        <v>12.8</v>
      </c>
      <c r="AD36" s="81">
        <f>QUARTILE((D29:O32,Q29:S32,AA24:AB27,AZ11:BA11),3)</f>
        <v>31.25</v>
      </c>
      <c r="AE36" s="82">
        <f>QUARTILE((D35:G38,I35:L38,N37,Q35:S38,AA28:AB31,AK22:AL22,AU12:AV12,AU31:AV31,AZ12:BA12),3)</f>
        <v>76.349999999999994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4.7" thickBot="1" x14ac:dyDescent="0.6">
      <c r="A37" s="12" t="s">
        <v>95</v>
      </c>
      <c r="B37" s="13">
        <v>100</v>
      </c>
      <c r="C37" s="70">
        <f>AC30</f>
        <v>58.3</v>
      </c>
      <c r="D37" s="62"/>
      <c r="E37" s="62"/>
      <c r="F37" s="62">
        <v>70.5</v>
      </c>
      <c r="G37" s="62"/>
      <c r="H37" s="62"/>
      <c r="I37" s="62"/>
      <c r="J37" s="62">
        <v>76.599999999999994</v>
      </c>
      <c r="K37" s="62"/>
      <c r="L37" s="62"/>
      <c r="M37" s="62"/>
      <c r="N37" s="62">
        <v>86.7</v>
      </c>
      <c r="O37" s="62"/>
      <c r="P37" s="62"/>
      <c r="Q37" s="62"/>
      <c r="R37" s="84">
        <v>111</v>
      </c>
      <c r="S37" s="62">
        <v>67.8</v>
      </c>
      <c r="T37" s="66">
        <f>AVERAGE(C37:S37)</f>
        <v>78.483333333333334</v>
      </c>
      <c r="U37" s="171">
        <f>AVERAGE(U33:U36)</f>
        <v>63.124592993164072</v>
      </c>
      <c r="V37" s="172"/>
      <c r="W37" s="33">
        <f>STDEV(C39:S39)/(SQRT(COUNT((C39:S39))))/U35</f>
        <v>7.5561274389342251E-2</v>
      </c>
      <c r="X37" s="174"/>
      <c r="Y37" s="2"/>
      <c r="Z37" s="77" t="s">
        <v>96</v>
      </c>
      <c r="AA37" s="2">
        <f>(AA36-AA35)</f>
        <v>0.22400000000000003</v>
      </c>
      <c r="AB37" s="2">
        <f>(AB36-AB35)</f>
        <v>3.28</v>
      </c>
      <c r="AC37" s="80">
        <f>(AC36-AC35)</f>
        <v>4.5549999999999997</v>
      </c>
      <c r="AD37" s="81">
        <f>(AD36-AD35)</f>
        <v>11.3</v>
      </c>
      <c r="AE37" s="82">
        <f>(AE36-AE35)</f>
        <v>13.349999999999994</v>
      </c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4.7" thickBot="1" x14ac:dyDescent="0.6">
      <c r="A38" s="12" t="s">
        <v>97</v>
      </c>
      <c r="B38" s="13">
        <v>100</v>
      </c>
      <c r="C38" s="70">
        <f>AC31</f>
        <v>58.05</v>
      </c>
      <c r="D38" s="62"/>
      <c r="E38" s="62"/>
      <c r="F38" s="62"/>
      <c r="G38" s="84">
        <v>102</v>
      </c>
      <c r="H38" s="62"/>
      <c r="I38" s="62"/>
      <c r="J38" s="62"/>
      <c r="K38" s="62">
        <v>69.5</v>
      </c>
      <c r="L38" s="62"/>
      <c r="M38" s="62"/>
      <c r="N38" s="62"/>
      <c r="O38" s="85">
        <f>AW31</f>
        <v>149.19999999999999</v>
      </c>
      <c r="P38" s="62"/>
      <c r="Q38" s="62"/>
      <c r="R38" s="86"/>
      <c r="S38" s="62">
        <v>65.599999999999994</v>
      </c>
      <c r="T38" s="66">
        <f>AVERAGE(C38:S38)</f>
        <v>88.87</v>
      </c>
      <c r="U38" s="171">
        <f>AVERAGE(U34:U37)</f>
        <v>63.124592993164072</v>
      </c>
      <c r="V38" s="172"/>
      <c r="W38" s="64"/>
      <c r="X38" s="175"/>
      <c r="Y38" s="2"/>
      <c r="Z38" s="77" t="s">
        <v>98</v>
      </c>
      <c r="AA38" s="2">
        <f>AA36+(AA37*1.5)</f>
        <v>0.66400000000000015</v>
      </c>
      <c r="AB38" s="81">
        <f>AB36+(AB37*1.5)</f>
        <v>11.809999999999999</v>
      </c>
      <c r="AC38" s="2">
        <f>AC36+(AC37*1.5)</f>
        <v>19.6325</v>
      </c>
      <c r="AD38" s="2">
        <f>AD36+(AD37*1.5)</f>
        <v>48.2</v>
      </c>
      <c r="AE38" s="87">
        <f>AE36+(AE37*1.5)</f>
        <v>96.374999999999986</v>
      </c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4.7" thickBot="1" x14ac:dyDescent="0.6">
      <c r="A39" s="49" t="s">
        <v>99</v>
      </c>
      <c r="B39" s="50"/>
      <c r="C39" s="88">
        <f t="shared" ref="C39:S39" si="6">AVERAGE(C35:C38)</f>
        <v>59.475000000000009</v>
      </c>
      <c r="D39" s="55">
        <f t="shared" si="6"/>
        <v>83.5</v>
      </c>
      <c r="E39" s="55">
        <f t="shared" si="6"/>
        <v>75.400000000000006</v>
      </c>
      <c r="F39" s="55">
        <f t="shared" si="6"/>
        <v>70.5</v>
      </c>
      <c r="G39" s="89">
        <f t="shared" si="6"/>
        <v>102</v>
      </c>
      <c r="H39" s="55">
        <f t="shared" si="6"/>
        <v>66.25</v>
      </c>
      <c r="I39" s="55">
        <f t="shared" si="6"/>
        <v>67.900000000000006</v>
      </c>
      <c r="J39" s="55">
        <f t="shared" si="6"/>
        <v>76.599999999999994</v>
      </c>
      <c r="K39" s="55">
        <f t="shared" si="6"/>
        <v>69.5</v>
      </c>
      <c r="L39" s="55">
        <f t="shared" si="6"/>
        <v>73.599999999999994</v>
      </c>
      <c r="M39" s="55">
        <f t="shared" si="6"/>
        <v>64.349999999999994</v>
      </c>
      <c r="N39" s="55">
        <f t="shared" si="6"/>
        <v>86.7</v>
      </c>
      <c r="O39" s="89">
        <f t="shared" si="6"/>
        <v>149.19999999999999</v>
      </c>
      <c r="P39" s="55">
        <f t="shared" si="6"/>
        <v>48.1</v>
      </c>
      <c r="Q39" s="55">
        <f t="shared" si="6"/>
        <v>99.5</v>
      </c>
      <c r="R39" s="89">
        <f t="shared" si="6"/>
        <v>111</v>
      </c>
      <c r="S39" s="55">
        <f t="shared" si="6"/>
        <v>67.150000000000006</v>
      </c>
      <c r="T39" s="55">
        <f>AVERAGE(T35:T38)</f>
        <v>76.644583333333344</v>
      </c>
      <c r="U39" s="52"/>
      <c r="V39" s="52"/>
      <c r="W39" s="53"/>
      <c r="X39" s="54"/>
      <c r="Y39" s="2"/>
      <c r="Z39" s="90" t="s">
        <v>100</v>
      </c>
      <c r="AA39" s="91">
        <f>AA35-(AA37*1.5)</f>
        <v>-0.2320000000000001</v>
      </c>
      <c r="AB39" s="91">
        <f>AB35-(AB37*1.5)</f>
        <v>-1.31</v>
      </c>
      <c r="AC39" s="91">
        <f>AC35-(AC37*1.5)</f>
        <v>1.4125000000000014</v>
      </c>
      <c r="AD39" s="92">
        <f>AD35-(AD37*1.5)</f>
        <v>2.9999999999999964</v>
      </c>
      <c r="AE39" s="93">
        <f>AE35-(AE37*1.5)</f>
        <v>42.975000000000009</v>
      </c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4.7" thickBot="1" x14ac:dyDescent="0.6">
      <c r="A40" s="49" t="s">
        <v>72</v>
      </c>
      <c r="B40" s="50"/>
      <c r="C40" s="65">
        <f>(STDEV(C35:C38)/AVERAGE(C35:C38))*100</f>
        <v>2.5816145494382736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65">
        <f>(STDEV(S35:S38)/AVERAGE(S35:S38))*100</f>
        <v>1.6199720895587739</v>
      </c>
      <c r="T40" s="55">
        <f>(STDEV(T35:T38)/AVERAGE(T35:T38))*100</f>
        <v>12.366070252532866</v>
      </c>
      <c r="U40" s="52"/>
      <c r="V40" s="52"/>
      <c r="W40" s="94"/>
      <c r="X40" s="9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x14ac:dyDescent="0.55000000000000004">
      <c r="A41" s="2"/>
      <c r="B41" s="2"/>
      <c r="C41" s="176" t="s">
        <v>101</v>
      </c>
      <c r="D41" s="176"/>
      <c r="E41" s="176"/>
      <c r="F41" s="176"/>
      <c r="G41" s="176"/>
      <c r="H41" s="2"/>
      <c r="I41" s="177" t="s">
        <v>102</v>
      </c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2"/>
      <c r="W41" s="2"/>
      <c r="X41" s="2"/>
      <c r="Y41" s="2"/>
      <c r="Z41" s="2"/>
      <c r="AA41" s="2"/>
      <c r="AB41" s="2"/>
      <c r="AC41" s="2"/>
      <c r="AD41" s="2"/>
      <c r="AE41" s="76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x14ac:dyDescent="0.55000000000000004">
      <c r="A42" s="2"/>
      <c r="B42" s="2"/>
      <c r="C42" s="2" t="s">
        <v>103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96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x14ac:dyDescent="0.55000000000000004">
      <c r="A43" s="76"/>
      <c r="B43" s="76"/>
      <c r="C43" s="78">
        <v>3.6</v>
      </c>
      <c r="D43" s="78">
        <v>10.9</v>
      </c>
      <c r="E43" s="78">
        <v>33</v>
      </c>
      <c r="F43" s="78">
        <v>100</v>
      </c>
      <c r="G43" s="2"/>
      <c r="H43" s="78"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96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x14ac:dyDescent="0.55000000000000004">
      <c r="A44" s="76" t="s">
        <v>92</v>
      </c>
      <c r="B44" s="76"/>
      <c r="C44" s="97">
        <f>QUARTILE(C17:S20,1)</f>
        <v>3.7169999999999996</v>
      </c>
      <c r="D44" s="97">
        <f>QUARTILE(C23:S26,1)</f>
        <v>8.3500000000000014</v>
      </c>
      <c r="E44" s="98">
        <f>QUARTILE(C29:S32,1)</f>
        <v>21.524999999999999</v>
      </c>
      <c r="F44" s="98">
        <f>QUARTILE(C35:S38,1)</f>
        <v>64.974999999999994</v>
      </c>
      <c r="G44" s="2"/>
      <c r="H44" s="99">
        <f>QUARTILE(C7:S14,1)</f>
        <v>0.104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x14ac:dyDescent="0.55000000000000004">
      <c r="A45" s="76" t="s">
        <v>94</v>
      </c>
      <c r="B45" s="76"/>
      <c r="C45" s="97">
        <f>QUARTILE(C17:S20,3)</f>
        <v>6.7249999999999996</v>
      </c>
      <c r="D45" s="98">
        <f>QUARTILE(C23:S26,3)</f>
        <v>13.350000000000001</v>
      </c>
      <c r="E45" s="98">
        <f>QUARTILE(C29:S32,3)</f>
        <v>31.4</v>
      </c>
      <c r="F45" s="98">
        <f>QUARTILE(C35:S38,3)</f>
        <v>80.05</v>
      </c>
      <c r="G45" s="2"/>
      <c r="H45" s="99">
        <f>QUARTILE(C7:S14,3)</f>
        <v>0.104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x14ac:dyDescent="0.55000000000000004">
      <c r="A46" s="76" t="s">
        <v>96</v>
      </c>
      <c r="B46" s="76"/>
      <c r="C46" s="97">
        <f>(C45-C44)</f>
        <v>3.008</v>
      </c>
      <c r="D46" s="97">
        <f>(D45-D44)</f>
        <v>5</v>
      </c>
      <c r="E46" s="97">
        <f>(E45-E44)</f>
        <v>9.875</v>
      </c>
      <c r="F46" s="97">
        <f>(F45-F44)</f>
        <v>15.075000000000003</v>
      </c>
      <c r="G46" s="2"/>
      <c r="H46" s="99">
        <f>(H45-H44)</f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x14ac:dyDescent="0.55000000000000004">
      <c r="A47" s="76" t="s">
        <v>98</v>
      </c>
      <c r="B47" s="76"/>
      <c r="C47" s="97">
        <f>C45+(C46*1.5)</f>
        <v>11.237</v>
      </c>
      <c r="D47" s="98">
        <f>D45+(D46*1.5)</f>
        <v>20.85</v>
      </c>
      <c r="E47" s="98">
        <f>E45+(E46*1.5)</f>
        <v>46.212499999999999</v>
      </c>
      <c r="F47" s="100">
        <f>F45+(F46*1.5)</f>
        <v>102.66249999999999</v>
      </c>
      <c r="G47" s="2"/>
      <c r="H47" s="99">
        <f>H45+(H46*1.5)</f>
        <v>0.104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x14ac:dyDescent="0.55000000000000004">
      <c r="A48" s="76" t="s">
        <v>100</v>
      </c>
      <c r="B48" s="76"/>
      <c r="C48" s="97">
        <f>C44-(C46*1.5)</f>
        <v>-0.79500000000000082</v>
      </c>
      <c r="D48" s="97">
        <f>D44-(D46*1.5)</f>
        <v>0.85000000000000142</v>
      </c>
      <c r="E48" s="97">
        <f>E44-(E46*1.5)</f>
        <v>6.7124999999999986</v>
      </c>
      <c r="F48" s="98">
        <f>F44-(F46*1.5)</f>
        <v>42.36249999999999</v>
      </c>
      <c r="G48" s="2"/>
      <c r="H48" s="99">
        <f>H44-(H46*1.5)</f>
        <v>0.104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30" x14ac:dyDescent="0.5500000000000000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69"/>
      <c r="AA49" s="169"/>
      <c r="AB49" s="169"/>
      <c r="AC49" s="169"/>
      <c r="AD49" s="169"/>
    </row>
    <row r="50" spans="1:30" x14ac:dyDescent="0.55000000000000004">
      <c r="A50" s="2" t="s">
        <v>104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01"/>
      <c r="AA50" s="102"/>
      <c r="AB50" s="103"/>
      <c r="AC50" s="104"/>
      <c r="AD50" s="80"/>
    </row>
    <row r="51" spans="1:30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01"/>
      <c r="AA51" s="102"/>
      <c r="AB51" s="96"/>
      <c r="AC51" s="96"/>
      <c r="AD51" s="105"/>
    </row>
    <row r="52" spans="1:30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01"/>
      <c r="AA52" s="102"/>
      <c r="AB52" s="96"/>
      <c r="AC52" s="96"/>
      <c r="AD52" s="105"/>
    </row>
    <row r="53" spans="1:30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01"/>
      <c r="AA53" s="102"/>
      <c r="AB53" s="96"/>
      <c r="AC53" s="96"/>
      <c r="AD53" s="105"/>
    </row>
    <row r="54" spans="1:30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01"/>
      <c r="AA54" s="102"/>
      <c r="AB54" s="103"/>
      <c r="AC54" s="104"/>
      <c r="AD54" s="106"/>
    </row>
    <row r="55" spans="1:30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02"/>
      <c r="AA55" s="102"/>
      <c r="AB55" s="96"/>
      <c r="AC55" s="96"/>
      <c r="AD55" s="107"/>
    </row>
    <row r="56" spans="1:30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02"/>
      <c r="AA56" s="102"/>
      <c r="AB56" s="96"/>
      <c r="AC56" s="96"/>
      <c r="AD56" s="107"/>
    </row>
    <row r="57" spans="1:30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02"/>
      <c r="AA57" s="102"/>
      <c r="AB57" s="96"/>
      <c r="AC57" s="96"/>
      <c r="AD57" s="107"/>
    </row>
    <row r="58" spans="1:30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02"/>
      <c r="AA58" s="102"/>
      <c r="AB58" s="96"/>
      <c r="AC58" s="96"/>
      <c r="AD58" s="107"/>
    </row>
    <row r="59" spans="1:30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02"/>
      <c r="AA59" s="102"/>
      <c r="AB59" s="96"/>
      <c r="AC59" s="96"/>
      <c r="AD59" s="107"/>
    </row>
    <row r="60" spans="1:30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96"/>
      <c r="AA60" s="102"/>
      <c r="AB60" s="96"/>
      <c r="AC60" s="96"/>
      <c r="AD60" s="107"/>
    </row>
    <row r="61" spans="1:30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02"/>
      <c r="AA61" s="102"/>
      <c r="AB61" s="96"/>
      <c r="AC61" s="96"/>
      <c r="AD61" s="107"/>
    </row>
    <row r="62" spans="1:30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02"/>
      <c r="AA62" s="102"/>
      <c r="AB62" s="96"/>
      <c r="AC62" s="96"/>
      <c r="AD62" s="107"/>
    </row>
    <row r="63" spans="1:30" x14ac:dyDescent="0.550000000000000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02"/>
      <c r="AA63" s="102"/>
      <c r="AB63" s="96"/>
      <c r="AC63" s="108"/>
      <c r="AD63" s="109"/>
    </row>
    <row r="64" spans="1:30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02"/>
      <c r="AA64" s="102"/>
      <c r="AB64" s="96"/>
      <c r="AC64" s="108"/>
      <c r="AD64" s="109"/>
    </row>
    <row r="65" spans="26:30" x14ac:dyDescent="0.55000000000000004">
      <c r="Z65" s="102"/>
      <c r="AA65" s="102"/>
      <c r="AB65" s="96"/>
      <c r="AC65" s="108"/>
      <c r="AD65" s="109"/>
    </row>
    <row r="66" spans="26:30" x14ac:dyDescent="0.55000000000000004">
      <c r="Z66" s="102"/>
      <c r="AA66" s="102"/>
      <c r="AB66" s="96"/>
      <c r="AC66" s="108"/>
      <c r="AD66" s="109"/>
    </row>
    <row r="67" spans="26:30" x14ac:dyDescent="0.55000000000000004">
      <c r="Z67" s="102"/>
      <c r="AA67" s="102"/>
      <c r="AB67" s="96"/>
      <c r="AC67" s="108"/>
      <c r="AD67" s="109"/>
    </row>
    <row r="68" spans="26:30" x14ac:dyDescent="0.55000000000000004">
      <c r="Z68" s="102"/>
      <c r="AA68" s="102"/>
      <c r="AB68" s="96"/>
      <c r="AC68" s="108"/>
      <c r="AD68" s="109"/>
    </row>
    <row r="71" spans="26:30" x14ac:dyDescent="0.55000000000000004">
      <c r="Z71" s="168"/>
      <c r="AA71" s="168"/>
      <c r="AB71" s="168"/>
      <c r="AC71" s="168"/>
      <c r="AD71" s="168"/>
    </row>
    <row r="73" spans="26:30" x14ac:dyDescent="0.55000000000000004">
      <c r="Z73" s="168"/>
      <c r="AA73" s="168"/>
      <c r="AB73" s="168"/>
      <c r="AC73" s="168"/>
      <c r="AD73" s="168"/>
    </row>
    <row r="75" spans="26:30" x14ac:dyDescent="0.55000000000000004">
      <c r="Z75" s="168"/>
      <c r="AA75" s="168"/>
      <c r="AB75" s="168"/>
      <c r="AC75" s="168"/>
      <c r="AD75" s="168"/>
    </row>
    <row r="79" spans="26:30" x14ac:dyDescent="0.55000000000000004">
      <c r="Z79" s="168"/>
      <c r="AA79" s="168"/>
      <c r="AB79" s="168"/>
      <c r="AC79" s="168"/>
      <c r="AD79" s="168"/>
    </row>
    <row r="81" spans="26:30" x14ac:dyDescent="0.55000000000000004">
      <c r="Z81" s="168"/>
      <c r="AA81" s="168"/>
      <c r="AB81" s="168"/>
      <c r="AC81" s="168"/>
      <c r="AD81" s="168"/>
    </row>
    <row r="83" spans="26:30" x14ac:dyDescent="0.55000000000000004">
      <c r="Z83" s="168"/>
      <c r="AA83" s="168"/>
      <c r="AB83" s="168"/>
      <c r="AC83" s="168"/>
      <c r="AD83" s="168"/>
    </row>
    <row r="86" spans="26:30" x14ac:dyDescent="0.55000000000000004">
      <c r="Z86" s="168"/>
      <c r="AA86" s="168"/>
      <c r="AB86" s="168"/>
      <c r="AC86" s="168"/>
      <c r="AD86" s="168"/>
    </row>
    <row r="88" spans="26:30" x14ac:dyDescent="0.55000000000000004">
      <c r="Z88" s="168"/>
      <c r="AA88" s="168"/>
      <c r="AB88" s="168"/>
      <c r="AC88" s="168"/>
      <c r="AD88" s="168"/>
    </row>
  </sheetData>
  <mergeCells count="55">
    <mergeCell ref="BC6:BG6"/>
    <mergeCell ref="Z1:AD1"/>
    <mergeCell ref="Z2:AD2"/>
    <mergeCell ref="A4:X4"/>
    <mergeCell ref="Y4:BG4"/>
    <mergeCell ref="A5:A6"/>
    <mergeCell ref="B5:B6"/>
    <mergeCell ref="C5:S5"/>
    <mergeCell ref="U5:V5"/>
    <mergeCell ref="Y5:BG5"/>
    <mergeCell ref="Y6:AC6"/>
    <mergeCell ref="AD6:AH6"/>
    <mergeCell ref="AI6:AM6"/>
    <mergeCell ref="AN6:AR6"/>
    <mergeCell ref="AS6:AW6"/>
    <mergeCell ref="AX6:BB6"/>
    <mergeCell ref="U7:U14"/>
    <mergeCell ref="V7:V14"/>
    <mergeCell ref="X7:X14"/>
    <mergeCell ref="AD16:AH16"/>
    <mergeCell ref="AI16:AM16"/>
    <mergeCell ref="AS16:AW16"/>
    <mergeCell ref="AX16:BB16"/>
    <mergeCell ref="U17:U20"/>
    <mergeCell ref="V17:V20"/>
    <mergeCell ref="X17:X20"/>
    <mergeCell ref="AN16:AR16"/>
    <mergeCell ref="C41:G41"/>
    <mergeCell ref="I41:U41"/>
    <mergeCell ref="AN25:AR25"/>
    <mergeCell ref="AS25:AW25"/>
    <mergeCell ref="AX25:BB25"/>
    <mergeCell ref="U29:U32"/>
    <mergeCell ref="V29:V32"/>
    <mergeCell ref="X29:X32"/>
    <mergeCell ref="AG32:AT32"/>
    <mergeCell ref="U23:U26"/>
    <mergeCell ref="V23:V26"/>
    <mergeCell ref="X23:X26"/>
    <mergeCell ref="AD25:AH25"/>
    <mergeCell ref="AI25:AM25"/>
    <mergeCell ref="Z33:AE33"/>
    <mergeCell ref="AG33:AT33"/>
    <mergeCell ref="U35:U38"/>
    <mergeCell ref="V35:V38"/>
    <mergeCell ref="X35:X38"/>
    <mergeCell ref="Z83:AD83"/>
    <mergeCell ref="Z86:AD86"/>
    <mergeCell ref="Z88:AD88"/>
    <mergeCell ref="Z49:AD49"/>
    <mergeCell ref="Z71:AD71"/>
    <mergeCell ref="Z73:AD73"/>
    <mergeCell ref="Z75:AD75"/>
    <mergeCell ref="Z79:AD79"/>
    <mergeCell ref="Z81:AD8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0A1CB-BFC2-422E-A69E-511E69A1C592}">
  <dimension ref="A1:BG57"/>
  <sheetViews>
    <sheetView workbookViewId="0"/>
  </sheetViews>
  <sheetFormatPr defaultRowHeight="14.4" x14ac:dyDescent="0.55000000000000004"/>
  <cols>
    <col min="1" max="2" width="14.41796875" customWidth="1"/>
    <col min="4" max="12" width="7.578125" bestFit="1" customWidth="1"/>
    <col min="13" max="19" width="8.578125" bestFit="1" customWidth="1"/>
    <col min="20" max="20" width="6.578125" bestFit="1" customWidth="1"/>
    <col min="21" max="21" width="12" bestFit="1" customWidth="1"/>
    <col min="22" max="22" width="26.83984375" bestFit="1" customWidth="1"/>
    <col min="23" max="23" width="8.15625" bestFit="1" customWidth="1"/>
    <col min="24" max="24" width="10.578125" bestFit="1" customWidth="1"/>
    <col min="25" max="25" width="2.83984375" bestFit="1" customWidth="1"/>
    <col min="26" max="26" width="12.578125" customWidth="1"/>
    <col min="27" max="29" width="6.578125" customWidth="1"/>
    <col min="30" max="30" width="7" customWidth="1"/>
    <col min="31" max="31" width="12.578125" customWidth="1"/>
    <col min="32" max="34" width="6.578125" customWidth="1"/>
    <col min="35" max="35" width="4.26171875" customWidth="1"/>
    <col min="36" max="36" width="12.578125" customWidth="1"/>
    <col min="37" max="39" width="6.578125" customWidth="1"/>
    <col min="40" max="40" width="4" bestFit="1" customWidth="1"/>
    <col min="41" max="41" width="12.578125" customWidth="1"/>
    <col min="42" max="44" width="6.578125" customWidth="1"/>
    <col min="45" max="45" width="4" bestFit="1" customWidth="1"/>
    <col min="46" max="46" width="12.578125" customWidth="1"/>
    <col min="47" max="49" width="6.578125" customWidth="1"/>
    <col min="50" max="50" width="4" bestFit="1" customWidth="1"/>
    <col min="51" max="51" width="12.578125" customWidth="1"/>
    <col min="52" max="54" width="6.578125" customWidth="1"/>
    <col min="55" max="55" width="5" bestFit="1" customWidth="1"/>
    <col min="56" max="56" width="12.578125" customWidth="1"/>
    <col min="57" max="59" width="6.578125" customWidth="1"/>
  </cols>
  <sheetData>
    <row r="1" spans="1:59" ht="18.3" x14ac:dyDescent="0.7">
      <c r="A1" s="167" t="s">
        <v>187</v>
      </c>
    </row>
    <row r="2" spans="1:59" x14ac:dyDescent="0.55000000000000004">
      <c r="A2" s="2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4.7" thickBot="1" x14ac:dyDescent="0.6">
      <c r="A3" s="2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ht="14.7" thickBot="1" x14ac:dyDescent="0.6">
      <c r="A4" s="18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3"/>
      <c r="Y4" s="182" t="s">
        <v>3</v>
      </c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3"/>
    </row>
    <row r="5" spans="1:59" ht="15.75" customHeight="1" thickBot="1" x14ac:dyDescent="0.6">
      <c r="A5" s="204" t="s">
        <v>4</v>
      </c>
      <c r="B5" s="204" t="s">
        <v>5</v>
      </c>
      <c r="C5" s="206" t="s">
        <v>6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21"/>
      <c r="T5" s="145" t="s">
        <v>7</v>
      </c>
      <c r="U5" s="206" t="s">
        <v>8</v>
      </c>
      <c r="V5" s="207"/>
      <c r="W5" s="221"/>
      <c r="X5" s="222" t="s">
        <v>181</v>
      </c>
      <c r="Y5" s="208" t="s">
        <v>10</v>
      </c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4"/>
    </row>
    <row r="6" spans="1:59" ht="14.7" thickBot="1" x14ac:dyDescent="0.6">
      <c r="A6" s="205"/>
      <c r="B6" s="205"/>
      <c r="C6" s="6" t="s">
        <v>11</v>
      </c>
      <c r="D6" s="6" t="s">
        <v>12</v>
      </c>
      <c r="E6" s="6" t="s">
        <v>13</v>
      </c>
      <c r="F6" s="6" t="s">
        <v>14</v>
      </c>
      <c r="G6" s="67" t="s">
        <v>15</v>
      </c>
      <c r="H6" s="111" t="s">
        <v>16</v>
      </c>
      <c r="I6" s="67" t="s">
        <v>17</v>
      </c>
      <c r="J6" s="67" t="s">
        <v>18</v>
      </c>
      <c r="K6" s="67" t="s">
        <v>19</v>
      </c>
      <c r="L6" s="67" t="s">
        <v>20</v>
      </c>
      <c r="M6" s="67" t="s">
        <v>21</v>
      </c>
      <c r="N6" s="67" t="s">
        <v>22</v>
      </c>
      <c r="O6" s="67" t="s">
        <v>23</v>
      </c>
      <c r="P6" s="67" t="s">
        <v>24</v>
      </c>
      <c r="Q6" s="67" t="s">
        <v>25</v>
      </c>
      <c r="R6" s="67" t="s">
        <v>26</v>
      </c>
      <c r="S6" s="67" t="s">
        <v>27</v>
      </c>
      <c r="T6" s="11" t="s">
        <v>28</v>
      </c>
      <c r="U6" s="114" t="s">
        <v>29</v>
      </c>
      <c r="V6" s="9" t="s">
        <v>108</v>
      </c>
      <c r="W6" s="147" t="s">
        <v>31</v>
      </c>
      <c r="X6" s="223"/>
      <c r="Y6" s="199" t="s">
        <v>11</v>
      </c>
      <c r="Z6" s="200"/>
      <c r="AA6" s="200"/>
      <c r="AB6" s="200"/>
      <c r="AC6" s="201"/>
      <c r="AD6" s="178" t="s">
        <v>12</v>
      </c>
      <c r="AE6" s="179"/>
      <c r="AF6" s="179"/>
      <c r="AG6" s="179"/>
      <c r="AH6" s="180"/>
      <c r="AI6" s="178" t="s">
        <v>15</v>
      </c>
      <c r="AJ6" s="179"/>
      <c r="AK6" s="179"/>
      <c r="AL6" s="179"/>
      <c r="AM6" s="180"/>
      <c r="AN6" s="178" t="s">
        <v>18</v>
      </c>
      <c r="AO6" s="179"/>
      <c r="AP6" s="179"/>
      <c r="AQ6" s="179"/>
      <c r="AR6" s="180"/>
      <c r="AS6" s="178" t="s">
        <v>21</v>
      </c>
      <c r="AT6" s="179"/>
      <c r="AU6" s="179"/>
      <c r="AV6" s="179"/>
      <c r="AW6" s="180"/>
      <c r="AX6" s="178" t="s">
        <v>24</v>
      </c>
      <c r="AY6" s="179"/>
      <c r="AZ6" s="179"/>
      <c r="BA6" s="179"/>
      <c r="BB6" s="180"/>
      <c r="BC6" s="199" t="s">
        <v>27</v>
      </c>
      <c r="BD6" s="200"/>
      <c r="BE6" s="200"/>
      <c r="BF6" s="200"/>
      <c r="BG6" s="201"/>
    </row>
    <row r="7" spans="1:59" ht="14.7" thickBot="1" x14ac:dyDescent="0.6">
      <c r="A7" s="12" t="s">
        <v>33</v>
      </c>
      <c r="B7" s="13" t="s">
        <v>34</v>
      </c>
      <c r="C7" s="15">
        <v>9.9500000000000005E-2</v>
      </c>
      <c r="D7" s="115">
        <v>9.9500000000000005E-2</v>
      </c>
      <c r="E7" s="115"/>
      <c r="F7" s="115"/>
      <c r="G7" s="115"/>
      <c r="H7" s="115"/>
      <c r="I7" s="115"/>
      <c r="J7" s="115"/>
      <c r="K7" s="115"/>
      <c r="L7" s="115">
        <v>9.9500000000000005E-2</v>
      </c>
      <c r="M7" s="115"/>
      <c r="N7" s="115"/>
      <c r="O7" s="115"/>
      <c r="P7" s="115"/>
      <c r="Q7" s="115"/>
      <c r="R7" s="115"/>
      <c r="S7" s="115">
        <v>9.9500000000000005E-2</v>
      </c>
      <c r="T7" s="148">
        <f t="shared" ref="T7:T14" si="0">AVERAGE(C7:S7)</f>
        <v>9.9500000000000005E-2</v>
      </c>
      <c r="U7" s="213">
        <f>AVERAGE(T7:T14)</f>
        <v>9.9500000000000019E-2</v>
      </c>
      <c r="V7" s="216">
        <f>STDEV(T7:T14)/AVERAGE(U7)</f>
        <v>1.7484148426325401E-16</v>
      </c>
      <c r="W7" s="149"/>
      <c r="X7" s="219">
        <f>(U7/3.6)*100</f>
        <v>2.7638888888888893</v>
      </c>
      <c r="Y7" s="18" t="s">
        <v>35</v>
      </c>
      <c r="Z7" s="19" t="s">
        <v>36</v>
      </c>
      <c r="AA7" s="19" t="s">
        <v>37</v>
      </c>
      <c r="AB7" s="19" t="s">
        <v>38</v>
      </c>
      <c r="AC7" s="20" t="s">
        <v>39</v>
      </c>
      <c r="AD7" s="21" t="s">
        <v>35</v>
      </c>
      <c r="AE7" s="22" t="s">
        <v>36</v>
      </c>
      <c r="AF7" s="22" t="s">
        <v>37</v>
      </c>
      <c r="AG7" s="22" t="s">
        <v>38</v>
      </c>
      <c r="AH7" s="23" t="s">
        <v>39</v>
      </c>
      <c r="AI7" s="21" t="s">
        <v>35</v>
      </c>
      <c r="AJ7" s="22" t="s">
        <v>36</v>
      </c>
      <c r="AK7" s="22" t="s">
        <v>37</v>
      </c>
      <c r="AL7" s="22" t="s">
        <v>38</v>
      </c>
      <c r="AM7" s="23" t="s">
        <v>39</v>
      </c>
      <c r="AN7" s="21" t="s">
        <v>35</v>
      </c>
      <c r="AO7" s="22" t="s">
        <v>36</v>
      </c>
      <c r="AP7" s="22" t="s">
        <v>37</v>
      </c>
      <c r="AQ7" s="22" t="s">
        <v>38</v>
      </c>
      <c r="AR7" s="23" t="s">
        <v>39</v>
      </c>
      <c r="AS7" s="21" t="s">
        <v>35</v>
      </c>
      <c r="AT7" s="22" t="s">
        <v>36</v>
      </c>
      <c r="AU7" s="22" t="s">
        <v>37</v>
      </c>
      <c r="AV7" s="22" t="s">
        <v>38</v>
      </c>
      <c r="AW7" s="23" t="s">
        <v>39</v>
      </c>
      <c r="AX7" s="21" t="s">
        <v>35</v>
      </c>
      <c r="AY7" s="22" t="s">
        <v>36</v>
      </c>
      <c r="AZ7" s="22" t="s">
        <v>37</v>
      </c>
      <c r="BA7" s="22" t="s">
        <v>38</v>
      </c>
      <c r="BB7" s="23" t="s">
        <v>39</v>
      </c>
      <c r="BC7" s="21" t="s">
        <v>35</v>
      </c>
      <c r="BD7" s="22" t="s">
        <v>36</v>
      </c>
      <c r="BE7" s="22" t="s">
        <v>37</v>
      </c>
      <c r="BF7" s="22" t="s">
        <v>38</v>
      </c>
      <c r="BG7" s="23" t="s">
        <v>39</v>
      </c>
    </row>
    <row r="8" spans="1:59" ht="14.7" thickBot="1" x14ac:dyDescent="0.6">
      <c r="A8" s="12" t="s">
        <v>40</v>
      </c>
      <c r="B8" s="13" t="s">
        <v>34</v>
      </c>
      <c r="C8" s="15">
        <v>9.9500000000000005E-2</v>
      </c>
      <c r="D8" s="115"/>
      <c r="E8" s="115">
        <v>9.9500000000000005E-2</v>
      </c>
      <c r="F8" s="115"/>
      <c r="G8" s="115"/>
      <c r="H8" s="115"/>
      <c r="I8" s="115"/>
      <c r="J8" s="115"/>
      <c r="K8" s="115"/>
      <c r="L8" s="115"/>
      <c r="M8" s="115">
        <v>9.9500000000000005E-2</v>
      </c>
      <c r="N8" s="115"/>
      <c r="O8" s="115"/>
      <c r="P8" s="115"/>
      <c r="Q8" s="115"/>
      <c r="R8" s="115"/>
      <c r="S8" s="115">
        <v>9.9500000000000005E-2</v>
      </c>
      <c r="T8" s="148">
        <f t="shared" si="0"/>
        <v>9.9500000000000005E-2</v>
      </c>
      <c r="U8" s="214"/>
      <c r="V8" s="217"/>
      <c r="W8" s="149"/>
      <c r="X8" s="220"/>
      <c r="Y8" s="18">
        <v>33</v>
      </c>
      <c r="Z8" s="25" t="s">
        <v>41</v>
      </c>
      <c r="AA8" s="150">
        <v>1.95</v>
      </c>
      <c r="AB8" s="151">
        <v>9.9500000000000005E-2</v>
      </c>
      <c r="AC8" s="28">
        <f t="shared" ref="AC8:AC15" si="1">AVERAGE(AA8:AB8)</f>
        <v>1.02475</v>
      </c>
      <c r="AD8" s="21">
        <v>62</v>
      </c>
      <c r="AE8" s="25" t="s">
        <v>41</v>
      </c>
      <c r="AF8" s="22"/>
      <c r="AG8" s="22"/>
      <c r="AH8" s="23"/>
      <c r="AI8" s="21">
        <v>94</v>
      </c>
      <c r="AJ8" s="25" t="s">
        <v>42</v>
      </c>
      <c r="AK8" s="22"/>
      <c r="AL8" s="22"/>
      <c r="AM8" s="23"/>
      <c r="AN8" s="21">
        <v>230</v>
      </c>
      <c r="AO8" s="25" t="s">
        <v>43</v>
      </c>
      <c r="AP8" s="117"/>
      <c r="AQ8" s="22"/>
      <c r="AR8" s="32"/>
      <c r="AS8" s="21">
        <v>393</v>
      </c>
      <c r="AT8" s="25" t="s">
        <v>44</v>
      </c>
      <c r="AU8" s="22"/>
      <c r="AV8" s="22"/>
      <c r="AW8" s="23"/>
      <c r="AX8" s="21">
        <v>421</v>
      </c>
      <c r="AY8" s="25" t="s">
        <v>45</v>
      </c>
      <c r="AZ8" s="22"/>
      <c r="BA8" s="22"/>
      <c r="BB8" s="23"/>
      <c r="BC8" s="21">
        <v>1172</v>
      </c>
      <c r="BD8" s="25" t="s">
        <v>41</v>
      </c>
      <c r="BE8" s="22"/>
      <c r="BF8" s="22"/>
      <c r="BG8" s="23"/>
    </row>
    <row r="9" spans="1:59" ht="14.7" thickBot="1" x14ac:dyDescent="0.6">
      <c r="A9" s="12" t="s">
        <v>46</v>
      </c>
      <c r="B9" s="13" t="s">
        <v>34</v>
      </c>
      <c r="C9" s="15">
        <v>9.9500000000000005E-2</v>
      </c>
      <c r="D9" s="115"/>
      <c r="E9" s="115"/>
      <c r="F9" s="115">
        <v>9.9500000000000005E-2</v>
      </c>
      <c r="G9" s="115"/>
      <c r="H9" s="115"/>
      <c r="I9" s="115"/>
      <c r="J9" s="115"/>
      <c r="K9" s="115"/>
      <c r="L9" s="115"/>
      <c r="M9" s="115"/>
      <c r="N9" s="115">
        <v>9.9500000000000005E-2</v>
      </c>
      <c r="O9" s="115"/>
      <c r="P9" s="115"/>
      <c r="Q9" s="115"/>
      <c r="R9" s="115"/>
      <c r="S9" s="115">
        <v>9.9500000000000005E-2</v>
      </c>
      <c r="T9" s="148">
        <f t="shared" si="0"/>
        <v>9.9500000000000005E-2</v>
      </c>
      <c r="U9" s="214"/>
      <c r="V9" s="217"/>
      <c r="W9" s="152">
        <f>STDEV(T7:T14)/(SQRT(COUNT(T7:T14)))/U7</f>
        <v>6.1815799577633965E-17</v>
      </c>
      <c r="X9" s="220"/>
      <c r="Y9" s="18">
        <v>34</v>
      </c>
      <c r="Z9" s="25" t="s">
        <v>44</v>
      </c>
      <c r="AA9" s="150">
        <v>2.04</v>
      </c>
      <c r="AB9" s="151">
        <v>9.9500000000000005E-2</v>
      </c>
      <c r="AC9" s="28">
        <f t="shared" si="1"/>
        <v>1.06975</v>
      </c>
      <c r="AD9" s="21">
        <v>63</v>
      </c>
      <c r="AE9" s="25" t="s">
        <v>47</v>
      </c>
      <c r="AF9" s="22"/>
      <c r="AG9" s="22"/>
      <c r="AH9" s="23"/>
      <c r="AI9" s="21">
        <v>95</v>
      </c>
      <c r="AJ9" s="25" t="s">
        <v>48</v>
      </c>
      <c r="AK9" s="22"/>
      <c r="AL9" s="22"/>
      <c r="AM9" s="23"/>
      <c r="AN9" s="21">
        <v>231</v>
      </c>
      <c r="AO9" s="25" t="s">
        <v>49</v>
      </c>
      <c r="AP9" s="153">
        <v>9.9500000000000005E-2</v>
      </c>
      <c r="AQ9" s="132">
        <v>3.94</v>
      </c>
      <c r="AR9" s="119">
        <f>AVERAGE(AP9:AQ9)</f>
        <v>2.0197500000000002</v>
      </c>
      <c r="AS9" s="21">
        <v>394</v>
      </c>
      <c r="AT9" s="25" t="s">
        <v>50</v>
      </c>
      <c r="AU9" s="22"/>
      <c r="AV9" s="22"/>
      <c r="AW9" s="119"/>
      <c r="AX9" s="21">
        <v>422</v>
      </c>
      <c r="AY9" s="25" t="s">
        <v>47</v>
      </c>
      <c r="AZ9" s="22"/>
      <c r="BA9" s="22"/>
      <c r="BB9" s="23"/>
      <c r="BC9" s="21">
        <v>1173</v>
      </c>
      <c r="BD9" s="25" t="s">
        <v>44</v>
      </c>
      <c r="BE9" s="22"/>
      <c r="BF9" s="22"/>
      <c r="BG9" s="23"/>
    </row>
    <row r="10" spans="1:59" ht="14.7" thickBot="1" x14ac:dyDescent="0.6">
      <c r="A10" s="12" t="s">
        <v>51</v>
      </c>
      <c r="B10" s="13" t="s">
        <v>34</v>
      </c>
      <c r="C10" s="15">
        <v>9.9500000000000005E-2</v>
      </c>
      <c r="D10" s="115"/>
      <c r="E10" s="115"/>
      <c r="F10" s="115"/>
      <c r="G10" s="115">
        <v>9.9500000000000005E-2</v>
      </c>
      <c r="H10" s="115"/>
      <c r="I10" s="115"/>
      <c r="J10" s="115"/>
      <c r="K10" s="115"/>
      <c r="L10" s="115"/>
      <c r="M10" s="115"/>
      <c r="N10" s="115"/>
      <c r="O10" s="115">
        <v>9.9500000000000005E-2</v>
      </c>
      <c r="P10" s="115"/>
      <c r="Q10" s="115"/>
      <c r="R10" s="115"/>
      <c r="S10" s="115">
        <v>9.9500000000000005E-2</v>
      </c>
      <c r="T10" s="148">
        <f t="shared" si="0"/>
        <v>9.9500000000000005E-2</v>
      </c>
      <c r="U10" s="214"/>
      <c r="V10" s="217"/>
      <c r="W10" s="149"/>
      <c r="X10" s="220"/>
      <c r="Y10" s="18">
        <v>35</v>
      </c>
      <c r="Z10" s="25" t="s">
        <v>52</v>
      </c>
      <c r="AA10" s="150">
        <v>2</v>
      </c>
      <c r="AB10" s="151">
        <v>9.9500000000000005E-2</v>
      </c>
      <c r="AC10" s="28">
        <f t="shared" si="1"/>
        <v>1.04975</v>
      </c>
      <c r="AD10" s="21">
        <v>64</v>
      </c>
      <c r="AE10" s="25" t="s">
        <v>53</v>
      </c>
      <c r="AF10" s="22"/>
      <c r="AG10" s="22"/>
      <c r="AH10" s="23"/>
      <c r="AI10" s="21">
        <v>96</v>
      </c>
      <c r="AJ10" s="25" t="s">
        <v>54</v>
      </c>
      <c r="AK10" s="22"/>
      <c r="AL10" s="22"/>
      <c r="AM10" s="23"/>
      <c r="AN10" s="21">
        <v>232</v>
      </c>
      <c r="AO10" s="25" t="s">
        <v>55</v>
      </c>
      <c r="AP10" s="153">
        <v>9.9500000000000005E-2</v>
      </c>
      <c r="AQ10" s="31">
        <v>11.8</v>
      </c>
      <c r="AR10" s="119">
        <f>AVERAGE(AP10:AQ10)</f>
        <v>5.9497500000000008</v>
      </c>
      <c r="AS10" s="21">
        <v>395</v>
      </c>
      <c r="AT10" s="25" t="s">
        <v>56</v>
      </c>
      <c r="AU10" s="22"/>
      <c r="AV10" s="22"/>
      <c r="AW10" s="23"/>
      <c r="AX10" s="21">
        <v>423</v>
      </c>
      <c r="AY10" s="25" t="s">
        <v>53</v>
      </c>
      <c r="AZ10" s="22"/>
      <c r="BA10" s="22"/>
      <c r="BB10" s="23"/>
      <c r="BC10" s="21">
        <v>1174</v>
      </c>
      <c r="BD10" s="25" t="s">
        <v>52</v>
      </c>
      <c r="BE10" s="22"/>
      <c r="BF10" s="22"/>
      <c r="BG10" s="23"/>
    </row>
    <row r="11" spans="1:59" ht="14.7" thickBot="1" x14ac:dyDescent="0.6">
      <c r="A11" s="12" t="s">
        <v>57</v>
      </c>
      <c r="B11" s="13" t="s">
        <v>34</v>
      </c>
      <c r="C11" s="15">
        <v>9.9500000000000005E-2</v>
      </c>
      <c r="D11" s="115"/>
      <c r="E11" s="115"/>
      <c r="F11" s="115"/>
      <c r="G11" s="115"/>
      <c r="H11" s="115">
        <v>9.9500000000000005E-2</v>
      </c>
      <c r="I11" s="115"/>
      <c r="J11" s="115"/>
      <c r="K11" s="115"/>
      <c r="L11" s="115"/>
      <c r="M11" s="115"/>
      <c r="N11" s="115"/>
      <c r="O11" s="115"/>
      <c r="P11" s="115">
        <v>9.9500000000000005E-2</v>
      </c>
      <c r="Q11" s="115"/>
      <c r="R11" s="115"/>
      <c r="S11" s="115">
        <v>9.9500000000000005E-2</v>
      </c>
      <c r="T11" s="148">
        <f t="shared" si="0"/>
        <v>9.9500000000000005E-2</v>
      </c>
      <c r="U11" s="214"/>
      <c r="V11" s="217"/>
      <c r="W11" s="152">
        <f>STDEV(C15:S15)/(SQRT(COUNT((C15:S15))))/U7</f>
        <v>4.0558009075566477E-17</v>
      </c>
      <c r="X11" s="220"/>
      <c r="Y11" s="18">
        <v>36</v>
      </c>
      <c r="Z11" s="25" t="s">
        <v>42</v>
      </c>
      <c r="AA11" s="150">
        <v>1.82</v>
      </c>
      <c r="AB11" s="151">
        <v>9.9500000000000005E-2</v>
      </c>
      <c r="AC11" s="154">
        <f t="shared" si="1"/>
        <v>0.95974999999999999</v>
      </c>
      <c r="AD11" s="21">
        <v>65</v>
      </c>
      <c r="AE11" s="25" t="s">
        <v>58</v>
      </c>
      <c r="AF11" s="22"/>
      <c r="AG11" s="22"/>
      <c r="AH11" s="23"/>
      <c r="AI11" s="21">
        <v>97</v>
      </c>
      <c r="AJ11" s="25" t="s">
        <v>59</v>
      </c>
      <c r="AK11" s="22"/>
      <c r="AL11" s="22"/>
      <c r="AM11" s="23"/>
      <c r="AN11" s="21">
        <v>233</v>
      </c>
      <c r="AO11" s="25" t="s">
        <v>60</v>
      </c>
      <c r="AP11" s="153">
        <v>9.9500000000000005E-2</v>
      </c>
      <c r="AQ11" s="31">
        <v>34.5</v>
      </c>
      <c r="AR11" s="121">
        <f>AVERAGE(AP11:AQ11)</f>
        <v>17.29975</v>
      </c>
      <c r="AS11" s="21">
        <v>396</v>
      </c>
      <c r="AT11" s="25" t="s">
        <v>61</v>
      </c>
      <c r="AU11" s="22"/>
      <c r="AV11" s="22"/>
      <c r="AW11" s="23"/>
      <c r="AX11" s="21">
        <v>424</v>
      </c>
      <c r="AY11" s="25" t="s">
        <v>58</v>
      </c>
      <c r="AZ11" s="22"/>
      <c r="BA11" s="22"/>
      <c r="BB11" s="38"/>
      <c r="BC11" s="21">
        <v>1175</v>
      </c>
      <c r="BD11" s="25" t="s">
        <v>42</v>
      </c>
      <c r="BE11" s="22"/>
      <c r="BF11" s="22"/>
      <c r="BG11" s="23"/>
    </row>
    <row r="12" spans="1:59" ht="14.7" thickBot="1" x14ac:dyDescent="0.6">
      <c r="A12" s="12" t="s">
        <v>62</v>
      </c>
      <c r="B12" s="13" t="s">
        <v>34</v>
      </c>
      <c r="C12" s="15">
        <v>9.9500000000000005E-2</v>
      </c>
      <c r="D12" s="115"/>
      <c r="E12" s="115"/>
      <c r="F12" s="115"/>
      <c r="G12" s="115"/>
      <c r="H12" s="115"/>
      <c r="I12" s="115">
        <v>9.9500000000000005E-2</v>
      </c>
      <c r="J12" s="115"/>
      <c r="K12" s="115"/>
      <c r="L12" s="115"/>
      <c r="M12" s="115"/>
      <c r="N12" s="115"/>
      <c r="O12" s="115"/>
      <c r="P12" s="115"/>
      <c r="Q12" s="115">
        <v>9.9500000000000005E-2</v>
      </c>
      <c r="R12" s="115"/>
      <c r="S12" s="115">
        <v>9.9500000000000005E-2</v>
      </c>
      <c r="T12" s="148">
        <f t="shared" si="0"/>
        <v>9.9500000000000005E-2</v>
      </c>
      <c r="U12" s="214"/>
      <c r="V12" s="217"/>
      <c r="W12" s="149"/>
      <c r="X12" s="220"/>
      <c r="Y12" s="18">
        <v>37</v>
      </c>
      <c r="Z12" s="25" t="s">
        <v>45</v>
      </c>
      <c r="AA12" s="150">
        <v>2.39</v>
      </c>
      <c r="AB12" s="151">
        <v>9.9500000000000005E-2</v>
      </c>
      <c r="AC12" s="28">
        <f t="shared" si="1"/>
        <v>1.24475</v>
      </c>
      <c r="AD12" s="39">
        <v>66</v>
      </c>
      <c r="AE12" s="40" t="s">
        <v>63</v>
      </c>
      <c r="AF12" s="41"/>
      <c r="AG12" s="41"/>
      <c r="AH12" s="42"/>
      <c r="AI12" s="39">
        <v>98</v>
      </c>
      <c r="AJ12" s="40" t="s">
        <v>64</v>
      </c>
      <c r="AK12" s="41"/>
      <c r="AL12" s="41"/>
      <c r="AM12" s="42"/>
      <c r="AN12" s="39">
        <v>234</v>
      </c>
      <c r="AO12" s="40" t="s">
        <v>65</v>
      </c>
      <c r="AP12" s="155">
        <v>9.9500000000000005E-2</v>
      </c>
      <c r="AQ12" s="44">
        <v>108</v>
      </c>
      <c r="AR12" s="123">
        <f>AVERAGE(AP12:AQ12)</f>
        <v>54.049750000000003</v>
      </c>
      <c r="AS12" s="39">
        <v>397</v>
      </c>
      <c r="AT12" s="40" t="s">
        <v>66</v>
      </c>
      <c r="AU12" s="41"/>
      <c r="AV12" s="41"/>
      <c r="AW12" s="123"/>
      <c r="AX12" s="39">
        <v>425</v>
      </c>
      <c r="AY12" s="40" t="s">
        <v>63</v>
      </c>
      <c r="AZ12" s="41"/>
      <c r="BA12" s="41"/>
      <c r="BB12" s="46"/>
      <c r="BC12" s="21">
        <v>1176</v>
      </c>
      <c r="BD12" s="25" t="s">
        <v>45</v>
      </c>
      <c r="BE12" s="22"/>
      <c r="BF12" s="22"/>
      <c r="BG12" s="23"/>
    </row>
    <row r="13" spans="1:59" ht="14.7" thickBot="1" x14ac:dyDescent="0.6">
      <c r="A13" s="12" t="s">
        <v>67</v>
      </c>
      <c r="B13" s="13" t="s">
        <v>34</v>
      </c>
      <c r="C13" s="15">
        <v>9.9500000000000005E-2</v>
      </c>
      <c r="D13" s="115"/>
      <c r="E13" s="115"/>
      <c r="F13" s="115"/>
      <c r="G13" s="115"/>
      <c r="H13" s="115"/>
      <c r="I13" s="115"/>
      <c r="J13" s="115">
        <v>9.9500000000000005E-2</v>
      </c>
      <c r="K13" s="115"/>
      <c r="L13" s="115"/>
      <c r="M13" s="115"/>
      <c r="N13" s="115"/>
      <c r="O13" s="115"/>
      <c r="P13" s="115"/>
      <c r="Q13" s="115"/>
      <c r="R13" s="115">
        <v>9.9500000000000005E-2</v>
      </c>
      <c r="S13" s="115">
        <v>9.9500000000000005E-2</v>
      </c>
      <c r="T13" s="148">
        <f t="shared" si="0"/>
        <v>9.9500000000000005E-2</v>
      </c>
      <c r="U13" s="214"/>
      <c r="V13" s="217"/>
      <c r="W13" s="149"/>
      <c r="X13" s="220"/>
      <c r="Y13" s="18">
        <v>38</v>
      </c>
      <c r="Z13" s="25" t="s">
        <v>68</v>
      </c>
      <c r="AA13" s="156">
        <v>2.83</v>
      </c>
      <c r="AB13" s="157">
        <v>9.9500000000000005E-2</v>
      </c>
      <c r="AC13" s="28">
        <f t="shared" si="1"/>
        <v>1.46475</v>
      </c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21">
        <v>1177</v>
      </c>
      <c r="BD13" s="25" t="s">
        <v>68</v>
      </c>
      <c r="BE13" s="22"/>
      <c r="BF13" s="22"/>
      <c r="BG13" s="23"/>
    </row>
    <row r="14" spans="1:59" ht="14.7" thickBot="1" x14ac:dyDescent="0.6">
      <c r="A14" s="12" t="s">
        <v>69</v>
      </c>
      <c r="B14" s="13" t="s">
        <v>34</v>
      </c>
      <c r="C14" s="15">
        <v>9.9500000000000005E-2</v>
      </c>
      <c r="D14" s="115"/>
      <c r="E14" s="115"/>
      <c r="F14" s="115"/>
      <c r="G14" s="115"/>
      <c r="H14" s="115"/>
      <c r="I14" s="115"/>
      <c r="J14" s="115"/>
      <c r="K14" s="115">
        <v>9.9500000000000005E-2</v>
      </c>
      <c r="L14" s="115"/>
      <c r="M14" s="115"/>
      <c r="N14" s="115"/>
      <c r="O14" s="115"/>
      <c r="P14" s="115"/>
      <c r="Q14" s="115"/>
      <c r="R14" s="115"/>
      <c r="S14" s="115">
        <v>9.9500000000000005E-2</v>
      </c>
      <c r="T14" s="148">
        <f t="shared" si="0"/>
        <v>9.9499999999999991E-2</v>
      </c>
      <c r="U14" s="215"/>
      <c r="V14" s="218"/>
      <c r="W14" s="149"/>
      <c r="X14" s="220"/>
      <c r="Y14" s="18">
        <v>39</v>
      </c>
      <c r="Z14" s="25" t="s">
        <v>43</v>
      </c>
      <c r="AA14" s="156">
        <v>2.23</v>
      </c>
      <c r="AB14" s="157">
        <v>9.9500000000000005E-2</v>
      </c>
      <c r="AC14" s="28">
        <f t="shared" si="1"/>
        <v>1.16475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21">
        <v>1178</v>
      </c>
      <c r="BD14" s="25" t="s">
        <v>43</v>
      </c>
      <c r="BE14" s="22"/>
      <c r="BF14" s="22"/>
      <c r="BG14" s="23"/>
    </row>
    <row r="15" spans="1:59" ht="14.7" thickBot="1" x14ac:dyDescent="0.6">
      <c r="A15" s="49" t="s">
        <v>70</v>
      </c>
      <c r="B15" s="50"/>
      <c r="C15" s="158">
        <f t="shared" ref="C15:T15" si="2">AVERAGE(C7:C14)</f>
        <v>9.9500000000000019E-2</v>
      </c>
      <c r="D15" s="158">
        <f t="shared" si="2"/>
        <v>9.9500000000000005E-2</v>
      </c>
      <c r="E15" s="158">
        <f t="shared" si="2"/>
        <v>9.9500000000000005E-2</v>
      </c>
      <c r="F15" s="158">
        <f t="shared" si="2"/>
        <v>9.9500000000000005E-2</v>
      </c>
      <c r="G15" s="158">
        <f t="shared" si="2"/>
        <v>9.9500000000000005E-2</v>
      </c>
      <c r="H15" s="158">
        <f t="shared" si="2"/>
        <v>9.9500000000000005E-2</v>
      </c>
      <c r="I15" s="158">
        <f t="shared" si="2"/>
        <v>9.9500000000000005E-2</v>
      </c>
      <c r="J15" s="158">
        <f t="shared" si="2"/>
        <v>9.9500000000000005E-2</v>
      </c>
      <c r="K15" s="158">
        <f t="shared" si="2"/>
        <v>9.9500000000000005E-2</v>
      </c>
      <c r="L15" s="158">
        <f t="shared" si="2"/>
        <v>9.9500000000000005E-2</v>
      </c>
      <c r="M15" s="158">
        <f t="shared" si="2"/>
        <v>9.9500000000000005E-2</v>
      </c>
      <c r="N15" s="158">
        <f t="shared" si="2"/>
        <v>9.9500000000000005E-2</v>
      </c>
      <c r="O15" s="158">
        <f t="shared" si="2"/>
        <v>9.9500000000000005E-2</v>
      </c>
      <c r="P15" s="158">
        <f t="shared" si="2"/>
        <v>9.9500000000000005E-2</v>
      </c>
      <c r="Q15" s="158">
        <f t="shared" si="2"/>
        <v>9.9500000000000005E-2</v>
      </c>
      <c r="R15" s="158">
        <f t="shared" si="2"/>
        <v>9.9500000000000005E-2</v>
      </c>
      <c r="S15" s="158">
        <f t="shared" si="2"/>
        <v>9.9500000000000019E-2</v>
      </c>
      <c r="T15" s="158">
        <f t="shared" si="2"/>
        <v>9.9500000000000019E-2</v>
      </c>
      <c r="U15" s="52"/>
      <c r="V15" s="52"/>
      <c r="W15" s="159"/>
      <c r="X15" s="160"/>
      <c r="Y15" s="18">
        <v>40</v>
      </c>
      <c r="Z15" s="25" t="s">
        <v>71</v>
      </c>
      <c r="AA15" s="156">
        <v>2.16</v>
      </c>
      <c r="AB15" s="157">
        <v>9.9500000000000005E-2</v>
      </c>
      <c r="AC15" s="28">
        <f t="shared" si="1"/>
        <v>1.12975</v>
      </c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21">
        <v>1179</v>
      </c>
      <c r="BD15" s="25" t="s">
        <v>71</v>
      </c>
      <c r="BE15" s="22"/>
      <c r="BF15" s="22"/>
      <c r="BG15" s="23"/>
    </row>
    <row r="16" spans="1:59" ht="14.7" thickBot="1" x14ac:dyDescent="0.6">
      <c r="A16" s="49" t="s">
        <v>72</v>
      </c>
      <c r="B16" s="50"/>
      <c r="C16" s="158">
        <f>(STDEV(C7:C14)/AVERAGE(C7:C14))*100</f>
        <v>1.4910531877441578E-14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58">
        <f>(STDEV(S7:S14)/AVERAGE(S7:S14))*100</f>
        <v>1.4910531877441578E-14</v>
      </c>
      <c r="T16" s="158">
        <f>(STDEV(T7:T14)/AVERAGE(T7:T14))*100</f>
        <v>1.7484148426325402E-14</v>
      </c>
      <c r="U16" s="52"/>
      <c r="V16" s="52"/>
      <c r="W16" s="162"/>
      <c r="X16" s="163"/>
      <c r="Y16" s="18">
        <v>41</v>
      </c>
      <c r="Z16" s="25" t="s">
        <v>47</v>
      </c>
      <c r="AA16" s="19"/>
      <c r="AB16" s="19"/>
      <c r="AC16" s="28"/>
      <c r="AD16" s="178" t="s">
        <v>13</v>
      </c>
      <c r="AE16" s="179"/>
      <c r="AF16" s="179"/>
      <c r="AG16" s="179"/>
      <c r="AH16" s="180"/>
      <c r="AI16" s="178" t="s">
        <v>16</v>
      </c>
      <c r="AJ16" s="179"/>
      <c r="AK16" s="179"/>
      <c r="AL16" s="179"/>
      <c r="AM16" s="180"/>
      <c r="AN16" s="178" t="s">
        <v>19</v>
      </c>
      <c r="AO16" s="179"/>
      <c r="AP16" s="179"/>
      <c r="AQ16" s="179"/>
      <c r="AR16" s="180"/>
      <c r="AS16" s="178" t="s">
        <v>22</v>
      </c>
      <c r="AT16" s="179"/>
      <c r="AU16" s="179"/>
      <c r="AV16" s="179"/>
      <c r="AW16" s="180"/>
      <c r="AX16" s="178" t="s">
        <v>25</v>
      </c>
      <c r="AY16" s="179"/>
      <c r="AZ16" s="179"/>
      <c r="BA16" s="179"/>
      <c r="BB16" s="180"/>
      <c r="BC16" s="21">
        <v>1180</v>
      </c>
      <c r="BD16" s="25" t="s">
        <v>47</v>
      </c>
      <c r="BE16" s="22"/>
      <c r="BF16" s="22"/>
      <c r="BG16" s="23"/>
    </row>
    <row r="17" spans="1:59" ht="15.75" customHeight="1" thickBot="1" x14ac:dyDescent="0.6">
      <c r="A17" s="12" t="s">
        <v>73</v>
      </c>
      <c r="B17" s="58">
        <v>3.6</v>
      </c>
      <c r="C17" s="58">
        <v>4.0999999999999996</v>
      </c>
      <c r="D17" s="58">
        <v>2.17</v>
      </c>
      <c r="E17" s="58" t="s">
        <v>182</v>
      </c>
      <c r="F17" s="58" t="s">
        <v>182</v>
      </c>
      <c r="G17" s="58"/>
      <c r="H17" s="58">
        <v>4.2300000000000004</v>
      </c>
      <c r="I17" s="58"/>
      <c r="J17" s="58"/>
      <c r="K17" s="58"/>
      <c r="L17" s="58">
        <v>3.87</v>
      </c>
      <c r="M17" s="58"/>
      <c r="N17" s="58"/>
      <c r="O17" s="58"/>
      <c r="P17" s="58">
        <v>4.05</v>
      </c>
      <c r="Q17" s="58"/>
      <c r="R17" s="58"/>
      <c r="S17" s="58">
        <v>5.32</v>
      </c>
      <c r="T17" s="60">
        <f>AVERAGE(C17:S17)</f>
        <v>3.956666666666667</v>
      </c>
      <c r="U17" s="186">
        <f>AVERAGE(T17:T20)</f>
        <v>4.2286666666666664</v>
      </c>
      <c r="V17" s="210">
        <f>STDEV(T17:T20)/AVERAGE(U17)</f>
        <v>6.375401612496244E-2</v>
      </c>
      <c r="W17" s="61"/>
      <c r="X17" s="211">
        <f>(U17/3.6)*100</f>
        <v>117.46296296296295</v>
      </c>
      <c r="Y17" s="18">
        <v>42</v>
      </c>
      <c r="Z17" s="25" t="s">
        <v>50</v>
      </c>
      <c r="AA17" s="19"/>
      <c r="AB17" s="19"/>
      <c r="AC17" s="28"/>
      <c r="AD17" s="21" t="s">
        <v>35</v>
      </c>
      <c r="AE17" s="22" t="s">
        <v>36</v>
      </c>
      <c r="AF17" s="22" t="s">
        <v>37</v>
      </c>
      <c r="AG17" s="22" t="s">
        <v>38</v>
      </c>
      <c r="AH17" s="23" t="s">
        <v>39</v>
      </c>
      <c r="AI17" s="21" t="s">
        <v>35</v>
      </c>
      <c r="AJ17" s="22" t="s">
        <v>36</v>
      </c>
      <c r="AK17" s="22" t="s">
        <v>37</v>
      </c>
      <c r="AL17" s="22" t="s">
        <v>38</v>
      </c>
      <c r="AM17" s="23" t="s">
        <v>39</v>
      </c>
      <c r="AN17" s="21" t="s">
        <v>35</v>
      </c>
      <c r="AO17" s="22" t="s">
        <v>36</v>
      </c>
      <c r="AP17" s="22" t="s">
        <v>37</v>
      </c>
      <c r="AQ17" s="22" t="s">
        <v>38</v>
      </c>
      <c r="AR17" s="23" t="s">
        <v>39</v>
      </c>
      <c r="AS17" s="21" t="s">
        <v>35</v>
      </c>
      <c r="AT17" s="22" t="s">
        <v>36</v>
      </c>
      <c r="AU17" s="22" t="s">
        <v>37</v>
      </c>
      <c r="AV17" s="22" t="s">
        <v>38</v>
      </c>
      <c r="AW17" s="23" t="s">
        <v>39</v>
      </c>
      <c r="AX17" s="21" t="s">
        <v>35</v>
      </c>
      <c r="AY17" s="22" t="s">
        <v>36</v>
      </c>
      <c r="AZ17" s="22" t="s">
        <v>37</v>
      </c>
      <c r="BA17" s="22" t="s">
        <v>38</v>
      </c>
      <c r="BB17" s="23" t="s">
        <v>39</v>
      </c>
      <c r="BC17" s="21">
        <v>1181</v>
      </c>
      <c r="BD17" s="25" t="s">
        <v>50</v>
      </c>
      <c r="BE17" s="22"/>
      <c r="BF17" s="22"/>
      <c r="BG17" s="23"/>
    </row>
    <row r="18" spans="1:59" ht="14.7" thickBot="1" x14ac:dyDescent="0.6">
      <c r="A18" s="12" t="s">
        <v>74</v>
      </c>
      <c r="B18" s="58">
        <v>3.6</v>
      </c>
      <c r="C18" s="58">
        <v>4.49</v>
      </c>
      <c r="D18" s="58" t="s">
        <v>182</v>
      </c>
      <c r="E18" s="58">
        <v>2.82</v>
      </c>
      <c r="F18" s="58" t="s">
        <v>182</v>
      </c>
      <c r="G18" s="58"/>
      <c r="H18" s="58"/>
      <c r="I18" s="58">
        <v>3.56</v>
      </c>
      <c r="J18" s="58"/>
      <c r="K18" s="58"/>
      <c r="L18" s="58"/>
      <c r="M18" s="58">
        <v>3.38</v>
      </c>
      <c r="N18" s="58"/>
      <c r="O18" s="58"/>
      <c r="P18" s="58"/>
      <c r="Q18" s="58">
        <v>4.3099999999999996</v>
      </c>
      <c r="R18" s="58"/>
      <c r="S18" s="58">
        <v>5.7</v>
      </c>
      <c r="T18" s="60">
        <f>AVERAGE(C18:S18)</f>
        <v>4.043333333333333</v>
      </c>
      <c r="U18" s="186">
        <f>AVERAGE(U4:U17)</f>
        <v>2.1640833333333331</v>
      </c>
      <c r="V18" s="210"/>
      <c r="W18" s="33">
        <f>STDEV(T17:T20)/(SQRT(COUNT(T17:T20)))/U17</f>
        <v>3.187700806248122E-2</v>
      </c>
      <c r="X18" s="212"/>
      <c r="Y18" s="18">
        <v>43</v>
      </c>
      <c r="Z18" s="25" t="s">
        <v>49</v>
      </c>
      <c r="AA18" s="19"/>
      <c r="AB18" s="19"/>
      <c r="AC18" s="28"/>
      <c r="AD18" s="21">
        <v>70</v>
      </c>
      <c r="AE18" s="25" t="s">
        <v>44</v>
      </c>
      <c r="AF18" s="22"/>
      <c r="AG18" s="22"/>
      <c r="AH18" s="32"/>
      <c r="AI18" s="21">
        <v>101</v>
      </c>
      <c r="AJ18" s="25" t="s">
        <v>45</v>
      </c>
      <c r="AK18" s="22"/>
      <c r="AL18" s="22"/>
      <c r="AM18" s="38"/>
      <c r="AN18" s="21">
        <v>249</v>
      </c>
      <c r="AO18" s="25" t="s">
        <v>71</v>
      </c>
      <c r="AP18" s="22"/>
      <c r="AQ18" s="22"/>
      <c r="AR18" s="23"/>
      <c r="AS18" s="21">
        <v>403</v>
      </c>
      <c r="AT18" s="25" t="s">
        <v>52</v>
      </c>
      <c r="AU18" s="22"/>
      <c r="AV18" s="22"/>
      <c r="AW18" s="23"/>
      <c r="AX18" s="21">
        <v>431</v>
      </c>
      <c r="AY18" s="25" t="s">
        <v>68</v>
      </c>
      <c r="AZ18" s="22"/>
      <c r="BA18" s="22"/>
      <c r="BB18" s="23"/>
      <c r="BC18" s="21">
        <v>1182</v>
      </c>
      <c r="BD18" s="25" t="s">
        <v>49</v>
      </c>
      <c r="BE18" s="22"/>
      <c r="BF18" s="22"/>
      <c r="BG18" s="23"/>
    </row>
    <row r="19" spans="1:59" ht="14.7" thickBot="1" x14ac:dyDescent="0.6">
      <c r="A19" s="12" t="s">
        <v>75</v>
      </c>
      <c r="B19" s="58">
        <v>3.6</v>
      </c>
      <c r="C19" s="58">
        <v>4.7699999999999996</v>
      </c>
      <c r="D19" s="58" t="s">
        <v>182</v>
      </c>
      <c r="E19" s="58" t="s">
        <v>182</v>
      </c>
      <c r="F19" s="129">
        <v>1.32</v>
      </c>
      <c r="G19" s="58"/>
      <c r="H19" s="58"/>
      <c r="I19" s="58"/>
      <c r="J19" s="59">
        <v>3.94</v>
      </c>
      <c r="K19" s="58"/>
      <c r="L19" s="58"/>
      <c r="M19" s="58"/>
      <c r="N19" s="58">
        <v>3.28</v>
      </c>
      <c r="O19" s="58"/>
      <c r="P19" s="58"/>
      <c r="Q19" s="58"/>
      <c r="R19" s="129">
        <v>7.29</v>
      </c>
      <c r="S19" s="58">
        <v>5.84</v>
      </c>
      <c r="T19" s="60">
        <f>AVERAGE(C19:S19)</f>
        <v>4.4066666666666663</v>
      </c>
      <c r="U19" s="186">
        <f>AVERAGE(U5:U18)</f>
        <v>2.1640833333333331</v>
      </c>
      <c r="V19" s="210"/>
      <c r="W19" s="33">
        <f>STDEV(C21:S21)/(SQRT(COUNT((C21:S21))))/U17</f>
        <v>7.5691022086474644E-2</v>
      </c>
      <c r="X19" s="212"/>
      <c r="Y19" s="18">
        <v>44</v>
      </c>
      <c r="Z19" s="25" t="s">
        <v>48</v>
      </c>
      <c r="AA19" s="19"/>
      <c r="AB19" s="19"/>
      <c r="AC19" s="28"/>
      <c r="AD19" s="21">
        <v>71</v>
      </c>
      <c r="AE19" s="25" t="s">
        <v>50</v>
      </c>
      <c r="AF19" s="22"/>
      <c r="AG19" s="22"/>
      <c r="AH19" s="23"/>
      <c r="AI19" s="21">
        <v>102</v>
      </c>
      <c r="AJ19" s="25" t="s">
        <v>47</v>
      </c>
      <c r="AK19" s="63"/>
      <c r="AL19" s="22"/>
      <c r="AM19" s="119"/>
      <c r="AN19" s="21">
        <v>250</v>
      </c>
      <c r="AO19" s="25" t="s">
        <v>48</v>
      </c>
      <c r="AP19" s="22"/>
      <c r="AQ19" s="22"/>
      <c r="AR19" s="23"/>
      <c r="AS19" s="21">
        <v>404</v>
      </c>
      <c r="AT19" s="25" t="s">
        <v>49</v>
      </c>
      <c r="AU19" s="22"/>
      <c r="AV19" s="22"/>
      <c r="AW19" s="23"/>
      <c r="AX19" s="21">
        <v>432</v>
      </c>
      <c r="AY19" s="25" t="s">
        <v>50</v>
      </c>
      <c r="AZ19" s="22"/>
      <c r="BA19" s="22"/>
      <c r="BB19" s="23"/>
      <c r="BC19" s="21">
        <v>1183</v>
      </c>
      <c r="BD19" s="25" t="s">
        <v>48</v>
      </c>
      <c r="BE19" s="22"/>
      <c r="BF19" s="22"/>
      <c r="BG19" s="23"/>
    </row>
    <row r="20" spans="1:59" ht="14.7" thickBot="1" x14ac:dyDescent="0.6">
      <c r="A20" s="12" t="s">
        <v>76</v>
      </c>
      <c r="B20" s="58">
        <v>3.6</v>
      </c>
      <c r="C20" s="58">
        <v>5</v>
      </c>
      <c r="D20" s="58" t="s">
        <v>182</v>
      </c>
      <c r="E20" s="58" t="s">
        <v>182</v>
      </c>
      <c r="F20" s="58" t="s">
        <v>182</v>
      </c>
      <c r="G20" s="58">
        <v>3.53</v>
      </c>
      <c r="H20" s="58"/>
      <c r="I20" s="58"/>
      <c r="J20" s="58"/>
      <c r="K20" s="58">
        <v>4.55</v>
      </c>
      <c r="L20" s="58"/>
      <c r="M20" s="58"/>
      <c r="N20" s="58"/>
      <c r="O20" s="58">
        <v>3.48</v>
      </c>
      <c r="P20" s="58"/>
      <c r="Q20" s="58"/>
      <c r="R20" s="58"/>
      <c r="S20" s="58">
        <v>5.98</v>
      </c>
      <c r="T20" s="60">
        <f>AVERAGE(C20:S20)</f>
        <v>4.508</v>
      </c>
      <c r="U20" s="186">
        <f>AVERAGE(U6:U19)</f>
        <v>2.1640833333333331</v>
      </c>
      <c r="V20" s="210"/>
      <c r="W20" s="120"/>
      <c r="X20" s="212"/>
      <c r="Y20" s="18">
        <v>45</v>
      </c>
      <c r="Z20" s="25" t="s">
        <v>53</v>
      </c>
      <c r="AA20" s="19"/>
      <c r="AB20" s="19"/>
      <c r="AC20" s="28"/>
      <c r="AD20" s="21">
        <v>72</v>
      </c>
      <c r="AE20" s="25" t="s">
        <v>56</v>
      </c>
      <c r="AF20" s="22"/>
      <c r="AG20" s="22"/>
      <c r="AH20" s="23"/>
      <c r="AI20" s="21">
        <v>103</v>
      </c>
      <c r="AJ20" s="25" t="s">
        <v>53</v>
      </c>
      <c r="AK20" s="22"/>
      <c r="AL20" s="22"/>
      <c r="AM20" s="23"/>
      <c r="AN20" s="21">
        <v>251</v>
      </c>
      <c r="AO20" s="25" t="s">
        <v>54</v>
      </c>
      <c r="AP20" s="22"/>
      <c r="AQ20" s="22"/>
      <c r="AR20" s="23"/>
      <c r="AS20" s="21">
        <v>405</v>
      </c>
      <c r="AT20" s="25" t="s">
        <v>55</v>
      </c>
      <c r="AU20" s="22"/>
      <c r="AV20" s="22"/>
      <c r="AW20" s="23"/>
      <c r="AX20" s="21">
        <v>433</v>
      </c>
      <c r="AY20" s="25" t="s">
        <v>56</v>
      </c>
      <c r="AZ20" s="22"/>
      <c r="BA20" s="22"/>
      <c r="BB20" s="23"/>
      <c r="BC20" s="21">
        <v>1184</v>
      </c>
      <c r="BD20" s="25" t="s">
        <v>53</v>
      </c>
      <c r="BE20" s="22"/>
      <c r="BF20" s="22"/>
      <c r="BG20" s="23"/>
    </row>
    <row r="21" spans="1:59" ht="14.7" thickBot="1" x14ac:dyDescent="0.6">
      <c r="A21" s="49" t="s">
        <v>77</v>
      </c>
      <c r="B21" s="50"/>
      <c r="C21" s="65">
        <f>AVERAGE(C17:C20)</f>
        <v>4.59</v>
      </c>
      <c r="D21" s="65">
        <f>AVERAGE(D17:D20)</f>
        <v>2.17</v>
      </c>
      <c r="E21" s="65">
        <f>AVERAGE(E17:E20)</f>
        <v>2.82</v>
      </c>
      <c r="F21" s="65">
        <f t="shared" ref="F21:T21" si="3">AVERAGE(F17:F20)</f>
        <v>1.32</v>
      </c>
      <c r="G21" s="65">
        <f t="shared" si="3"/>
        <v>3.53</v>
      </c>
      <c r="H21" s="65">
        <f t="shared" si="3"/>
        <v>4.2300000000000004</v>
      </c>
      <c r="I21" s="65">
        <f t="shared" si="3"/>
        <v>3.56</v>
      </c>
      <c r="J21" s="65">
        <f t="shared" si="3"/>
        <v>3.94</v>
      </c>
      <c r="K21" s="65">
        <f t="shared" si="3"/>
        <v>4.55</v>
      </c>
      <c r="L21" s="65">
        <f t="shared" si="3"/>
        <v>3.87</v>
      </c>
      <c r="M21" s="65">
        <f t="shared" si="3"/>
        <v>3.38</v>
      </c>
      <c r="N21" s="65">
        <f t="shared" si="3"/>
        <v>3.28</v>
      </c>
      <c r="O21" s="65">
        <f t="shared" si="3"/>
        <v>3.48</v>
      </c>
      <c r="P21" s="65">
        <f t="shared" si="3"/>
        <v>4.05</v>
      </c>
      <c r="Q21" s="65">
        <f t="shared" si="3"/>
        <v>4.3099999999999996</v>
      </c>
      <c r="R21" s="65">
        <f t="shared" si="3"/>
        <v>7.29</v>
      </c>
      <c r="S21" s="65">
        <f t="shared" si="3"/>
        <v>5.71</v>
      </c>
      <c r="T21" s="65">
        <f t="shared" si="3"/>
        <v>4.2286666666666664</v>
      </c>
      <c r="U21" s="52"/>
      <c r="V21" s="52"/>
      <c r="W21" s="159"/>
      <c r="X21" s="160"/>
      <c r="Y21" s="18">
        <v>46</v>
      </c>
      <c r="Z21" s="25" t="s">
        <v>56</v>
      </c>
      <c r="AA21" s="19"/>
      <c r="AB21" s="19"/>
      <c r="AC21" s="28"/>
      <c r="AD21" s="21">
        <v>73</v>
      </c>
      <c r="AE21" s="25" t="s">
        <v>61</v>
      </c>
      <c r="AF21" s="22"/>
      <c r="AG21" s="22"/>
      <c r="AH21" s="23"/>
      <c r="AI21" s="21">
        <v>104</v>
      </c>
      <c r="AJ21" s="25" t="s">
        <v>58</v>
      </c>
      <c r="AK21" s="22"/>
      <c r="AL21" s="22"/>
      <c r="AM21" s="23"/>
      <c r="AN21" s="21">
        <v>252</v>
      </c>
      <c r="AO21" s="25" t="s">
        <v>59</v>
      </c>
      <c r="AP21" s="22"/>
      <c r="AQ21" s="22"/>
      <c r="AR21" s="23"/>
      <c r="AS21" s="21">
        <v>406</v>
      </c>
      <c r="AT21" s="25" t="s">
        <v>60</v>
      </c>
      <c r="AU21" s="22"/>
      <c r="AV21" s="22"/>
      <c r="AW21" s="23"/>
      <c r="AX21" s="21">
        <v>434</v>
      </c>
      <c r="AY21" s="25" t="s">
        <v>61</v>
      </c>
      <c r="AZ21" s="22"/>
      <c r="BA21" s="22"/>
      <c r="BB21" s="23"/>
      <c r="BC21" s="21">
        <v>1185</v>
      </c>
      <c r="BD21" s="25" t="s">
        <v>56</v>
      </c>
      <c r="BE21" s="22"/>
      <c r="BF21" s="22"/>
      <c r="BG21" s="23"/>
    </row>
    <row r="22" spans="1:59" ht="14.7" thickBot="1" x14ac:dyDescent="0.6">
      <c r="A22" s="49" t="s">
        <v>72</v>
      </c>
      <c r="B22" s="50"/>
      <c r="C22" s="65">
        <f>(STDEV(C17:C20)/AVERAGE(C17:C20))*100</f>
        <v>8.4434955882684548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65">
        <f>(STDEV(S17:S20)/AVERAGE(S17:S20))*100</f>
        <v>4.9740591720118612</v>
      </c>
      <c r="T22" s="65">
        <f>(STDEV(T17:T20)/AVERAGE(T17:T20))*100</f>
        <v>6.375401612496244</v>
      </c>
      <c r="U22" s="52"/>
      <c r="V22" s="52"/>
      <c r="W22" s="162"/>
      <c r="X22" s="163"/>
      <c r="Y22" s="18">
        <v>47</v>
      </c>
      <c r="Z22" s="25" t="s">
        <v>55</v>
      </c>
      <c r="AA22" s="19"/>
      <c r="AB22" s="19"/>
      <c r="AC22" s="28"/>
      <c r="AD22" s="39">
        <v>74</v>
      </c>
      <c r="AE22" s="40" t="s">
        <v>66</v>
      </c>
      <c r="AF22" s="41"/>
      <c r="AG22" s="41"/>
      <c r="AH22" s="42"/>
      <c r="AI22" s="39">
        <v>105</v>
      </c>
      <c r="AJ22" s="40" t="s">
        <v>63</v>
      </c>
      <c r="AK22" s="41"/>
      <c r="AL22" s="41"/>
      <c r="AM22" s="123"/>
      <c r="AN22" s="39">
        <v>253</v>
      </c>
      <c r="AO22" s="40" t="s">
        <v>64</v>
      </c>
      <c r="AP22" s="41"/>
      <c r="AQ22" s="41"/>
      <c r="AR22" s="42"/>
      <c r="AS22" s="39">
        <v>407</v>
      </c>
      <c r="AT22" s="40" t="s">
        <v>65</v>
      </c>
      <c r="AU22" s="41"/>
      <c r="AV22" s="41"/>
      <c r="AW22" s="42"/>
      <c r="AX22" s="39">
        <v>435</v>
      </c>
      <c r="AY22" s="40" t="s">
        <v>66</v>
      </c>
      <c r="AZ22" s="41"/>
      <c r="BA22" s="41"/>
      <c r="BB22" s="42"/>
      <c r="BC22" s="21">
        <v>1186</v>
      </c>
      <c r="BD22" s="25" t="s">
        <v>55</v>
      </c>
      <c r="BE22" s="22"/>
      <c r="BF22" s="22"/>
      <c r="BG22" s="23"/>
    </row>
    <row r="23" spans="1:59" ht="15.75" customHeight="1" thickBot="1" x14ac:dyDescent="0.6">
      <c r="A23" s="12" t="s">
        <v>78</v>
      </c>
      <c r="B23" s="13">
        <v>10.9</v>
      </c>
      <c r="C23" s="62">
        <v>13.6</v>
      </c>
      <c r="D23" s="58">
        <v>8.0500000000000007</v>
      </c>
      <c r="E23" s="62" t="s">
        <v>182</v>
      </c>
      <c r="F23" s="62" t="s">
        <v>182</v>
      </c>
      <c r="G23" s="62" t="s">
        <v>183</v>
      </c>
      <c r="H23" s="62">
        <v>14</v>
      </c>
      <c r="I23" s="62"/>
      <c r="J23" s="62"/>
      <c r="K23" s="62"/>
      <c r="L23" s="62">
        <v>13.4</v>
      </c>
      <c r="M23" s="62"/>
      <c r="N23" s="62"/>
      <c r="O23" s="62"/>
      <c r="P23" s="62">
        <v>15.9</v>
      </c>
      <c r="Q23" s="62"/>
      <c r="R23" s="62"/>
      <c r="S23" s="62">
        <v>15.5</v>
      </c>
      <c r="T23" s="66">
        <f>AVERAGE(C23:S23)</f>
        <v>13.408333333333333</v>
      </c>
      <c r="U23" s="170">
        <f>AVERAGE(T23:T26)</f>
        <v>13.797083333333335</v>
      </c>
      <c r="V23" s="210">
        <f>STDEV(T23:T26)/AVERAGE(U23)</f>
        <v>2.0913231042024669E-2</v>
      </c>
      <c r="W23" s="61"/>
      <c r="X23" s="211">
        <f>(U23/10.9)*100</f>
        <v>126.57874617737004</v>
      </c>
      <c r="Y23" s="18">
        <v>48</v>
      </c>
      <c r="Z23" s="25" t="s">
        <v>54</v>
      </c>
      <c r="AA23" s="19"/>
      <c r="AB23" s="19"/>
      <c r="AC23" s="28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21">
        <v>1187</v>
      </c>
      <c r="BD23" s="25" t="s">
        <v>54</v>
      </c>
      <c r="BE23" s="22"/>
      <c r="BF23" s="22"/>
      <c r="BG23" s="23"/>
    </row>
    <row r="24" spans="1:59" ht="14.7" thickBot="1" x14ac:dyDescent="0.6">
      <c r="A24" s="12" t="s">
        <v>79</v>
      </c>
      <c r="B24" s="13">
        <v>10.9</v>
      </c>
      <c r="C24" s="62">
        <v>12.7</v>
      </c>
      <c r="D24" s="62" t="s">
        <v>182</v>
      </c>
      <c r="E24" s="62">
        <v>10.5</v>
      </c>
      <c r="F24" s="62" t="s">
        <v>182</v>
      </c>
      <c r="G24" s="62"/>
      <c r="H24" s="62"/>
      <c r="I24" s="62">
        <v>16.2</v>
      </c>
      <c r="J24" s="62"/>
      <c r="K24" s="62"/>
      <c r="L24" s="62"/>
      <c r="M24" s="62">
        <v>11.3</v>
      </c>
      <c r="N24" s="62"/>
      <c r="O24" s="62"/>
      <c r="P24" s="62"/>
      <c r="Q24" s="62">
        <v>15.7</v>
      </c>
      <c r="R24" s="62"/>
      <c r="S24" s="62">
        <v>16.399999999999999</v>
      </c>
      <c r="T24" s="66">
        <f>AVERAGE(C24:S24)</f>
        <v>13.800000000000002</v>
      </c>
      <c r="U24" s="171">
        <f>AVERAGE(U20:U23)</f>
        <v>7.9805833333333336</v>
      </c>
      <c r="V24" s="210"/>
      <c r="W24" s="33">
        <f>STDEV(T23:T26)/(SQRT(COUNT(T23:T26)))/U23</f>
        <v>1.0456615521012335E-2</v>
      </c>
      <c r="X24" s="212"/>
      <c r="Y24" s="18">
        <v>49</v>
      </c>
      <c r="Z24" s="25" t="s">
        <v>58</v>
      </c>
      <c r="AA24" s="19"/>
      <c r="AB24" s="19"/>
      <c r="AC24" s="135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21">
        <v>1188</v>
      </c>
      <c r="BD24" s="25" t="s">
        <v>58</v>
      </c>
      <c r="BE24" s="22"/>
      <c r="BF24" s="22"/>
      <c r="BG24" s="23"/>
    </row>
    <row r="25" spans="1:59" ht="14.7" thickBot="1" x14ac:dyDescent="0.6">
      <c r="A25" s="12" t="s">
        <v>80</v>
      </c>
      <c r="B25" s="13">
        <v>10.9</v>
      </c>
      <c r="C25" s="62">
        <v>12.1</v>
      </c>
      <c r="D25" s="62" t="s">
        <v>182</v>
      </c>
      <c r="E25" s="62" t="s">
        <v>182</v>
      </c>
      <c r="F25" s="62">
        <v>11.4</v>
      </c>
      <c r="G25" s="62"/>
      <c r="H25" s="62"/>
      <c r="I25" s="62"/>
      <c r="J25" s="70">
        <v>11.8</v>
      </c>
      <c r="K25" s="62"/>
      <c r="L25" s="62"/>
      <c r="M25" s="62"/>
      <c r="N25" s="62">
        <v>11.5</v>
      </c>
      <c r="O25" s="62"/>
      <c r="P25" s="62"/>
      <c r="Q25" s="62"/>
      <c r="R25" s="62">
        <v>19.100000000000001</v>
      </c>
      <c r="S25" s="62">
        <v>18.7</v>
      </c>
      <c r="T25" s="66">
        <f>AVERAGE(C25:S25)</f>
        <v>14.100000000000001</v>
      </c>
      <c r="U25" s="171">
        <f>AVERAGE(U21:U24)</f>
        <v>10.888833333333334</v>
      </c>
      <c r="V25" s="210"/>
      <c r="W25" s="33">
        <f>STDEV(C27:S27)/(SQRT(COUNT((C27:S27))))/U23</f>
        <v>4.8368111176859171E-2</v>
      </c>
      <c r="X25" s="212"/>
      <c r="Y25" s="18">
        <v>50</v>
      </c>
      <c r="Z25" s="25" t="s">
        <v>61</v>
      </c>
      <c r="AA25" s="19"/>
      <c r="AB25" s="19"/>
      <c r="AC25" s="135"/>
      <c r="AD25" s="178" t="s">
        <v>14</v>
      </c>
      <c r="AE25" s="179"/>
      <c r="AF25" s="179"/>
      <c r="AG25" s="179"/>
      <c r="AH25" s="180"/>
      <c r="AI25" s="178" t="s">
        <v>17</v>
      </c>
      <c r="AJ25" s="179"/>
      <c r="AK25" s="179"/>
      <c r="AL25" s="179"/>
      <c r="AM25" s="180"/>
      <c r="AN25" s="178" t="s">
        <v>20</v>
      </c>
      <c r="AO25" s="179"/>
      <c r="AP25" s="179"/>
      <c r="AQ25" s="179"/>
      <c r="AR25" s="180"/>
      <c r="AS25" s="178" t="s">
        <v>23</v>
      </c>
      <c r="AT25" s="179"/>
      <c r="AU25" s="179"/>
      <c r="AV25" s="179"/>
      <c r="AW25" s="180"/>
      <c r="AX25" s="178" t="s">
        <v>26</v>
      </c>
      <c r="AY25" s="179"/>
      <c r="AZ25" s="179"/>
      <c r="BA25" s="179"/>
      <c r="BB25" s="180"/>
      <c r="BC25" s="21">
        <v>1189</v>
      </c>
      <c r="BD25" s="25" t="s">
        <v>61</v>
      </c>
      <c r="BE25" s="22"/>
      <c r="BF25" s="22"/>
      <c r="BG25" s="23"/>
    </row>
    <row r="26" spans="1:59" ht="14.7" thickBot="1" x14ac:dyDescent="0.6">
      <c r="A26" s="12" t="s">
        <v>81</v>
      </c>
      <c r="B26" s="13">
        <v>10.9</v>
      </c>
      <c r="C26" s="62">
        <v>13.1</v>
      </c>
      <c r="D26" s="62" t="s">
        <v>182</v>
      </c>
      <c r="E26" s="62" t="s">
        <v>182</v>
      </c>
      <c r="F26" s="62"/>
      <c r="G26" s="62">
        <v>13.5</v>
      </c>
      <c r="H26" s="62"/>
      <c r="I26" s="62"/>
      <c r="J26" s="62"/>
      <c r="K26" s="62">
        <v>12</v>
      </c>
      <c r="L26" s="62"/>
      <c r="M26" s="62"/>
      <c r="N26" s="62"/>
      <c r="O26" s="62">
        <v>12.6</v>
      </c>
      <c r="P26" s="62"/>
      <c r="Q26" s="62"/>
      <c r="R26" s="62"/>
      <c r="S26" s="62">
        <v>18.2</v>
      </c>
      <c r="T26" s="66">
        <f>AVERAGE(C26:S26)</f>
        <v>13.88</v>
      </c>
      <c r="U26" s="171">
        <f>AVERAGE(U22:U25)</f>
        <v>10.888833333333332</v>
      </c>
      <c r="V26" s="210"/>
      <c r="W26" s="120"/>
      <c r="X26" s="212"/>
      <c r="Y26" s="18">
        <v>51</v>
      </c>
      <c r="Z26" s="25" t="s">
        <v>60</v>
      </c>
      <c r="AA26" s="19"/>
      <c r="AB26" s="19"/>
      <c r="AC26" s="135"/>
      <c r="AD26" s="21" t="s">
        <v>35</v>
      </c>
      <c r="AE26" s="22" t="s">
        <v>36</v>
      </c>
      <c r="AF26" s="22" t="s">
        <v>37</v>
      </c>
      <c r="AG26" s="22" t="s">
        <v>38</v>
      </c>
      <c r="AH26" s="23" t="s">
        <v>39</v>
      </c>
      <c r="AI26" s="21" t="s">
        <v>35</v>
      </c>
      <c r="AJ26" s="22" t="s">
        <v>36</v>
      </c>
      <c r="AK26" s="22" t="s">
        <v>37</v>
      </c>
      <c r="AL26" s="22" t="s">
        <v>38</v>
      </c>
      <c r="AM26" s="23" t="s">
        <v>39</v>
      </c>
      <c r="AN26" s="21" t="s">
        <v>35</v>
      </c>
      <c r="AO26" s="22" t="s">
        <v>36</v>
      </c>
      <c r="AP26" s="22" t="s">
        <v>37</v>
      </c>
      <c r="AQ26" s="22" t="s">
        <v>38</v>
      </c>
      <c r="AR26" s="23" t="s">
        <v>39</v>
      </c>
      <c r="AS26" s="21" t="s">
        <v>35</v>
      </c>
      <c r="AT26" s="22" t="s">
        <v>36</v>
      </c>
      <c r="AU26" s="22" t="s">
        <v>37</v>
      </c>
      <c r="AV26" s="22" t="s">
        <v>38</v>
      </c>
      <c r="AW26" s="23" t="s">
        <v>39</v>
      </c>
      <c r="AX26" s="21" t="s">
        <v>35</v>
      </c>
      <c r="AY26" s="22" t="s">
        <v>36</v>
      </c>
      <c r="AZ26" s="22" t="s">
        <v>37</v>
      </c>
      <c r="BA26" s="22" t="s">
        <v>38</v>
      </c>
      <c r="BB26" s="23" t="s">
        <v>39</v>
      </c>
      <c r="BC26" s="21">
        <v>1190</v>
      </c>
      <c r="BD26" s="25" t="s">
        <v>60</v>
      </c>
      <c r="BE26" s="22"/>
      <c r="BF26" s="22"/>
      <c r="BG26" s="23"/>
    </row>
    <row r="27" spans="1:59" ht="14.7" thickBot="1" x14ac:dyDescent="0.6">
      <c r="A27" s="49" t="s">
        <v>82</v>
      </c>
      <c r="B27" s="50"/>
      <c r="C27" s="55">
        <f>AVERAGE(C23:C26)</f>
        <v>12.875</v>
      </c>
      <c r="D27" s="65">
        <f>AVERAGE(D23:D26)</f>
        <v>8.0500000000000007</v>
      </c>
      <c r="E27" s="55">
        <f>AVERAGE(E23:E26)</f>
        <v>10.5</v>
      </c>
      <c r="F27" s="55">
        <f>AVERAGE(F23:F26)</f>
        <v>11.4</v>
      </c>
      <c r="G27" s="55">
        <f t="shared" ref="G27:S27" si="4">AVERAGE(G23:G26)</f>
        <v>13.5</v>
      </c>
      <c r="H27" s="55">
        <f t="shared" si="4"/>
        <v>14</v>
      </c>
      <c r="I27" s="55">
        <f t="shared" si="4"/>
        <v>16.2</v>
      </c>
      <c r="J27" s="55">
        <f t="shared" si="4"/>
        <v>11.8</v>
      </c>
      <c r="K27" s="55">
        <f t="shared" si="4"/>
        <v>12</v>
      </c>
      <c r="L27" s="55">
        <f t="shared" si="4"/>
        <v>13.4</v>
      </c>
      <c r="M27" s="55">
        <f t="shared" si="4"/>
        <v>11.3</v>
      </c>
      <c r="N27" s="55">
        <f t="shared" si="4"/>
        <v>11.5</v>
      </c>
      <c r="O27" s="55">
        <f t="shared" si="4"/>
        <v>12.6</v>
      </c>
      <c r="P27" s="55">
        <f t="shared" si="4"/>
        <v>15.9</v>
      </c>
      <c r="Q27" s="55">
        <f t="shared" si="4"/>
        <v>15.7</v>
      </c>
      <c r="R27" s="55">
        <f t="shared" si="4"/>
        <v>19.100000000000001</v>
      </c>
      <c r="S27" s="55">
        <f t="shared" si="4"/>
        <v>17.2</v>
      </c>
      <c r="T27" s="55">
        <f>AVERAGE(T23:T26)</f>
        <v>13.797083333333335</v>
      </c>
      <c r="U27" s="52"/>
      <c r="V27" s="52"/>
      <c r="W27" s="159"/>
      <c r="X27" s="160"/>
      <c r="Y27" s="18">
        <v>52</v>
      </c>
      <c r="Z27" s="25" t="s">
        <v>59</v>
      </c>
      <c r="AA27" s="19"/>
      <c r="AB27" s="69"/>
      <c r="AC27" s="135"/>
      <c r="AD27" s="21">
        <v>82</v>
      </c>
      <c r="AE27" s="25" t="s">
        <v>52</v>
      </c>
      <c r="AF27" s="22"/>
      <c r="AG27" s="22"/>
      <c r="AH27" s="23"/>
      <c r="AI27" s="21">
        <v>184</v>
      </c>
      <c r="AJ27" s="25" t="s">
        <v>68</v>
      </c>
      <c r="AK27" s="22"/>
      <c r="AL27" s="22"/>
      <c r="AM27" s="32"/>
      <c r="AN27" s="21">
        <v>382</v>
      </c>
      <c r="AO27" s="25" t="s">
        <v>41</v>
      </c>
      <c r="AP27" s="22"/>
      <c r="AQ27" s="22"/>
      <c r="AR27" s="23"/>
      <c r="AS27" s="21">
        <v>412</v>
      </c>
      <c r="AT27" s="25" t="s">
        <v>42</v>
      </c>
      <c r="AU27" s="22"/>
      <c r="AV27" s="22"/>
      <c r="AW27" s="23"/>
      <c r="AX27" s="21">
        <v>442</v>
      </c>
      <c r="AY27" s="25" t="s">
        <v>43</v>
      </c>
      <c r="AZ27" s="22"/>
      <c r="BA27" s="22"/>
      <c r="BB27" s="23"/>
      <c r="BC27" s="21">
        <v>1191</v>
      </c>
      <c r="BD27" s="25" t="s">
        <v>59</v>
      </c>
      <c r="BE27" s="22"/>
      <c r="BF27" s="22"/>
      <c r="BG27" s="23"/>
    </row>
    <row r="28" spans="1:59" ht="14.7" thickBot="1" x14ac:dyDescent="0.6">
      <c r="A28" s="49" t="s">
        <v>72</v>
      </c>
      <c r="B28" s="50"/>
      <c r="C28" s="65">
        <f>(STDEV(C23:C26)/AVERAGE(C23:C26))*100</f>
        <v>4.927602928329911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65">
        <f>(STDEV(S23:S26)/AVERAGE(S23:S26))*100</f>
        <v>8.7402885920772722</v>
      </c>
      <c r="T28" s="55">
        <f>(STDEV(T23:T26)/AVERAGE(T23:T26))*100</f>
        <v>2.0913231042024671</v>
      </c>
      <c r="U28" s="52"/>
      <c r="V28" s="52"/>
      <c r="W28" s="162"/>
      <c r="X28" s="163"/>
      <c r="Y28" s="18">
        <v>53</v>
      </c>
      <c r="Z28" s="25" t="s">
        <v>63</v>
      </c>
      <c r="AA28" s="19"/>
      <c r="AB28" s="19"/>
      <c r="AC28" s="135"/>
      <c r="AD28" s="21">
        <v>83</v>
      </c>
      <c r="AE28" s="25" t="s">
        <v>49</v>
      </c>
      <c r="AF28" s="22"/>
      <c r="AG28" s="22"/>
      <c r="AH28" s="23"/>
      <c r="AI28" s="21">
        <v>185</v>
      </c>
      <c r="AJ28" s="25" t="s">
        <v>50</v>
      </c>
      <c r="AK28" s="22"/>
      <c r="AL28" s="22"/>
      <c r="AM28" s="23"/>
      <c r="AN28" s="21">
        <v>383</v>
      </c>
      <c r="AO28" s="25" t="s">
        <v>47</v>
      </c>
      <c r="AP28" s="22"/>
      <c r="AQ28" s="22"/>
      <c r="AR28" s="23"/>
      <c r="AS28" s="21">
        <v>413</v>
      </c>
      <c r="AT28" s="25" t="s">
        <v>48</v>
      </c>
      <c r="AU28" s="22"/>
      <c r="AV28" s="22"/>
      <c r="AW28" s="23"/>
      <c r="AX28" s="21">
        <v>443</v>
      </c>
      <c r="AY28" s="25" t="s">
        <v>49</v>
      </c>
      <c r="AZ28" s="22"/>
      <c r="BA28" s="22"/>
      <c r="BB28" s="23"/>
      <c r="BC28" s="21">
        <v>1192</v>
      </c>
      <c r="BD28" s="25" t="s">
        <v>63</v>
      </c>
      <c r="BE28" s="22"/>
      <c r="BF28" s="22"/>
      <c r="BG28" s="23"/>
    </row>
    <row r="29" spans="1:59" ht="15.75" customHeight="1" thickBot="1" x14ac:dyDescent="0.6">
      <c r="A29" s="12" t="s">
        <v>83</v>
      </c>
      <c r="B29" s="62">
        <v>33</v>
      </c>
      <c r="C29" s="62">
        <v>37.9</v>
      </c>
      <c r="D29" s="62">
        <v>26.3</v>
      </c>
      <c r="E29" s="62" t="s">
        <v>182</v>
      </c>
      <c r="F29" s="62" t="s">
        <v>182</v>
      </c>
      <c r="G29" s="62"/>
      <c r="H29" s="62">
        <v>33.4</v>
      </c>
      <c r="I29" s="62"/>
      <c r="J29" s="62"/>
      <c r="K29" s="62"/>
      <c r="L29" s="62">
        <v>33.799999999999997</v>
      </c>
      <c r="M29" s="62"/>
      <c r="N29" s="62"/>
      <c r="O29" s="62"/>
      <c r="P29" s="62">
        <v>41.4</v>
      </c>
      <c r="Q29" s="62"/>
      <c r="R29" s="62"/>
      <c r="S29" s="62">
        <v>46.9</v>
      </c>
      <c r="T29" s="66">
        <f>AVERAGE(C29:S29)</f>
        <v>36.616666666666667</v>
      </c>
      <c r="U29" s="170">
        <f>AVERAGE(T29:T32)</f>
        <v>39.691250000000004</v>
      </c>
      <c r="V29" s="210">
        <f>STDEV(T29:T32)/AVERAGE(U29)</f>
        <v>5.9096965121890992E-2</v>
      </c>
      <c r="W29" s="61"/>
      <c r="X29" s="211">
        <f>(U29/33)*100</f>
        <v>120.27651515151516</v>
      </c>
      <c r="Y29" s="18">
        <v>54</v>
      </c>
      <c r="Z29" s="25" t="s">
        <v>66</v>
      </c>
      <c r="AA29" s="19"/>
      <c r="AB29" s="19"/>
      <c r="AC29" s="135"/>
      <c r="AD29" s="21">
        <v>84</v>
      </c>
      <c r="AE29" s="25" t="s">
        <v>55</v>
      </c>
      <c r="AF29" s="22"/>
      <c r="AG29" s="22"/>
      <c r="AH29" s="23"/>
      <c r="AI29" s="21">
        <v>186</v>
      </c>
      <c r="AJ29" s="25" t="s">
        <v>56</v>
      </c>
      <c r="AK29" s="22"/>
      <c r="AL29" s="22"/>
      <c r="AM29" s="23"/>
      <c r="AN29" s="21">
        <v>384</v>
      </c>
      <c r="AO29" s="25" t="s">
        <v>53</v>
      </c>
      <c r="AP29" s="22"/>
      <c r="AQ29" s="22"/>
      <c r="AR29" s="23"/>
      <c r="AS29" s="21">
        <v>414</v>
      </c>
      <c r="AT29" s="25" t="s">
        <v>54</v>
      </c>
      <c r="AU29" s="22"/>
      <c r="AV29" s="22"/>
      <c r="AW29" s="23"/>
      <c r="AX29" s="21">
        <v>444</v>
      </c>
      <c r="AY29" s="25" t="s">
        <v>55</v>
      </c>
      <c r="AZ29" s="22"/>
      <c r="BA29" s="22"/>
      <c r="BB29" s="23"/>
      <c r="BC29" s="21">
        <v>1193</v>
      </c>
      <c r="BD29" s="25" t="s">
        <v>66</v>
      </c>
      <c r="BE29" s="22"/>
      <c r="BF29" s="22"/>
      <c r="BG29" s="23"/>
    </row>
    <row r="30" spans="1:59" ht="14.7" thickBot="1" x14ac:dyDescent="0.6">
      <c r="A30" s="12" t="s">
        <v>84</v>
      </c>
      <c r="B30" s="62">
        <v>33</v>
      </c>
      <c r="C30" s="62">
        <v>43.7</v>
      </c>
      <c r="D30" s="62" t="s">
        <v>182</v>
      </c>
      <c r="E30" s="62">
        <v>37.1</v>
      </c>
      <c r="F30" s="62" t="s">
        <v>182</v>
      </c>
      <c r="G30" s="62"/>
      <c r="H30" s="62"/>
      <c r="I30" s="62">
        <v>46</v>
      </c>
      <c r="J30" s="62"/>
      <c r="K30" s="62"/>
      <c r="L30" s="62"/>
      <c r="M30" s="62">
        <v>36</v>
      </c>
      <c r="N30" s="62"/>
      <c r="O30" s="62"/>
      <c r="P30" s="62"/>
      <c r="Q30" s="62">
        <v>33.5</v>
      </c>
      <c r="R30" s="62"/>
      <c r="S30" s="62">
        <v>46.7</v>
      </c>
      <c r="T30" s="66">
        <f>AVERAGE(C30:S30)</f>
        <v>40.5</v>
      </c>
      <c r="U30" s="171">
        <f>AVERAGE(U26:U29)</f>
        <v>25.290041666666667</v>
      </c>
      <c r="V30" s="210"/>
      <c r="W30" s="33">
        <f>STDEV(T29:T32)/(SQRT(COUNT(T29:T32)))/U29</f>
        <v>2.9548482560945496E-2</v>
      </c>
      <c r="X30" s="212"/>
      <c r="Y30" s="18">
        <v>55</v>
      </c>
      <c r="Z30" s="25" t="s">
        <v>65</v>
      </c>
      <c r="AA30" s="19"/>
      <c r="AB30" s="69"/>
      <c r="AC30" s="135"/>
      <c r="AD30" s="21">
        <v>85</v>
      </c>
      <c r="AE30" s="25" t="s">
        <v>60</v>
      </c>
      <c r="AF30" s="22">
        <v>45.5</v>
      </c>
      <c r="AG30" s="63">
        <v>36</v>
      </c>
      <c r="AH30" s="133">
        <f>AVERAGE(AF30:AG30)</f>
        <v>40.75</v>
      </c>
      <c r="AI30" s="21">
        <v>187</v>
      </c>
      <c r="AJ30" s="25" t="s">
        <v>61</v>
      </c>
      <c r="AK30" s="22"/>
      <c r="AL30" s="22"/>
      <c r="AM30" s="23"/>
      <c r="AN30" s="21">
        <v>385</v>
      </c>
      <c r="AO30" s="25" t="s">
        <v>58</v>
      </c>
      <c r="AP30" s="22"/>
      <c r="AQ30" s="22"/>
      <c r="AR30" s="23"/>
      <c r="AS30" s="21">
        <v>415</v>
      </c>
      <c r="AT30" s="25" t="s">
        <v>59</v>
      </c>
      <c r="AU30" s="22"/>
      <c r="AV30" s="22"/>
      <c r="AW30" s="23"/>
      <c r="AX30" s="21">
        <v>445</v>
      </c>
      <c r="AY30" s="25" t="s">
        <v>60</v>
      </c>
      <c r="AZ30" s="22"/>
      <c r="BA30" s="22"/>
      <c r="BB30" s="23"/>
      <c r="BC30" s="21">
        <v>1194</v>
      </c>
      <c r="BD30" s="25" t="s">
        <v>65</v>
      </c>
      <c r="BE30" s="22"/>
      <c r="BF30" s="22"/>
      <c r="BG30" s="23"/>
    </row>
    <row r="31" spans="1:59" ht="14.7" thickBot="1" x14ac:dyDescent="0.6">
      <c r="A31" s="12" t="s">
        <v>85</v>
      </c>
      <c r="B31" s="62">
        <v>33</v>
      </c>
      <c r="C31" s="62">
        <v>40.299999999999997</v>
      </c>
      <c r="D31" s="62" t="s">
        <v>182</v>
      </c>
      <c r="E31" s="62" t="s">
        <v>182</v>
      </c>
      <c r="F31" s="70">
        <v>40.75</v>
      </c>
      <c r="G31" s="62"/>
      <c r="H31" s="62"/>
      <c r="I31" s="62"/>
      <c r="J31" s="70">
        <v>34.5</v>
      </c>
      <c r="K31" s="62"/>
      <c r="L31" s="62"/>
      <c r="M31" s="62"/>
      <c r="N31" s="62">
        <v>36.5</v>
      </c>
      <c r="O31" s="62"/>
      <c r="P31" s="62"/>
      <c r="Q31" s="62"/>
      <c r="R31" s="62">
        <v>51.5</v>
      </c>
      <c r="S31" s="62">
        <v>49.7</v>
      </c>
      <c r="T31" s="66">
        <f>AVERAGE(C31:S31)</f>
        <v>42.208333333333336</v>
      </c>
      <c r="U31" s="171">
        <f>AVERAGE(U27:U30)</f>
        <v>32.490645833333332</v>
      </c>
      <c r="V31" s="210"/>
      <c r="W31" s="33">
        <f>STDEV(C33:S33)/(SQRT(COUNT((C33:S33))))/U29</f>
        <v>3.7449529947892801E-2</v>
      </c>
      <c r="X31" s="212"/>
      <c r="Y31" s="71">
        <v>56</v>
      </c>
      <c r="Z31" s="40" t="s">
        <v>64</v>
      </c>
      <c r="AA31" s="72"/>
      <c r="AB31" s="72"/>
      <c r="AC31" s="136"/>
      <c r="AD31" s="39">
        <v>86</v>
      </c>
      <c r="AE31" s="40" t="s">
        <v>65</v>
      </c>
      <c r="AF31" s="41">
        <v>150</v>
      </c>
      <c r="AG31" s="41">
        <v>90.7</v>
      </c>
      <c r="AH31" s="74">
        <f>AVERAGE(AF31:AG31)</f>
        <v>120.35</v>
      </c>
      <c r="AI31" s="39">
        <v>188</v>
      </c>
      <c r="AJ31" s="40" t="s">
        <v>66</v>
      </c>
      <c r="AK31" s="41"/>
      <c r="AL31" s="41"/>
      <c r="AM31" s="42"/>
      <c r="AN31" s="39">
        <v>386</v>
      </c>
      <c r="AO31" s="40" t="s">
        <v>63</v>
      </c>
      <c r="AP31" s="41"/>
      <c r="AQ31" s="41"/>
      <c r="AR31" s="42"/>
      <c r="AS31" s="39">
        <v>416</v>
      </c>
      <c r="AT31" s="40" t="s">
        <v>64</v>
      </c>
      <c r="AU31" s="41"/>
      <c r="AV31" s="41"/>
      <c r="AW31" s="46"/>
      <c r="AX31" s="39">
        <v>446</v>
      </c>
      <c r="AY31" s="40" t="s">
        <v>65</v>
      </c>
      <c r="AZ31" s="41"/>
      <c r="BA31" s="41"/>
      <c r="BB31" s="42"/>
      <c r="BC31" s="39">
        <v>1195</v>
      </c>
      <c r="BD31" s="40" t="s">
        <v>64</v>
      </c>
      <c r="BE31" s="41"/>
      <c r="BF31" s="41"/>
      <c r="BG31" s="42"/>
    </row>
    <row r="32" spans="1:59" ht="14.7" thickBot="1" x14ac:dyDescent="0.6">
      <c r="A32" s="12" t="s">
        <v>86</v>
      </c>
      <c r="B32" s="62">
        <v>33</v>
      </c>
      <c r="C32" s="62">
        <v>37.299999999999997</v>
      </c>
      <c r="D32" s="62" t="s">
        <v>182</v>
      </c>
      <c r="E32" s="62" t="s">
        <v>182</v>
      </c>
      <c r="F32" s="62" t="s">
        <v>182</v>
      </c>
      <c r="G32" s="62">
        <v>35.5</v>
      </c>
      <c r="H32" s="62"/>
      <c r="I32" s="62"/>
      <c r="J32" s="62"/>
      <c r="K32" s="62">
        <v>36.1</v>
      </c>
      <c r="L32" s="62"/>
      <c r="M32" s="62"/>
      <c r="N32" s="62"/>
      <c r="O32" s="62">
        <v>38.1</v>
      </c>
      <c r="P32" s="62"/>
      <c r="Q32" s="62"/>
      <c r="R32" s="62"/>
      <c r="S32" s="62">
        <v>50.2</v>
      </c>
      <c r="T32" s="66">
        <f>AVERAGE(C32:S32)</f>
        <v>39.44</v>
      </c>
      <c r="U32" s="171">
        <f>AVERAGE(U28:U31)</f>
        <v>32.490645833333332</v>
      </c>
      <c r="V32" s="210"/>
      <c r="W32" s="120"/>
      <c r="X32" s="212"/>
      <c r="Y32" s="2"/>
      <c r="Z32" s="2"/>
      <c r="AA32" s="2"/>
      <c r="AB32" s="2"/>
      <c r="AC32" s="2"/>
      <c r="AD32" s="2"/>
      <c r="AE32" s="2"/>
      <c r="AF32" s="2"/>
      <c r="AG32" s="181" t="s">
        <v>87</v>
      </c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46" ht="14.7" thickBot="1" x14ac:dyDescent="0.6">
      <c r="A33" s="49" t="s">
        <v>88</v>
      </c>
      <c r="B33" s="50"/>
      <c r="C33" s="55">
        <f>AVERAGE(C29:C32)</f>
        <v>39.799999999999997</v>
      </c>
      <c r="D33" s="55">
        <f>AVERAGE(D29:D32)</f>
        <v>26.3</v>
      </c>
      <c r="E33" s="55">
        <f>AVERAGE(E29:E32)</f>
        <v>37.1</v>
      </c>
      <c r="F33" s="55">
        <f>AVERAGE(F29:F32)</f>
        <v>40.75</v>
      </c>
      <c r="G33" s="55">
        <f t="shared" ref="G33:S33" si="5">AVERAGE(G29:G32)</f>
        <v>35.5</v>
      </c>
      <c r="H33" s="55">
        <f t="shared" si="5"/>
        <v>33.4</v>
      </c>
      <c r="I33" s="55">
        <f t="shared" si="5"/>
        <v>46</v>
      </c>
      <c r="J33" s="55">
        <f t="shared" si="5"/>
        <v>34.5</v>
      </c>
      <c r="K33" s="55">
        <f t="shared" si="5"/>
        <v>36.1</v>
      </c>
      <c r="L33" s="55">
        <f t="shared" si="5"/>
        <v>33.799999999999997</v>
      </c>
      <c r="M33" s="55">
        <f t="shared" si="5"/>
        <v>36</v>
      </c>
      <c r="N33" s="55">
        <f t="shared" si="5"/>
        <v>36.5</v>
      </c>
      <c r="O33" s="55">
        <f t="shared" si="5"/>
        <v>38.1</v>
      </c>
      <c r="P33" s="55">
        <f t="shared" si="5"/>
        <v>41.4</v>
      </c>
      <c r="Q33" s="55">
        <f t="shared" si="5"/>
        <v>33.5</v>
      </c>
      <c r="R33" s="55">
        <f t="shared" si="5"/>
        <v>51.5</v>
      </c>
      <c r="S33" s="55">
        <f t="shared" si="5"/>
        <v>48.375</v>
      </c>
      <c r="T33" s="55">
        <f>AVERAGE(T29:T32)</f>
        <v>39.691250000000004</v>
      </c>
      <c r="U33" s="52"/>
      <c r="V33" s="52"/>
      <c r="W33" s="159"/>
      <c r="X33" s="160"/>
      <c r="Y33" s="2"/>
      <c r="Z33" s="182" t="s">
        <v>89</v>
      </c>
      <c r="AA33" s="183"/>
      <c r="AB33" s="183"/>
      <c r="AC33" s="183"/>
      <c r="AD33" s="183"/>
      <c r="AE33" s="184"/>
      <c r="AF33" s="2"/>
      <c r="AG33" s="185" t="s">
        <v>90</v>
      </c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</row>
    <row r="34" spans="1:46" ht="14.7" thickBot="1" x14ac:dyDescent="0.6">
      <c r="A34" s="49" t="s">
        <v>72</v>
      </c>
      <c r="B34" s="50"/>
      <c r="C34" s="65">
        <f>(STDEV(C29:C32)/AVERAGE(C29:C32))*100</f>
        <v>7.2994166061979708</v>
      </c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65">
        <f>(STDEV(S29:S32)/AVERAGE(S29:S32))*100</f>
        <v>3.7868596876455385</v>
      </c>
      <c r="T34" s="65">
        <f>(STDEV(T29:T32)/AVERAGE(T29:T32))*100</f>
        <v>5.9096965121890994</v>
      </c>
      <c r="U34" s="52"/>
      <c r="V34" s="52"/>
      <c r="W34" s="162"/>
      <c r="X34" s="163"/>
      <c r="Y34" s="2"/>
      <c r="Z34" s="77"/>
      <c r="AA34" s="78">
        <v>0</v>
      </c>
      <c r="AB34" s="78">
        <v>3.6</v>
      </c>
      <c r="AC34" s="78">
        <v>10.9</v>
      </c>
      <c r="AD34" s="78">
        <v>33</v>
      </c>
      <c r="AE34" s="79">
        <v>100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5.75" customHeight="1" thickBot="1" x14ac:dyDescent="0.6">
      <c r="A35" s="12" t="s">
        <v>91</v>
      </c>
      <c r="B35" s="13">
        <v>100</v>
      </c>
      <c r="C35" s="86">
        <v>124</v>
      </c>
      <c r="D35" s="62">
        <v>77.8</v>
      </c>
      <c r="E35" s="62" t="s">
        <v>182</v>
      </c>
      <c r="F35" s="62" t="s">
        <v>182</v>
      </c>
      <c r="G35" s="62"/>
      <c r="H35" s="86">
        <v>100</v>
      </c>
      <c r="I35" s="86"/>
      <c r="J35" s="86"/>
      <c r="K35" s="86"/>
      <c r="L35" s="86">
        <v>107</v>
      </c>
      <c r="M35" s="86"/>
      <c r="N35" s="62"/>
      <c r="O35" s="62"/>
      <c r="P35" s="86">
        <v>106</v>
      </c>
      <c r="Q35" s="86"/>
      <c r="R35" s="86"/>
      <c r="S35" s="86">
        <v>129</v>
      </c>
      <c r="T35" s="164">
        <f>AVERAGE(C35:S35)</f>
        <v>107.3</v>
      </c>
      <c r="U35" s="209">
        <f>AVERAGE(T35:T38)</f>
        <v>110.82124999999999</v>
      </c>
      <c r="V35" s="210">
        <f>STDEV(T35:T38)/AVERAGE(U35)</f>
        <v>3.1334765323037216E-2</v>
      </c>
      <c r="W35" s="61"/>
      <c r="X35" s="211">
        <f>(U35/100*100)</f>
        <v>110.82124999999998</v>
      </c>
      <c r="Y35" s="2"/>
      <c r="Z35" s="77" t="s">
        <v>92</v>
      </c>
      <c r="AA35" s="106">
        <f>QUARTILE((D7:S14,AA8:AB15),1)</f>
        <v>9.9500000000000005E-2</v>
      </c>
      <c r="AB35" s="80">
        <f>QUARTILE((C17:I20,K17:S20,AP9:AQ9),1)</f>
        <v>3.4550000000000001</v>
      </c>
      <c r="AC35" s="81">
        <f>QUARTILE((C23:I26,K23:S26,AP10:AQ10),1)</f>
        <v>11.725000000000001</v>
      </c>
      <c r="AD35" s="81">
        <f>QUARTILE((C29:E32,G29:I32,K29:S32,AF30:AG30,AP11:AQ11),1)</f>
        <v>35.5</v>
      </c>
      <c r="AE35" s="82">
        <f>QUARTILE((C35:E38,G35:I38,K35:S38,AF31:AG31,AP12:AQ12),1)</f>
        <v>100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4.7" thickBot="1" x14ac:dyDescent="0.6">
      <c r="A36" s="12" t="s">
        <v>93</v>
      </c>
      <c r="B36" s="13">
        <v>100</v>
      </c>
      <c r="C36" s="86">
        <v>119</v>
      </c>
      <c r="D36" s="62" t="s">
        <v>182</v>
      </c>
      <c r="E36" s="86">
        <v>116</v>
      </c>
      <c r="F36" s="62" t="s">
        <v>182</v>
      </c>
      <c r="G36" s="62"/>
      <c r="H36" s="86"/>
      <c r="I36" s="86">
        <v>103</v>
      </c>
      <c r="J36" s="86"/>
      <c r="K36" s="86"/>
      <c r="L36" s="86"/>
      <c r="M36" s="86">
        <v>103</v>
      </c>
      <c r="N36" s="62"/>
      <c r="O36" s="62"/>
      <c r="P36" s="86"/>
      <c r="Q36" s="86">
        <v>100</v>
      </c>
      <c r="R36" s="86"/>
      <c r="S36" s="86">
        <v>117</v>
      </c>
      <c r="T36" s="164">
        <f>AVERAGE(C36:S36)</f>
        <v>109.66666666666667</v>
      </c>
      <c r="U36" s="209">
        <f>AVERAGE(U32:U35)</f>
        <v>71.655947916666662</v>
      </c>
      <c r="V36" s="210"/>
      <c r="W36" s="33">
        <f>STDEV(T35:T38)/(SQRT(COUNT(T35:T38)))/U35</f>
        <v>1.5667382661518608E-2</v>
      </c>
      <c r="X36" s="212"/>
      <c r="Y36" s="2"/>
      <c r="Z36" s="77" t="s">
        <v>94</v>
      </c>
      <c r="AA36" s="106">
        <f>QUARTILE((D7:S14,AA8:AB15),3)</f>
        <v>9.9500000000000005E-2</v>
      </c>
      <c r="AB36" s="80">
        <f>QUARTILE((C17:I20,K17:S20,AP9:AQ9),3)</f>
        <v>4.8274999999999997</v>
      </c>
      <c r="AC36" s="81">
        <f>QUARTILE((C23:I26,K23:S26,AP10:AQ10),3)</f>
        <v>15.75</v>
      </c>
      <c r="AD36" s="81">
        <f>QUARTILE((C29:E32,G29:I32,K29:S32,AF30:AG30,AP11:AQ11),3)</f>
        <v>45.5</v>
      </c>
      <c r="AE36" s="82">
        <f>QUARTILE((C35:E38,G35:I38,K35:S38,AF31:AG31,AP12:AQ12),3)</f>
        <v>121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4.7" thickBot="1" x14ac:dyDescent="0.6">
      <c r="A37" s="12" t="s">
        <v>95</v>
      </c>
      <c r="B37" s="13">
        <v>100</v>
      </c>
      <c r="C37" s="86">
        <v>115</v>
      </c>
      <c r="D37" s="62" t="s">
        <v>182</v>
      </c>
      <c r="E37" s="86" t="s">
        <v>182</v>
      </c>
      <c r="F37" s="85">
        <f>AH31</f>
        <v>120.35</v>
      </c>
      <c r="G37" s="62"/>
      <c r="H37" s="86"/>
      <c r="I37" s="86"/>
      <c r="J37" s="85">
        <v>108</v>
      </c>
      <c r="K37" s="86"/>
      <c r="L37" s="86"/>
      <c r="M37" s="86"/>
      <c r="N37" s="62">
        <v>98</v>
      </c>
      <c r="O37" s="62"/>
      <c r="P37" s="86"/>
      <c r="Q37" s="86"/>
      <c r="R37" s="86">
        <v>126</v>
      </c>
      <c r="S37" s="86">
        <v>126</v>
      </c>
      <c r="T37" s="164">
        <f>AVERAGE(C37:S37)</f>
        <v>115.55833333333334</v>
      </c>
      <c r="U37" s="209">
        <f>AVERAGE(U33:U36)</f>
        <v>91.238598958333327</v>
      </c>
      <c r="V37" s="210"/>
      <c r="W37" s="33">
        <f>STDEV(C39:S39)/(SQRT(COUNT((C39:S39))))/U35</f>
        <v>2.8121246412810254E-2</v>
      </c>
      <c r="X37" s="212"/>
      <c r="Y37" s="2"/>
      <c r="Z37" s="77" t="s">
        <v>96</v>
      </c>
      <c r="AA37" s="106">
        <f>(AA36-AA35)</f>
        <v>0</v>
      </c>
      <c r="AB37" s="80">
        <f>(AB36-AB35)</f>
        <v>1.3724999999999996</v>
      </c>
      <c r="AC37" s="80">
        <f>(AC36-AC35)</f>
        <v>4.0249999999999986</v>
      </c>
      <c r="AD37" s="81">
        <f>(AD36-AD35)</f>
        <v>10</v>
      </c>
      <c r="AE37" s="82">
        <f>(AE36-AE35)</f>
        <v>21</v>
      </c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4.7" thickBot="1" x14ac:dyDescent="0.6">
      <c r="A38" s="12" t="s">
        <v>97</v>
      </c>
      <c r="B38" s="13">
        <v>100</v>
      </c>
      <c r="C38" s="86">
        <v>121</v>
      </c>
      <c r="D38" s="62" t="s">
        <v>182</v>
      </c>
      <c r="E38" s="86" t="s">
        <v>182</v>
      </c>
      <c r="F38" s="86"/>
      <c r="G38" s="62">
        <v>99</v>
      </c>
      <c r="H38" s="86"/>
      <c r="I38" s="86"/>
      <c r="J38" s="86"/>
      <c r="K38" s="86">
        <v>114</v>
      </c>
      <c r="L38" s="86"/>
      <c r="M38" s="86"/>
      <c r="N38" s="62"/>
      <c r="O38" s="62">
        <v>88.8</v>
      </c>
      <c r="P38" s="86"/>
      <c r="Q38" s="86"/>
      <c r="R38" s="86"/>
      <c r="S38" s="86">
        <v>131</v>
      </c>
      <c r="T38" s="164">
        <f>AVERAGE(C38:S38)</f>
        <v>110.75999999999999</v>
      </c>
      <c r="U38" s="209">
        <f>AVERAGE(U34:U37)</f>
        <v>91.238598958333327</v>
      </c>
      <c r="V38" s="210"/>
      <c r="W38" s="120"/>
      <c r="X38" s="212"/>
      <c r="Y38" s="2"/>
      <c r="Z38" s="77" t="s">
        <v>98</v>
      </c>
      <c r="AA38" s="106">
        <f>AA36+(AA37*1.5)</f>
        <v>9.9500000000000005E-2</v>
      </c>
      <c r="AB38" s="80">
        <f>AB36+(AB37*1.5)</f>
        <v>6.8862499999999986</v>
      </c>
      <c r="AC38" s="81">
        <f>AC36+(AC37*1.5)</f>
        <v>21.787499999999998</v>
      </c>
      <c r="AD38" s="2">
        <f>AD36+(AD37*1.5)</f>
        <v>60.5</v>
      </c>
      <c r="AE38" s="87">
        <f>AE36+(AE37*1.5)</f>
        <v>152.5</v>
      </c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4.7" thickBot="1" x14ac:dyDescent="0.6">
      <c r="A39" s="49" t="s">
        <v>99</v>
      </c>
      <c r="B39" s="50"/>
      <c r="C39" s="165">
        <f>AVERAGE(C35:C38)</f>
        <v>119.75</v>
      </c>
      <c r="D39" s="55">
        <f>AVERAGE(D35:D38)</f>
        <v>77.8</v>
      </c>
      <c r="E39" s="89">
        <f>AVERAGE(E35:E38)</f>
        <v>116</v>
      </c>
      <c r="F39" s="89">
        <f>AVERAGE(F35:F38)</f>
        <v>120.35</v>
      </c>
      <c r="G39" s="55">
        <f t="shared" ref="G39:S39" si="6">AVERAGE(G35:G38)</f>
        <v>99</v>
      </c>
      <c r="H39" s="89">
        <f t="shared" si="6"/>
        <v>100</v>
      </c>
      <c r="I39" s="89">
        <f t="shared" si="6"/>
        <v>103</v>
      </c>
      <c r="J39" s="89">
        <f t="shared" si="6"/>
        <v>108</v>
      </c>
      <c r="K39" s="89">
        <f t="shared" si="6"/>
        <v>114</v>
      </c>
      <c r="L39" s="89">
        <f t="shared" si="6"/>
        <v>107</v>
      </c>
      <c r="M39" s="89">
        <f t="shared" si="6"/>
        <v>103</v>
      </c>
      <c r="N39" s="55">
        <f t="shared" si="6"/>
        <v>98</v>
      </c>
      <c r="O39" s="55">
        <f t="shared" si="6"/>
        <v>88.8</v>
      </c>
      <c r="P39" s="89">
        <f t="shared" si="6"/>
        <v>106</v>
      </c>
      <c r="Q39" s="89">
        <f t="shared" si="6"/>
        <v>100</v>
      </c>
      <c r="R39" s="89">
        <f t="shared" si="6"/>
        <v>126</v>
      </c>
      <c r="S39" s="89">
        <f t="shared" si="6"/>
        <v>125.75</v>
      </c>
      <c r="T39" s="89">
        <f>AVERAGE(T35:T38)</f>
        <v>110.82124999999999</v>
      </c>
      <c r="U39" s="52"/>
      <c r="V39" s="52"/>
      <c r="W39" s="159"/>
      <c r="X39" s="160"/>
      <c r="Y39" s="2"/>
      <c r="Z39" s="90" t="s">
        <v>100</v>
      </c>
      <c r="AA39" s="137">
        <f>AA35-(AA37*1.5)</f>
        <v>9.9500000000000005E-2</v>
      </c>
      <c r="AB39" s="92">
        <f>AB35-(AB37*1.5)</f>
        <v>1.3962500000000007</v>
      </c>
      <c r="AC39" s="92">
        <f>AC35-(AC37*1.5)</f>
        <v>5.6875000000000036</v>
      </c>
      <c r="AD39" s="166">
        <f>AD35-(AD37*1.5)</f>
        <v>20.5</v>
      </c>
      <c r="AE39" s="93">
        <f>AE35-(AE37*1.5)</f>
        <v>68.5</v>
      </c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4.7" thickBot="1" x14ac:dyDescent="0.6">
      <c r="A40" s="49" t="s">
        <v>72</v>
      </c>
      <c r="B40" s="50"/>
      <c r="C40" s="65">
        <f>(STDEV(C35:C38)/AVERAGE(C35:C38))*100</f>
        <v>3.1523317057497913</v>
      </c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65">
        <f>(STDEV(S35:S38)/AVERAGE(S35:S38))*100</f>
        <v>4.9182174460648032</v>
      </c>
      <c r="T40" s="65">
        <f>(STDEV(T35:T38)/AVERAGE(T35:T38))*100</f>
        <v>3.1334765323037215</v>
      </c>
      <c r="U40" s="52"/>
      <c r="V40" s="52"/>
      <c r="W40" s="162"/>
      <c r="X40" s="163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x14ac:dyDescent="0.55000000000000004">
      <c r="A41" s="2"/>
      <c r="B41" s="2"/>
      <c r="C41" s="176" t="s">
        <v>101</v>
      </c>
      <c r="D41" s="176"/>
      <c r="E41" s="176"/>
      <c r="F41" s="176"/>
      <c r="G41" s="176"/>
      <c r="H41" s="2"/>
      <c r="I41" s="177" t="s">
        <v>102</v>
      </c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x14ac:dyDescent="0.55000000000000004">
      <c r="A42" s="2"/>
      <c r="B42" s="2"/>
      <c r="C42" s="2" t="s">
        <v>184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x14ac:dyDescent="0.55000000000000004">
      <c r="A43" s="76"/>
      <c r="B43" s="76"/>
      <c r="C43" s="78">
        <v>3.6</v>
      </c>
      <c r="D43" s="78">
        <v>10.9</v>
      </c>
      <c r="E43" s="78">
        <v>33</v>
      </c>
      <c r="F43" s="78">
        <v>100</v>
      </c>
      <c r="G43" s="2"/>
      <c r="H43" s="78"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x14ac:dyDescent="0.55000000000000004">
      <c r="A44" s="76" t="s">
        <v>92</v>
      </c>
      <c r="B44" s="76"/>
      <c r="C44" s="97">
        <f>QUARTILE(C17:S20,1)</f>
        <v>3.5049999999999999</v>
      </c>
      <c r="D44" s="97">
        <f>QUARTILE(C23:S26,1)</f>
        <v>11.9</v>
      </c>
      <c r="E44" s="97">
        <f>QUARTILE(C29:S32,1)</f>
        <v>35.75</v>
      </c>
      <c r="F44" s="97">
        <f>QUARTILE(C35:S38,1)</f>
        <v>101.5</v>
      </c>
      <c r="G44" s="97"/>
      <c r="H44" s="97">
        <f>QUARTILE(C7:S14,1)</f>
        <v>9.9500000000000005E-2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x14ac:dyDescent="0.55000000000000004">
      <c r="A45" s="76" t="s">
        <v>94</v>
      </c>
      <c r="B45" s="76"/>
      <c r="C45" s="97">
        <f>QUARTILE(C17:S20,3)</f>
        <v>4.8849999999999998</v>
      </c>
      <c r="D45" s="97">
        <f>QUARTILE(C23:S26,3)</f>
        <v>15.8</v>
      </c>
      <c r="E45" s="97">
        <f>QUARTILE(C29:S32,3)</f>
        <v>44.85</v>
      </c>
      <c r="F45" s="97">
        <f>QUARTILE(C35:S38,3)</f>
        <v>120.675</v>
      </c>
      <c r="G45" s="97"/>
      <c r="H45" s="97">
        <f>QUARTILE(C7:S14,3)</f>
        <v>9.9500000000000005E-2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68"/>
      <c r="AA45" s="168"/>
      <c r="AB45" s="168"/>
      <c r="AC45" s="168"/>
      <c r="AD45" s="168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x14ac:dyDescent="0.55000000000000004">
      <c r="A46" s="76" t="s">
        <v>96</v>
      </c>
      <c r="B46" s="76"/>
      <c r="C46" s="97">
        <f>(C45-C44)</f>
        <v>1.38</v>
      </c>
      <c r="D46" s="97">
        <f>(D45-D44)</f>
        <v>3.9000000000000004</v>
      </c>
      <c r="E46" s="97">
        <f>(E45-E44)</f>
        <v>9.1000000000000014</v>
      </c>
      <c r="F46" s="97">
        <f>(F45-F44)</f>
        <v>19.174999999999997</v>
      </c>
      <c r="G46" s="97"/>
      <c r="H46" s="97">
        <f>(H45-H44)</f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x14ac:dyDescent="0.55000000000000004">
      <c r="A47" s="76" t="s">
        <v>98</v>
      </c>
      <c r="B47" s="76"/>
      <c r="C47" s="97">
        <f>C45+(C46*1.5)</f>
        <v>6.9550000000000001</v>
      </c>
      <c r="D47" s="97">
        <f>D45+(D46*1.5)</f>
        <v>21.650000000000002</v>
      </c>
      <c r="E47" s="97">
        <f>E45+(E46*1.5)</f>
        <v>58.5</v>
      </c>
      <c r="F47" s="97">
        <f>F45+(F46*1.5)</f>
        <v>149.4375</v>
      </c>
      <c r="G47" s="97"/>
      <c r="H47" s="97">
        <f>H45+(H46*1.5)</f>
        <v>9.9500000000000005E-2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x14ac:dyDescent="0.55000000000000004">
      <c r="A48" s="76" t="s">
        <v>100</v>
      </c>
      <c r="B48" s="76"/>
      <c r="C48" s="97">
        <f>C44-(C46*1.5)</f>
        <v>1.4350000000000001</v>
      </c>
      <c r="D48" s="97">
        <f>D44-(D46*1.5)</f>
        <v>6.05</v>
      </c>
      <c r="E48" s="97">
        <f>E44-(E46*1.5)</f>
        <v>22.099999999999998</v>
      </c>
      <c r="F48" s="97">
        <f>F44-(F46*1.5)</f>
        <v>72.737500000000011</v>
      </c>
      <c r="G48" s="97"/>
      <c r="H48" s="97">
        <f>H44-(H46*1.5)</f>
        <v>9.9500000000000005E-2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50" spans="1:30" x14ac:dyDescent="0.55000000000000004">
      <c r="A50" s="2" t="s">
        <v>185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4" spans="1:30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68"/>
      <c r="AA54" s="168"/>
      <c r="AB54" s="168"/>
      <c r="AC54" s="168"/>
      <c r="AD54" s="168"/>
    </row>
    <row r="57" spans="1:30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68"/>
      <c r="AA57" s="168"/>
      <c r="AB57" s="168"/>
      <c r="AC57" s="168"/>
      <c r="AD57" s="168"/>
    </row>
  </sheetData>
  <mergeCells count="48">
    <mergeCell ref="A4:X4"/>
    <mergeCell ref="Y4:BG4"/>
    <mergeCell ref="A5:A6"/>
    <mergeCell ref="B5:B6"/>
    <mergeCell ref="C5:S5"/>
    <mergeCell ref="U5:W5"/>
    <mergeCell ref="X5:X6"/>
    <mergeCell ref="Y5:BG5"/>
    <mergeCell ref="Y6:AC6"/>
    <mergeCell ref="AD6:AH6"/>
    <mergeCell ref="AS6:AW6"/>
    <mergeCell ref="AX6:BB6"/>
    <mergeCell ref="BC6:BG6"/>
    <mergeCell ref="AI6:AM6"/>
    <mergeCell ref="AN6:AR6"/>
    <mergeCell ref="U7:U14"/>
    <mergeCell ref="V7:V14"/>
    <mergeCell ref="X7:X14"/>
    <mergeCell ref="U17:U20"/>
    <mergeCell ref="V17:V20"/>
    <mergeCell ref="X17:X20"/>
    <mergeCell ref="AD16:AH16"/>
    <mergeCell ref="AI16:AM16"/>
    <mergeCell ref="AN16:AR16"/>
    <mergeCell ref="AS16:AW16"/>
    <mergeCell ref="AX16:BB16"/>
    <mergeCell ref="AS25:AW25"/>
    <mergeCell ref="AX25:BB25"/>
    <mergeCell ref="U29:U32"/>
    <mergeCell ref="V29:V32"/>
    <mergeCell ref="X29:X32"/>
    <mergeCell ref="AG32:AT32"/>
    <mergeCell ref="U23:U26"/>
    <mergeCell ref="V23:V26"/>
    <mergeCell ref="X23:X26"/>
    <mergeCell ref="AD25:AH25"/>
    <mergeCell ref="AI25:AM25"/>
    <mergeCell ref="AN25:AR25"/>
    <mergeCell ref="U35:U38"/>
    <mergeCell ref="V35:V38"/>
    <mergeCell ref="X35:X38"/>
    <mergeCell ref="C41:G41"/>
    <mergeCell ref="I41:U41"/>
    <mergeCell ref="Z45:AD45"/>
    <mergeCell ref="Z54:AD54"/>
    <mergeCell ref="Z57:AD57"/>
    <mergeCell ref="Z33:AE33"/>
    <mergeCell ref="AG33:AT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84C5D-1B86-45FA-9A7B-C470ECBB3E37}">
  <dimension ref="A1:BG84"/>
  <sheetViews>
    <sheetView workbookViewId="0">
      <selection activeCell="B2" sqref="B2:C3"/>
    </sheetView>
  </sheetViews>
  <sheetFormatPr defaultRowHeight="14.4" x14ac:dyDescent="0.55000000000000004"/>
  <cols>
    <col min="1" max="2" width="13.83984375" customWidth="1"/>
    <col min="3" max="3" width="7.578125" customWidth="1"/>
    <col min="4" max="12" width="7.578125" bestFit="1" customWidth="1"/>
    <col min="13" max="19" width="8.578125" bestFit="1" customWidth="1"/>
    <col min="20" max="20" width="5.83984375" customWidth="1"/>
    <col min="21" max="21" width="11.68359375" bestFit="1" customWidth="1"/>
    <col min="22" max="22" width="26.83984375" bestFit="1" customWidth="1"/>
    <col min="23" max="23" width="16.68359375" customWidth="1"/>
    <col min="25" max="25" width="2.83984375" bestFit="1" customWidth="1"/>
    <col min="26" max="26" width="12.578125" customWidth="1"/>
    <col min="27" max="29" width="6.578125" customWidth="1"/>
    <col min="31" max="31" width="12.578125" customWidth="1"/>
    <col min="32" max="34" width="6.578125" customWidth="1"/>
    <col min="35" max="35" width="4" bestFit="1" customWidth="1"/>
    <col min="36" max="36" width="12.578125" customWidth="1"/>
    <col min="37" max="39" width="6.578125" customWidth="1"/>
    <col min="40" max="40" width="4" bestFit="1" customWidth="1"/>
    <col min="41" max="41" width="12.578125" customWidth="1"/>
    <col min="42" max="44" width="6.578125" customWidth="1"/>
    <col min="45" max="45" width="4" bestFit="1" customWidth="1"/>
    <col min="46" max="46" width="12.578125" customWidth="1"/>
    <col min="47" max="49" width="6.578125" customWidth="1"/>
    <col min="50" max="50" width="4" bestFit="1" customWidth="1"/>
    <col min="51" max="51" width="12.578125" customWidth="1"/>
    <col min="52" max="54" width="6.578125" customWidth="1"/>
    <col min="55" max="55" width="5" bestFit="1" customWidth="1"/>
    <col min="56" max="56" width="12.578125" customWidth="1"/>
    <col min="57" max="59" width="6.578125" customWidth="1"/>
  </cols>
  <sheetData>
    <row r="1" spans="1:59" ht="18.3" x14ac:dyDescent="0.7">
      <c r="A1" s="167" t="s">
        <v>188</v>
      </c>
    </row>
    <row r="2" spans="1:59" x14ac:dyDescent="0.55000000000000004">
      <c r="A2" s="2"/>
      <c r="B2" s="1" t="s">
        <v>0</v>
      </c>
      <c r="C2" s="1" t="s">
        <v>105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59" ht="14.7" thickBot="1" x14ac:dyDescent="0.6">
      <c r="A3" s="2"/>
      <c r="B3" s="1" t="s">
        <v>1</v>
      </c>
      <c r="C3" s="110" t="s">
        <v>106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ht="14.7" thickBot="1" x14ac:dyDescent="0.6">
      <c r="A4" s="18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3"/>
      <c r="Y4" s="182" t="s">
        <v>3</v>
      </c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3"/>
    </row>
    <row r="5" spans="1:59" ht="15.75" customHeight="1" thickBot="1" x14ac:dyDescent="0.6">
      <c r="A5" s="204" t="s">
        <v>4</v>
      </c>
      <c r="B5" s="204" t="s">
        <v>5</v>
      </c>
      <c r="C5" s="206" t="s">
        <v>6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4" t="s">
        <v>7</v>
      </c>
      <c r="U5" s="207" t="s">
        <v>8</v>
      </c>
      <c r="V5" s="221"/>
      <c r="W5" s="5"/>
      <c r="X5" s="112" t="s">
        <v>107</v>
      </c>
      <c r="Y5" s="208" t="s">
        <v>10</v>
      </c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4"/>
    </row>
    <row r="6" spans="1:59" ht="14.7" thickBot="1" x14ac:dyDescent="0.6">
      <c r="A6" s="205"/>
      <c r="B6" s="205"/>
      <c r="C6" s="6" t="s">
        <v>11</v>
      </c>
      <c r="D6" s="6" t="s">
        <v>12</v>
      </c>
      <c r="E6" s="6" t="s">
        <v>13</v>
      </c>
      <c r="F6" s="6" t="s">
        <v>14</v>
      </c>
      <c r="G6" s="67" t="s">
        <v>15</v>
      </c>
      <c r="H6" s="111" t="s">
        <v>16</v>
      </c>
      <c r="I6" s="67" t="s">
        <v>17</v>
      </c>
      <c r="J6" s="67" t="s">
        <v>18</v>
      </c>
      <c r="K6" s="67" t="s">
        <v>19</v>
      </c>
      <c r="L6" s="67" t="s">
        <v>20</v>
      </c>
      <c r="M6" s="67" t="s">
        <v>21</v>
      </c>
      <c r="N6" s="67" t="s">
        <v>22</v>
      </c>
      <c r="O6" s="67" t="s">
        <v>23</v>
      </c>
      <c r="P6" s="67" t="s">
        <v>24</v>
      </c>
      <c r="Q6" s="67" t="s">
        <v>25</v>
      </c>
      <c r="R6" s="67" t="s">
        <v>26</v>
      </c>
      <c r="S6" s="113" t="s">
        <v>27</v>
      </c>
      <c r="T6" s="7" t="s">
        <v>28</v>
      </c>
      <c r="U6" s="114" t="s">
        <v>29</v>
      </c>
      <c r="V6" s="9" t="s">
        <v>108</v>
      </c>
      <c r="W6" s="9" t="s">
        <v>31</v>
      </c>
      <c r="X6" s="11" t="s">
        <v>32</v>
      </c>
      <c r="Y6" s="199" t="s">
        <v>11</v>
      </c>
      <c r="Z6" s="200"/>
      <c r="AA6" s="200"/>
      <c r="AB6" s="200"/>
      <c r="AC6" s="201"/>
      <c r="AD6" s="178" t="s">
        <v>12</v>
      </c>
      <c r="AE6" s="179"/>
      <c r="AF6" s="179"/>
      <c r="AG6" s="179"/>
      <c r="AH6" s="180"/>
      <c r="AI6" s="178" t="s">
        <v>15</v>
      </c>
      <c r="AJ6" s="179"/>
      <c r="AK6" s="179"/>
      <c r="AL6" s="179"/>
      <c r="AM6" s="180"/>
      <c r="AN6" s="178" t="s">
        <v>18</v>
      </c>
      <c r="AO6" s="179"/>
      <c r="AP6" s="179"/>
      <c r="AQ6" s="179"/>
      <c r="AR6" s="180"/>
      <c r="AS6" s="178" t="s">
        <v>21</v>
      </c>
      <c r="AT6" s="179"/>
      <c r="AU6" s="179"/>
      <c r="AV6" s="179"/>
      <c r="AW6" s="180"/>
      <c r="AX6" s="178" t="s">
        <v>24</v>
      </c>
      <c r="AY6" s="179"/>
      <c r="AZ6" s="179"/>
      <c r="BA6" s="179"/>
      <c r="BB6" s="180"/>
      <c r="BC6" s="199" t="s">
        <v>27</v>
      </c>
      <c r="BD6" s="200"/>
      <c r="BE6" s="200"/>
      <c r="BF6" s="200"/>
      <c r="BG6" s="201"/>
    </row>
    <row r="7" spans="1:59" ht="14.7" thickBot="1" x14ac:dyDescent="0.6">
      <c r="A7" s="12" t="s">
        <v>33</v>
      </c>
      <c r="B7" s="13" t="s">
        <v>34</v>
      </c>
      <c r="C7" s="15">
        <f t="shared" ref="C7:C14" si="0">AC8</f>
        <v>0.16650000000000001</v>
      </c>
      <c r="D7" s="115">
        <v>0.16650000000000001</v>
      </c>
      <c r="E7" s="115"/>
      <c r="F7" s="115"/>
      <c r="G7" s="115"/>
      <c r="H7" s="115"/>
      <c r="I7" s="115"/>
      <c r="J7" s="115"/>
      <c r="K7" s="115"/>
      <c r="L7" s="115">
        <v>0.16650000000000001</v>
      </c>
      <c r="M7" s="115"/>
      <c r="N7" s="115"/>
      <c r="O7" s="115"/>
      <c r="P7" s="115"/>
      <c r="Q7" s="115"/>
      <c r="R7" s="115"/>
      <c r="S7" s="115">
        <v>0.16650000000000001</v>
      </c>
      <c r="T7" s="16">
        <f t="shared" ref="T7:T14" si="1">AVERAGE(C7:S7)</f>
        <v>0.16650000000000001</v>
      </c>
      <c r="U7" s="190">
        <f>AVERAGE(T7:T14)</f>
        <v>0.16650000000000001</v>
      </c>
      <c r="V7" s="224"/>
      <c r="W7" s="17"/>
      <c r="X7" s="187"/>
      <c r="Y7" s="18" t="s">
        <v>35</v>
      </c>
      <c r="Z7" s="19" t="s">
        <v>36</v>
      </c>
      <c r="AA7" s="19" t="s">
        <v>37</v>
      </c>
      <c r="AB7" s="19" t="s">
        <v>38</v>
      </c>
      <c r="AC7" s="20" t="s">
        <v>39</v>
      </c>
      <c r="AD7" s="21" t="s">
        <v>35</v>
      </c>
      <c r="AE7" s="22" t="s">
        <v>36</v>
      </c>
      <c r="AF7" s="22" t="s">
        <v>37</v>
      </c>
      <c r="AG7" s="22" t="s">
        <v>38</v>
      </c>
      <c r="AH7" s="23" t="s">
        <v>39</v>
      </c>
      <c r="AI7" s="21" t="s">
        <v>35</v>
      </c>
      <c r="AJ7" s="22" t="s">
        <v>36</v>
      </c>
      <c r="AK7" s="22" t="s">
        <v>37</v>
      </c>
      <c r="AL7" s="22" t="s">
        <v>38</v>
      </c>
      <c r="AM7" s="23" t="s">
        <v>39</v>
      </c>
      <c r="AN7" s="21" t="s">
        <v>35</v>
      </c>
      <c r="AO7" s="22" t="s">
        <v>36</v>
      </c>
      <c r="AP7" s="22" t="s">
        <v>37</v>
      </c>
      <c r="AQ7" s="22" t="s">
        <v>38</v>
      </c>
      <c r="AR7" s="23" t="s">
        <v>39</v>
      </c>
      <c r="AS7" s="21" t="s">
        <v>35</v>
      </c>
      <c r="AT7" s="22" t="s">
        <v>36</v>
      </c>
      <c r="AU7" s="22" t="s">
        <v>37</v>
      </c>
      <c r="AV7" s="22" t="s">
        <v>38</v>
      </c>
      <c r="AW7" s="23" t="s">
        <v>39</v>
      </c>
      <c r="AX7" s="21" t="s">
        <v>35</v>
      </c>
      <c r="AY7" s="22" t="s">
        <v>36</v>
      </c>
      <c r="AZ7" s="22" t="s">
        <v>37</v>
      </c>
      <c r="BA7" s="22" t="s">
        <v>38</v>
      </c>
      <c r="BB7" s="23" t="s">
        <v>39</v>
      </c>
      <c r="BC7" s="21" t="s">
        <v>35</v>
      </c>
      <c r="BD7" s="22" t="s">
        <v>36</v>
      </c>
      <c r="BE7" s="22" t="s">
        <v>37</v>
      </c>
      <c r="BF7" s="22" t="s">
        <v>38</v>
      </c>
      <c r="BG7" s="23" t="s">
        <v>39</v>
      </c>
    </row>
    <row r="8" spans="1:59" ht="14.7" thickBot="1" x14ac:dyDescent="0.6">
      <c r="A8" s="12" t="s">
        <v>40</v>
      </c>
      <c r="B8" s="13" t="s">
        <v>34</v>
      </c>
      <c r="C8" s="15">
        <f t="shared" si="0"/>
        <v>0.16650000000000001</v>
      </c>
      <c r="D8" s="115"/>
      <c r="E8" s="115">
        <v>0.16650000000000001</v>
      </c>
      <c r="F8" s="115"/>
      <c r="G8" s="115"/>
      <c r="H8" s="115"/>
      <c r="I8" s="115"/>
      <c r="J8" s="115"/>
      <c r="K8" s="115"/>
      <c r="L8" s="115"/>
      <c r="M8" s="115">
        <v>0.16650000000000001</v>
      </c>
      <c r="N8" s="115"/>
      <c r="O8" s="115"/>
      <c r="P8" s="115"/>
      <c r="Q8" s="115"/>
      <c r="R8" s="115"/>
      <c r="S8" s="115">
        <v>0.16650000000000001</v>
      </c>
      <c r="T8" s="16">
        <f t="shared" si="1"/>
        <v>0.16650000000000001</v>
      </c>
      <c r="U8" s="191"/>
      <c r="V8" s="225"/>
      <c r="W8" s="24"/>
      <c r="X8" s="188"/>
      <c r="Y8" s="18">
        <v>3</v>
      </c>
      <c r="Z8" s="25" t="s">
        <v>41</v>
      </c>
      <c r="AA8" s="116">
        <v>0.16650000000000001</v>
      </c>
      <c r="AB8" s="116">
        <v>0.16650000000000001</v>
      </c>
      <c r="AC8" s="34">
        <f t="shared" ref="AC8:AC15" si="2">AVERAGE(AA8:AB8)</f>
        <v>0.16650000000000001</v>
      </c>
      <c r="AD8" s="21">
        <v>36</v>
      </c>
      <c r="AE8" s="25" t="s">
        <v>41</v>
      </c>
      <c r="AF8" s="22"/>
      <c r="AG8" s="22"/>
      <c r="AH8" s="23"/>
      <c r="AI8" s="21">
        <v>65</v>
      </c>
      <c r="AJ8" s="25" t="s">
        <v>42</v>
      </c>
      <c r="AK8" s="22"/>
      <c r="AL8" s="22"/>
      <c r="AM8" s="23"/>
      <c r="AN8" s="21">
        <v>188</v>
      </c>
      <c r="AO8" s="25" t="s">
        <v>43</v>
      </c>
      <c r="AP8" s="117"/>
      <c r="AQ8" s="22"/>
      <c r="AR8" s="32"/>
      <c r="AS8" s="21">
        <v>364</v>
      </c>
      <c r="AT8" s="25" t="s">
        <v>44</v>
      </c>
      <c r="AU8" s="22"/>
      <c r="AV8" s="22"/>
      <c r="AW8" s="23"/>
      <c r="AX8" s="21">
        <v>394</v>
      </c>
      <c r="AY8" s="25" t="s">
        <v>45</v>
      </c>
      <c r="AZ8" s="22"/>
      <c r="BA8" s="22"/>
      <c r="BB8" s="23"/>
      <c r="BC8" s="21">
        <v>423</v>
      </c>
      <c r="BD8" s="25" t="s">
        <v>41</v>
      </c>
      <c r="BE8" s="22"/>
      <c r="BF8" s="22"/>
      <c r="BG8" s="23"/>
    </row>
    <row r="9" spans="1:59" ht="14.7" thickBot="1" x14ac:dyDescent="0.6">
      <c r="A9" s="12" t="s">
        <v>46</v>
      </c>
      <c r="B9" s="13" t="s">
        <v>34</v>
      </c>
      <c r="C9" s="15">
        <f t="shared" si="0"/>
        <v>0.16650000000000001</v>
      </c>
      <c r="D9" s="115"/>
      <c r="E9" s="115"/>
      <c r="F9" s="115">
        <v>0.16650000000000001</v>
      </c>
      <c r="G9" s="115"/>
      <c r="H9" s="115"/>
      <c r="I9" s="115"/>
      <c r="J9" s="115"/>
      <c r="K9" s="115"/>
      <c r="L9" s="115"/>
      <c r="M9" s="115"/>
      <c r="N9" s="115">
        <v>0.16650000000000001</v>
      </c>
      <c r="O9" s="115"/>
      <c r="P9" s="115"/>
      <c r="Q9" s="115"/>
      <c r="R9" s="115"/>
      <c r="S9" s="115">
        <v>0.16650000000000001</v>
      </c>
      <c r="T9" s="16">
        <f t="shared" si="1"/>
        <v>0.16650000000000001</v>
      </c>
      <c r="U9" s="191"/>
      <c r="V9" s="225"/>
      <c r="W9" s="24"/>
      <c r="X9" s="188"/>
      <c r="Y9" s="18">
        <v>4</v>
      </c>
      <c r="Z9" s="25" t="s">
        <v>44</v>
      </c>
      <c r="AA9" s="116">
        <v>0.16650000000000001</v>
      </c>
      <c r="AB9" s="116">
        <v>0.16650000000000001</v>
      </c>
      <c r="AC9" s="34">
        <f t="shared" si="2"/>
        <v>0.16650000000000001</v>
      </c>
      <c r="AD9" s="21">
        <v>37</v>
      </c>
      <c r="AE9" s="25" t="s">
        <v>109</v>
      </c>
      <c r="AF9" s="22"/>
      <c r="AG9" s="22"/>
      <c r="AH9" s="23"/>
      <c r="AI9" s="21">
        <v>66</v>
      </c>
      <c r="AJ9" s="25" t="s">
        <v>110</v>
      </c>
      <c r="AK9" s="22"/>
      <c r="AL9" s="22"/>
      <c r="AM9" s="23"/>
      <c r="AN9" s="21">
        <v>189</v>
      </c>
      <c r="AO9" s="25" t="s">
        <v>111</v>
      </c>
      <c r="AP9" s="118">
        <v>0.84799999999999998</v>
      </c>
      <c r="AQ9" s="117">
        <v>1.31</v>
      </c>
      <c r="AR9" s="35">
        <f>AVERAGE(AP9:AQ9)</f>
        <v>1.079</v>
      </c>
      <c r="AS9" s="21">
        <v>365</v>
      </c>
      <c r="AT9" s="25" t="s">
        <v>112</v>
      </c>
      <c r="AU9" s="22"/>
      <c r="AV9" s="22"/>
      <c r="AW9" s="119"/>
      <c r="AX9" s="21">
        <v>395</v>
      </c>
      <c r="AY9" s="25" t="s">
        <v>109</v>
      </c>
      <c r="AZ9" s="22"/>
      <c r="BA9" s="22"/>
      <c r="BB9" s="23"/>
      <c r="BC9" s="21">
        <v>424</v>
      </c>
      <c r="BD9" s="25" t="s">
        <v>44</v>
      </c>
      <c r="BE9" s="22"/>
      <c r="BF9" s="22"/>
      <c r="BG9" s="23"/>
    </row>
    <row r="10" spans="1:59" ht="14.7" thickBot="1" x14ac:dyDescent="0.6">
      <c r="A10" s="12" t="s">
        <v>51</v>
      </c>
      <c r="B10" s="13" t="s">
        <v>34</v>
      </c>
      <c r="C10" s="15">
        <f t="shared" si="0"/>
        <v>0.16650000000000001</v>
      </c>
      <c r="D10" s="115"/>
      <c r="E10" s="115"/>
      <c r="F10" s="115"/>
      <c r="G10" s="115">
        <v>0.16650000000000001</v>
      </c>
      <c r="H10" s="115"/>
      <c r="I10" s="115"/>
      <c r="J10" s="115"/>
      <c r="K10" s="115"/>
      <c r="L10" s="115"/>
      <c r="M10" s="115"/>
      <c r="N10" s="115"/>
      <c r="O10" s="115">
        <v>0.16650000000000001</v>
      </c>
      <c r="P10" s="115"/>
      <c r="Q10" s="115"/>
      <c r="R10" s="115"/>
      <c r="S10" s="115">
        <v>0.16650000000000001</v>
      </c>
      <c r="T10" s="16">
        <f t="shared" si="1"/>
        <v>0.16650000000000001</v>
      </c>
      <c r="U10" s="191"/>
      <c r="V10" s="225"/>
      <c r="W10" s="120"/>
      <c r="X10" s="188"/>
      <c r="Y10" s="18">
        <v>5</v>
      </c>
      <c r="Z10" s="25" t="s">
        <v>52</v>
      </c>
      <c r="AA10" s="116">
        <v>0.16650000000000001</v>
      </c>
      <c r="AB10" s="116">
        <v>0.16650000000000001</v>
      </c>
      <c r="AC10" s="34">
        <f t="shared" si="2"/>
        <v>0.16650000000000001</v>
      </c>
      <c r="AD10" s="21">
        <v>38</v>
      </c>
      <c r="AE10" s="25" t="s">
        <v>113</v>
      </c>
      <c r="AF10" s="22"/>
      <c r="AG10" s="22"/>
      <c r="AH10" s="23"/>
      <c r="AI10" s="21">
        <v>67</v>
      </c>
      <c r="AJ10" s="25" t="s">
        <v>114</v>
      </c>
      <c r="AK10" s="22"/>
      <c r="AL10" s="22"/>
      <c r="AM10" s="23"/>
      <c r="AN10" s="21">
        <v>190</v>
      </c>
      <c r="AO10" s="25" t="s">
        <v>115</v>
      </c>
      <c r="AP10" s="118"/>
      <c r="AQ10" s="22"/>
      <c r="AR10" s="119"/>
      <c r="AS10" s="21">
        <v>366</v>
      </c>
      <c r="AT10" s="25" t="s">
        <v>116</v>
      </c>
      <c r="AU10" s="22"/>
      <c r="AV10" s="22"/>
      <c r="AW10" s="23"/>
      <c r="AX10" s="21">
        <v>396</v>
      </c>
      <c r="AY10" s="25" t="s">
        <v>113</v>
      </c>
      <c r="AZ10" s="22"/>
      <c r="BA10" s="22"/>
      <c r="BB10" s="23"/>
      <c r="BC10" s="21">
        <v>425</v>
      </c>
      <c r="BD10" s="25" t="s">
        <v>52</v>
      </c>
      <c r="BE10" s="22"/>
      <c r="BF10" s="22"/>
      <c r="BG10" s="23"/>
    </row>
    <row r="11" spans="1:59" ht="14.7" thickBot="1" x14ac:dyDescent="0.6">
      <c r="A11" s="12" t="s">
        <v>57</v>
      </c>
      <c r="B11" s="13" t="s">
        <v>34</v>
      </c>
      <c r="C11" s="15">
        <f t="shared" si="0"/>
        <v>0.16650000000000001</v>
      </c>
      <c r="D11" s="115"/>
      <c r="E11" s="115"/>
      <c r="F11" s="115"/>
      <c r="G11" s="115"/>
      <c r="H11" s="115">
        <v>0.16650000000000001</v>
      </c>
      <c r="I11" s="115"/>
      <c r="J11" s="115"/>
      <c r="K11" s="115"/>
      <c r="L11" s="115"/>
      <c r="M11" s="115"/>
      <c r="N11" s="115"/>
      <c r="O11" s="115"/>
      <c r="P11" s="115">
        <v>0.16650000000000001</v>
      </c>
      <c r="Q11" s="115"/>
      <c r="R11" s="115"/>
      <c r="S11" s="115">
        <v>0.16650000000000001</v>
      </c>
      <c r="T11" s="16">
        <f t="shared" si="1"/>
        <v>0.16650000000000001</v>
      </c>
      <c r="U11" s="191"/>
      <c r="V11" s="225"/>
      <c r="W11" s="120"/>
      <c r="X11" s="188"/>
      <c r="Y11" s="18">
        <v>6</v>
      </c>
      <c r="Z11" s="25" t="s">
        <v>42</v>
      </c>
      <c r="AA11" s="116">
        <v>0.16650000000000001</v>
      </c>
      <c r="AB11" s="116">
        <v>0.16650000000000001</v>
      </c>
      <c r="AC11" s="34">
        <f t="shared" si="2"/>
        <v>0.16650000000000001</v>
      </c>
      <c r="AD11" s="21">
        <v>39</v>
      </c>
      <c r="AE11" s="25" t="s">
        <v>117</v>
      </c>
      <c r="AF11" s="22"/>
      <c r="AG11" s="22"/>
      <c r="AH11" s="23"/>
      <c r="AI11" s="21">
        <v>68</v>
      </c>
      <c r="AJ11" s="25" t="s">
        <v>118</v>
      </c>
      <c r="AK11" s="22"/>
      <c r="AL11" s="22"/>
      <c r="AM11" s="23"/>
      <c r="AN11" s="21">
        <v>191</v>
      </c>
      <c r="AO11" s="25" t="s">
        <v>119</v>
      </c>
      <c r="AP11" s="118"/>
      <c r="AQ11" s="22"/>
      <c r="AR11" s="121"/>
      <c r="AS11" s="21">
        <v>367</v>
      </c>
      <c r="AT11" s="25" t="s">
        <v>120</v>
      </c>
      <c r="AU11" s="22"/>
      <c r="AV11" s="22"/>
      <c r="AW11" s="23"/>
      <c r="AX11" s="21">
        <v>397</v>
      </c>
      <c r="AY11" s="25" t="s">
        <v>117</v>
      </c>
      <c r="AZ11" s="22"/>
      <c r="BA11" s="22"/>
      <c r="BB11" s="38"/>
      <c r="BC11" s="21">
        <v>426</v>
      </c>
      <c r="BD11" s="25" t="s">
        <v>42</v>
      </c>
      <c r="BE11" s="22"/>
      <c r="BF11" s="22"/>
      <c r="BG11" s="23"/>
    </row>
    <row r="12" spans="1:59" ht="14.7" thickBot="1" x14ac:dyDescent="0.6">
      <c r="A12" s="12" t="s">
        <v>62</v>
      </c>
      <c r="B12" s="13" t="s">
        <v>34</v>
      </c>
      <c r="C12" s="15">
        <f t="shared" si="0"/>
        <v>0.16650000000000001</v>
      </c>
      <c r="D12" s="115"/>
      <c r="E12" s="115"/>
      <c r="F12" s="115"/>
      <c r="G12" s="115"/>
      <c r="H12" s="115"/>
      <c r="I12" s="15">
        <f>AK27</f>
        <v>0.16650000000000001</v>
      </c>
      <c r="J12" s="115"/>
      <c r="K12" s="115"/>
      <c r="L12" s="115"/>
      <c r="M12" s="115"/>
      <c r="N12" s="115"/>
      <c r="O12" s="115"/>
      <c r="P12" s="115"/>
      <c r="Q12" s="115">
        <v>0.16650000000000001</v>
      </c>
      <c r="R12" s="115"/>
      <c r="S12" s="115">
        <v>0.16650000000000001</v>
      </c>
      <c r="T12" s="16">
        <f t="shared" si="1"/>
        <v>0.16650000000000001</v>
      </c>
      <c r="U12" s="191"/>
      <c r="V12" s="225"/>
      <c r="W12" s="24"/>
      <c r="X12" s="188"/>
      <c r="Y12" s="18">
        <v>7</v>
      </c>
      <c r="Z12" s="25" t="s">
        <v>45</v>
      </c>
      <c r="AA12" s="116">
        <v>0.16650000000000001</v>
      </c>
      <c r="AB12" s="116">
        <v>0.16650000000000001</v>
      </c>
      <c r="AC12" s="34">
        <f t="shared" si="2"/>
        <v>0.16650000000000001</v>
      </c>
      <c r="AD12" s="39">
        <v>40</v>
      </c>
      <c r="AE12" s="40" t="s">
        <v>121</v>
      </c>
      <c r="AF12" s="41"/>
      <c r="AG12" s="41"/>
      <c r="AH12" s="42"/>
      <c r="AI12" s="39">
        <v>69</v>
      </c>
      <c r="AJ12" s="40" t="s">
        <v>122</v>
      </c>
      <c r="AK12" s="41"/>
      <c r="AL12" s="41"/>
      <c r="AM12" s="42"/>
      <c r="AN12" s="39">
        <v>192</v>
      </c>
      <c r="AO12" s="40" t="s">
        <v>123</v>
      </c>
      <c r="AP12" s="122">
        <v>22.5</v>
      </c>
      <c r="AQ12" s="41">
        <v>68.8</v>
      </c>
      <c r="AR12" s="43">
        <f>AVERAGE(AP12:AQ12)</f>
        <v>45.65</v>
      </c>
      <c r="AS12" s="39">
        <v>368</v>
      </c>
      <c r="AT12" s="40" t="s">
        <v>124</v>
      </c>
      <c r="AU12" s="41"/>
      <c r="AV12" s="41"/>
      <c r="AW12" s="123"/>
      <c r="AX12" s="39">
        <v>398</v>
      </c>
      <c r="AY12" s="40" t="s">
        <v>121</v>
      </c>
      <c r="AZ12" s="41"/>
      <c r="BA12" s="41"/>
      <c r="BB12" s="46"/>
      <c r="BC12" s="21">
        <v>427</v>
      </c>
      <c r="BD12" s="25" t="s">
        <v>45</v>
      </c>
      <c r="BE12" s="22"/>
      <c r="BF12" s="22"/>
      <c r="BG12" s="23"/>
    </row>
    <row r="13" spans="1:59" ht="14.7" thickBot="1" x14ac:dyDescent="0.6">
      <c r="A13" s="12" t="s">
        <v>67</v>
      </c>
      <c r="B13" s="13" t="s">
        <v>34</v>
      </c>
      <c r="C13" s="15">
        <f t="shared" si="0"/>
        <v>0.16650000000000001</v>
      </c>
      <c r="D13" s="115"/>
      <c r="E13" s="115"/>
      <c r="F13" s="115"/>
      <c r="G13" s="115"/>
      <c r="H13" s="115"/>
      <c r="I13" s="115"/>
      <c r="J13" s="115">
        <v>0.16650000000000001</v>
      </c>
      <c r="K13" s="115"/>
      <c r="L13" s="115"/>
      <c r="M13" s="115"/>
      <c r="N13" s="115"/>
      <c r="O13" s="115"/>
      <c r="P13" s="115"/>
      <c r="Q13" s="115"/>
      <c r="R13" s="115">
        <v>0.16650000000000001</v>
      </c>
      <c r="S13" s="115">
        <v>0.16650000000000001</v>
      </c>
      <c r="T13" s="16">
        <f t="shared" si="1"/>
        <v>0.16650000000000001</v>
      </c>
      <c r="U13" s="191"/>
      <c r="V13" s="225"/>
      <c r="W13" s="24"/>
      <c r="X13" s="188"/>
      <c r="Y13" s="18">
        <v>8</v>
      </c>
      <c r="Z13" s="25" t="s">
        <v>68</v>
      </c>
      <c r="AA13" s="124">
        <v>0.16650000000000001</v>
      </c>
      <c r="AB13" s="124">
        <v>0.16650000000000001</v>
      </c>
      <c r="AC13" s="34">
        <f t="shared" si="2"/>
        <v>0.16650000000000001</v>
      </c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21">
        <v>428</v>
      </c>
      <c r="BD13" s="25" t="s">
        <v>68</v>
      </c>
      <c r="BE13" s="22"/>
      <c r="BF13" s="22"/>
      <c r="BG13" s="23"/>
    </row>
    <row r="14" spans="1:59" ht="14.7" thickBot="1" x14ac:dyDescent="0.6">
      <c r="A14" s="12" t="s">
        <v>69</v>
      </c>
      <c r="B14" s="13" t="s">
        <v>34</v>
      </c>
      <c r="C14" s="15">
        <f t="shared" si="0"/>
        <v>0.16650000000000001</v>
      </c>
      <c r="D14" s="115"/>
      <c r="E14" s="115"/>
      <c r="F14" s="115"/>
      <c r="G14" s="115"/>
      <c r="H14" s="115"/>
      <c r="I14" s="115"/>
      <c r="J14" s="115"/>
      <c r="K14" s="115">
        <v>0.16650000000000001</v>
      </c>
      <c r="L14" s="115"/>
      <c r="M14" s="115"/>
      <c r="N14" s="115"/>
      <c r="O14" s="115"/>
      <c r="P14" s="115"/>
      <c r="Q14" s="115"/>
      <c r="R14" s="115"/>
      <c r="S14" s="115">
        <v>0.16650000000000001</v>
      </c>
      <c r="T14" s="16">
        <f t="shared" si="1"/>
        <v>0.16650000000000001</v>
      </c>
      <c r="U14" s="192"/>
      <c r="V14" s="226"/>
      <c r="W14" s="48"/>
      <c r="X14" s="189"/>
      <c r="Y14" s="18">
        <v>9</v>
      </c>
      <c r="Z14" s="25" t="s">
        <v>43</v>
      </c>
      <c r="AA14" s="124">
        <v>0.16650000000000001</v>
      </c>
      <c r="AB14" s="124">
        <v>0.16650000000000001</v>
      </c>
      <c r="AC14" s="34">
        <f t="shared" si="2"/>
        <v>0.16650000000000001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21">
        <v>429</v>
      </c>
      <c r="BD14" s="25" t="s">
        <v>43</v>
      </c>
      <c r="BE14" s="22"/>
      <c r="BF14" s="22"/>
      <c r="BG14" s="23"/>
    </row>
    <row r="15" spans="1:59" ht="14.7" thickBot="1" x14ac:dyDescent="0.6">
      <c r="A15" s="49" t="s">
        <v>70</v>
      </c>
      <c r="B15" s="50"/>
      <c r="C15" s="51">
        <f t="shared" ref="C15:T15" si="3">AVERAGE(C7:C14)</f>
        <v>0.16650000000000001</v>
      </c>
      <c r="D15" s="51">
        <f t="shared" si="3"/>
        <v>0.16650000000000001</v>
      </c>
      <c r="E15" s="51">
        <f t="shared" si="3"/>
        <v>0.16650000000000001</v>
      </c>
      <c r="F15" s="51">
        <f t="shared" si="3"/>
        <v>0.16650000000000001</v>
      </c>
      <c r="G15" s="51">
        <f t="shared" si="3"/>
        <v>0.16650000000000001</v>
      </c>
      <c r="H15" s="51">
        <f t="shared" si="3"/>
        <v>0.16650000000000001</v>
      </c>
      <c r="I15" s="51">
        <f t="shared" si="3"/>
        <v>0.16650000000000001</v>
      </c>
      <c r="J15" s="51">
        <f t="shared" si="3"/>
        <v>0.16650000000000001</v>
      </c>
      <c r="K15" s="51">
        <f t="shared" si="3"/>
        <v>0.16650000000000001</v>
      </c>
      <c r="L15" s="51">
        <f t="shared" si="3"/>
        <v>0.16650000000000001</v>
      </c>
      <c r="M15" s="51">
        <f t="shared" si="3"/>
        <v>0.16650000000000001</v>
      </c>
      <c r="N15" s="51">
        <f t="shared" si="3"/>
        <v>0.16650000000000001</v>
      </c>
      <c r="O15" s="51">
        <f t="shared" si="3"/>
        <v>0.16650000000000001</v>
      </c>
      <c r="P15" s="51">
        <f t="shared" si="3"/>
        <v>0.16650000000000001</v>
      </c>
      <c r="Q15" s="51">
        <f t="shared" si="3"/>
        <v>0.16650000000000001</v>
      </c>
      <c r="R15" s="51">
        <f t="shared" si="3"/>
        <v>0.16650000000000001</v>
      </c>
      <c r="S15" s="51">
        <f t="shared" si="3"/>
        <v>0.16650000000000001</v>
      </c>
      <c r="T15" s="51">
        <f t="shared" si="3"/>
        <v>0.16650000000000001</v>
      </c>
      <c r="U15" s="125"/>
      <c r="V15" s="125"/>
      <c r="W15" s="126"/>
      <c r="X15" s="127"/>
      <c r="Y15" s="18">
        <v>10</v>
      </c>
      <c r="Z15" s="25" t="s">
        <v>71</v>
      </c>
      <c r="AA15" s="124">
        <v>0.16650000000000001</v>
      </c>
      <c r="AB15" s="124">
        <v>0.16650000000000001</v>
      </c>
      <c r="AC15" s="34">
        <f t="shared" si="2"/>
        <v>0.16650000000000001</v>
      </c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21">
        <v>430</v>
      </c>
      <c r="BD15" s="25" t="s">
        <v>71</v>
      </c>
      <c r="BE15" s="22"/>
      <c r="BF15" s="22"/>
      <c r="BG15" s="23"/>
    </row>
    <row r="16" spans="1:59" ht="14.7" thickBot="1" x14ac:dyDescent="0.6">
      <c r="A16" s="49" t="s">
        <v>72</v>
      </c>
      <c r="B16" s="50"/>
      <c r="C16" s="51">
        <f>(STDEV(C7:C14)/AVERAGE(C7:C14))*100</f>
        <v>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1">
        <f>(STDEV(S7:S14)/AVERAGE(S7:S14))*100</f>
        <v>0</v>
      </c>
      <c r="T16" s="51">
        <f>AVERAGE(C16,S16)</f>
        <v>0</v>
      </c>
      <c r="U16" s="125"/>
      <c r="V16" s="125"/>
      <c r="W16" s="126"/>
      <c r="X16" s="127"/>
      <c r="Y16" s="18">
        <v>11</v>
      </c>
      <c r="Z16" s="25" t="s">
        <v>109</v>
      </c>
      <c r="AA16" s="19"/>
      <c r="AB16" s="19"/>
      <c r="AC16" s="28"/>
      <c r="AD16" s="178" t="s">
        <v>13</v>
      </c>
      <c r="AE16" s="179"/>
      <c r="AF16" s="179"/>
      <c r="AG16" s="179"/>
      <c r="AH16" s="180"/>
      <c r="AI16" s="178" t="s">
        <v>16</v>
      </c>
      <c r="AJ16" s="179"/>
      <c r="AK16" s="179"/>
      <c r="AL16" s="179"/>
      <c r="AM16" s="180"/>
      <c r="AN16" s="178" t="s">
        <v>19</v>
      </c>
      <c r="AO16" s="179"/>
      <c r="AP16" s="179"/>
      <c r="AQ16" s="179"/>
      <c r="AR16" s="180"/>
      <c r="AS16" s="178" t="s">
        <v>22</v>
      </c>
      <c r="AT16" s="179"/>
      <c r="AU16" s="179"/>
      <c r="AV16" s="179"/>
      <c r="AW16" s="180"/>
      <c r="AX16" s="178" t="s">
        <v>25</v>
      </c>
      <c r="AY16" s="179"/>
      <c r="AZ16" s="179"/>
      <c r="BA16" s="179"/>
      <c r="BB16" s="180"/>
      <c r="BC16" s="21">
        <v>431</v>
      </c>
      <c r="BD16" s="25" t="s">
        <v>109</v>
      </c>
      <c r="BE16" s="22">
        <v>1.36</v>
      </c>
      <c r="BF16" s="22">
        <v>0.95499999999999996</v>
      </c>
      <c r="BG16" s="35">
        <f t="shared" ref="BG16:BG31" si="4">AVERAGE(BE16:BF16)</f>
        <v>1.1575</v>
      </c>
    </row>
    <row r="17" spans="1:59" ht="15.75" customHeight="1" thickBot="1" x14ac:dyDescent="0.6">
      <c r="A17" s="12" t="s">
        <v>125</v>
      </c>
      <c r="B17" s="58">
        <v>1.8</v>
      </c>
      <c r="C17" s="58">
        <v>1.03</v>
      </c>
      <c r="D17" s="58">
        <v>1.85</v>
      </c>
      <c r="E17" s="58"/>
      <c r="F17" s="58"/>
      <c r="G17" s="58"/>
      <c r="H17" s="59">
        <f>AL19</f>
        <v>2.1</v>
      </c>
      <c r="I17" s="58"/>
      <c r="J17" s="58"/>
      <c r="K17" s="58"/>
      <c r="L17" s="128">
        <v>0.81200000000000006</v>
      </c>
      <c r="M17" s="58"/>
      <c r="N17" s="58"/>
      <c r="O17" s="58"/>
      <c r="P17" s="58">
        <v>1.2</v>
      </c>
      <c r="Q17" s="58"/>
      <c r="R17" s="58"/>
      <c r="S17" s="59">
        <f>BG16</f>
        <v>1.1575</v>
      </c>
      <c r="T17" s="60">
        <f>AVERAGE(C17:S17)</f>
        <v>1.3582500000000002</v>
      </c>
      <c r="U17" s="186">
        <f>AVERAGE(T17:T20)</f>
        <v>1.6599791666666668</v>
      </c>
      <c r="V17" s="172">
        <f>STDEV(T17:T20)/AVERAGE(U17)</f>
        <v>0.22882911107491721</v>
      </c>
      <c r="W17" s="61"/>
      <c r="X17" s="173">
        <f>(T21/1.8)*100</f>
        <v>92.221064814814824</v>
      </c>
      <c r="Y17" s="18">
        <v>12</v>
      </c>
      <c r="Z17" s="25" t="s">
        <v>112</v>
      </c>
      <c r="AA17" s="19"/>
      <c r="AB17" s="19"/>
      <c r="AC17" s="28"/>
      <c r="AD17" s="21" t="s">
        <v>35</v>
      </c>
      <c r="AE17" s="22" t="s">
        <v>36</v>
      </c>
      <c r="AF17" s="22" t="s">
        <v>37</v>
      </c>
      <c r="AG17" s="22" t="s">
        <v>38</v>
      </c>
      <c r="AH17" s="23" t="s">
        <v>39</v>
      </c>
      <c r="AI17" s="21" t="s">
        <v>35</v>
      </c>
      <c r="AJ17" s="22" t="s">
        <v>36</v>
      </c>
      <c r="AK17" s="22" t="s">
        <v>37</v>
      </c>
      <c r="AL17" s="22" t="s">
        <v>38</v>
      </c>
      <c r="AM17" s="23" t="s">
        <v>39</v>
      </c>
      <c r="AN17" s="21" t="s">
        <v>35</v>
      </c>
      <c r="AO17" s="22" t="s">
        <v>36</v>
      </c>
      <c r="AP17" s="22" t="s">
        <v>37</v>
      </c>
      <c r="AQ17" s="22" t="s">
        <v>38</v>
      </c>
      <c r="AR17" s="23" t="s">
        <v>39</v>
      </c>
      <c r="AS17" s="21" t="s">
        <v>35</v>
      </c>
      <c r="AT17" s="22" t="s">
        <v>36</v>
      </c>
      <c r="AU17" s="22" t="s">
        <v>37</v>
      </c>
      <c r="AV17" s="22" t="s">
        <v>38</v>
      </c>
      <c r="AW17" s="23" t="s">
        <v>39</v>
      </c>
      <c r="AX17" s="21" t="s">
        <v>35</v>
      </c>
      <c r="AY17" s="22" t="s">
        <v>36</v>
      </c>
      <c r="AZ17" s="22" t="s">
        <v>37</v>
      </c>
      <c r="BA17" s="22" t="s">
        <v>38</v>
      </c>
      <c r="BB17" s="23" t="s">
        <v>39</v>
      </c>
      <c r="BC17" s="21">
        <v>432</v>
      </c>
      <c r="BD17" s="25" t="s">
        <v>112</v>
      </c>
      <c r="BE17" s="22">
        <v>0.71399999999999997</v>
      </c>
      <c r="BF17" s="22">
        <v>1.01</v>
      </c>
      <c r="BG17" s="29">
        <f t="shared" si="4"/>
        <v>0.86199999999999999</v>
      </c>
    </row>
    <row r="18" spans="1:59" ht="14.7" thickBot="1" x14ac:dyDescent="0.6">
      <c r="A18" s="12" t="s">
        <v>126</v>
      </c>
      <c r="B18" s="58">
        <v>1.8</v>
      </c>
      <c r="C18" s="58">
        <v>1.04</v>
      </c>
      <c r="D18" s="58"/>
      <c r="E18" s="58">
        <v>1.95</v>
      </c>
      <c r="F18" s="58"/>
      <c r="G18" s="58"/>
      <c r="H18" s="58"/>
      <c r="I18" s="58">
        <v>2.72</v>
      </c>
      <c r="J18" s="58"/>
      <c r="K18" s="58"/>
      <c r="L18" s="58"/>
      <c r="M18" s="129">
        <v>5.0999999999999996</v>
      </c>
      <c r="N18" s="58"/>
      <c r="O18" s="58"/>
      <c r="P18" s="58"/>
      <c r="Q18" s="58">
        <v>1.5</v>
      </c>
      <c r="R18" s="58"/>
      <c r="S18" s="130">
        <f>BG17</f>
        <v>0.86199999999999999</v>
      </c>
      <c r="T18" s="60">
        <f>AVERAGE(C18:S18)</f>
        <v>2.1953333333333336</v>
      </c>
      <c r="U18" s="186">
        <f>AVERAGE(U4:U17)</f>
        <v>0.91323958333333344</v>
      </c>
      <c r="V18" s="172"/>
      <c r="W18" s="36">
        <f>STDEV(T17:T20)/(SQRT(COUNT(T17:T20)))/U17</f>
        <v>0.11441455553745861</v>
      </c>
      <c r="X18" s="174"/>
      <c r="Y18" s="18">
        <v>13</v>
      </c>
      <c r="Z18" s="25" t="s">
        <v>111</v>
      </c>
      <c r="AA18" s="19"/>
      <c r="AB18" s="19"/>
      <c r="AC18" s="28"/>
      <c r="AD18" s="21">
        <v>45</v>
      </c>
      <c r="AE18" s="25" t="s">
        <v>44</v>
      </c>
      <c r="AF18" s="22"/>
      <c r="AG18" s="22"/>
      <c r="AH18" s="32"/>
      <c r="AI18" s="21">
        <v>75</v>
      </c>
      <c r="AJ18" s="25" t="s">
        <v>45</v>
      </c>
      <c r="AK18" s="22"/>
      <c r="AL18" s="22"/>
      <c r="AM18" s="38"/>
      <c r="AN18" s="21">
        <v>218</v>
      </c>
      <c r="AO18" s="25" t="s">
        <v>71</v>
      </c>
      <c r="AP18" s="22"/>
      <c r="AQ18" s="22"/>
      <c r="AR18" s="23"/>
      <c r="AS18" s="21">
        <v>374</v>
      </c>
      <c r="AT18" s="25" t="s">
        <v>52</v>
      </c>
      <c r="AU18" s="22"/>
      <c r="AV18" s="22"/>
      <c r="AW18" s="23"/>
      <c r="AX18" s="21">
        <v>404</v>
      </c>
      <c r="AY18" s="25" t="s">
        <v>68</v>
      </c>
      <c r="AZ18" s="22"/>
      <c r="BA18" s="22"/>
      <c r="BB18" s="23"/>
      <c r="BC18" s="21">
        <v>433</v>
      </c>
      <c r="BD18" s="25" t="s">
        <v>111</v>
      </c>
      <c r="BE18" s="22">
        <v>0.50900000000000001</v>
      </c>
      <c r="BF18" s="22">
        <v>0.94899999999999995</v>
      </c>
      <c r="BG18" s="29">
        <f t="shared" si="4"/>
        <v>0.72899999999999998</v>
      </c>
    </row>
    <row r="19" spans="1:59" ht="14.7" thickBot="1" x14ac:dyDescent="0.6">
      <c r="A19" s="12" t="s">
        <v>127</v>
      </c>
      <c r="B19" s="58">
        <v>1.8</v>
      </c>
      <c r="C19" s="58">
        <v>1.02</v>
      </c>
      <c r="D19" s="58"/>
      <c r="E19" s="58"/>
      <c r="F19" s="129">
        <v>3.68</v>
      </c>
      <c r="G19" s="58"/>
      <c r="H19" s="58"/>
      <c r="I19" s="58"/>
      <c r="J19" s="59">
        <f>AR9</f>
        <v>1.079</v>
      </c>
      <c r="K19" s="58"/>
      <c r="L19" s="58"/>
      <c r="M19" s="58"/>
      <c r="N19" s="58">
        <v>1.39</v>
      </c>
      <c r="O19" s="58"/>
      <c r="P19" s="58"/>
      <c r="Q19" s="58"/>
      <c r="R19" s="58">
        <v>2.0699999999999998</v>
      </c>
      <c r="S19" s="130">
        <f>BG18</f>
        <v>0.72899999999999998</v>
      </c>
      <c r="T19" s="60">
        <f>AVERAGE(C19:S19)</f>
        <v>1.6613333333333331</v>
      </c>
      <c r="U19" s="186">
        <f>AVERAGE(U5:U18)</f>
        <v>0.91323958333333344</v>
      </c>
      <c r="V19" s="172"/>
      <c r="W19" s="36">
        <f>STDEV(C21:S21)/(SQRT(COUNT((C21:S21))))/U17</f>
        <v>0.1602945489443563</v>
      </c>
      <c r="X19" s="174"/>
      <c r="Y19" s="18">
        <v>14</v>
      </c>
      <c r="Z19" s="25" t="s">
        <v>110</v>
      </c>
      <c r="AA19" s="19"/>
      <c r="AB19" s="19"/>
      <c r="AC19" s="28"/>
      <c r="AD19" s="21">
        <v>46</v>
      </c>
      <c r="AE19" s="25" t="s">
        <v>112</v>
      </c>
      <c r="AF19" s="22"/>
      <c r="AG19" s="22"/>
      <c r="AH19" s="23"/>
      <c r="AI19" s="21">
        <v>76</v>
      </c>
      <c r="AJ19" s="25" t="s">
        <v>109</v>
      </c>
      <c r="AK19" s="131">
        <v>96.4</v>
      </c>
      <c r="AL19" s="132">
        <v>2.1</v>
      </c>
      <c r="AM19" s="121">
        <f>AVERAGE(AK19:AL19)</f>
        <v>49.25</v>
      </c>
      <c r="AN19" s="21">
        <v>219</v>
      </c>
      <c r="AO19" s="25" t="s">
        <v>110</v>
      </c>
      <c r="AP19" s="22"/>
      <c r="AQ19" s="22"/>
      <c r="AR19" s="23"/>
      <c r="AS19" s="21">
        <v>375</v>
      </c>
      <c r="AT19" s="25" t="s">
        <v>111</v>
      </c>
      <c r="AU19" s="22"/>
      <c r="AV19" s="22"/>
      <c r="AW19" s="23"/>
      <c r="AX19" s="21">
        <v>405</v>
      </c>
      <c r="AY19" s="25" t="s">
        <v>112</v>
      </c>
      <c r="AZ19" s="22"/>
      <c r="BA19" s="22"/>
      <c r="BB19" s="23"/>
      <c r="BC19" s="21">
        <v>434</v>
      </c>
      <c r="BD19" s="25" t="s">
        <v>110</v>
      </c>
      <c r="BE19" s="118">
        <v>0.4</v>
      </c>
      <c r="BF19" s="22">
        <v>1.19</v>
      </c>
      <c r="BG19" s="29">
        <f t="shared" si="4"/>
        <v>0.79499999999999993</v>
      </c>
    </row>
    <row r="20" spans="1:59" ht="14.7" thickBot="1" x14ac:dyDescent="0.6">
      <c r="A20" s="12" t="s">
        <v>128</v>
      </c>
      <c r="B20" s="58">
        <v>1.8</v>
      </c>
      <c r="C20" s="58">
        <v>1</v>
      </c>
      <c r="D20" s="58"/>
      <c r="E20" s="58"/>
      <c r="F20" s="58"/>
      <c r="G20" s="58">
        <v>1.79</v>
      </c>
      <c r="H20" s="58"/>
      <c r="I20" s="58"/>
      <c r="J20" s="58"/>
      <c r="K20" s="58">
        <v>1.27</v>
      </c>
      <c r="L20" s="58"/>
      <c r="M20" s="58"/>
      <c r="N20" s="58"/>
      <c r="O20" s="58">
        <v>2.27</v>
      </c>
      <c r="P20" s="58"/>
      <c r="Q20" s="58"/>
      <c r="R20" s="58"/>
      <c r="S20" s="130">
        <f>BG19</f>
        <v>0.79499999999999993</v>
      </c>
      <c r="T20" s="60">
        <f>AVERAGE(C20:S20)</f>
        <v>1.425</v>
      </c>
      <c r="U20" s="186">
        <f>AVERAGE(U6:U19)</f>
        <v>0.91323958333333344</v>
      </c>
      <c r="V20" s="172"/>
      <c r="W20" s="64"/>
      <c r="X20" s="175"/>
      <c r="Y20" s="18">
        <v>15</v>
      </c>
      <c r="Z20" s="25" t="s">
        <v>113</v>
      </c>
      <c r="AA20" s="19"/>
      <c r="AB20" s="19"/>
      <c r="AC20" s="28"/>
      <c r="AD20" s="21">
        <v>47</v>
      </c>
      <c r="AE20" s="25" t="s">
        <v>116</v>
      </c>
      <c r="AF20" s="22"/>
      <c r="AG20" s="22"/>
      <c r="AH20" s="23"/>
      <c r="AI20" s="21">
        <v>77</v>
      </c>
      <c r="AJ20" s="25" t="s">
        <v>113</v>
      </c>
      <c r="AK20" s="22">
        <v>0.55200000000000005</v>
      </c>
      <c r="AL20" s="22">
        <v>5.57</v>
      </c>
      <c r="AM20" s="35">
        <f>AVERAGE(AK20:AL20)</f>
        <v>3.0609999999999999</v>
      </c>
      <c r="AN20" s="21">
        <v>220</v>
      </c>
      <c r="AO20" s="25" t="s">
        <v>114</v>
      </c>
      <c r="AP20" s="22"/>
      <c r="AQ20" s="22"/>
      <c r="AR20" s="23"/>
      <c r="AS20" s="21">
        <v>376</v>
      </c>
      <c r="AT20" s="25" t="s">
        <v>115</v>
      </c>
      <c r="AU20" s="22"/>
      <c r="AV20" s="22"/>
      <c r="AW20" s="23"/>
      <c r="AX20" s="21">
        <v>406</v>
      </c>
      <c r="AY20" s="25" t="s">
        <v>116</v>
      </c>
      <c r="AZ20" s="22"/>
      <c r="BA20" s="22"/>
      <c r="BB20" s="23"/>
      <c r="BC20" s="21">
        <v>435</v>
      </c>
      <c r="BD20" s="25" t="s">
        <v>113</v>
      </c>
      <c r="BE20" s="22">
        <v>1.99</v>
      </c>
      <c r="BF20" s="22">
        <v>3.86</v>
      </c>
      <c r="BG20" s="35">
        <f t="shared" si="4"/>
        <v>2.9249999999999998</v>
      </c>
    </row>
    <row r="21" spans="1:59" ht="14.7" thickBot="1" x14ac:dyDescent="0.6">
      <c r="A21" s="49" t="s">
        <v>129</v>
      </c>
      <c r="B21" s="50"/>
      <c r="C21" s="65">
        <f>AVERAGE(C17:C20)</f>
        <v>1.0225</v>
      </c>
      <c r="D21" s="65">
        <f>AVERAGE(D17:D20)</f>
        <v>1.85</v>
      </c>
      <c r="E21" s="65">
        <f>AVERAGE(E17:E20)</f>
        <v>1.95</v>
      </c>
      <c r="F21" s="65">
        <f t="shared" ref="F21:T21" si="5">AVERAGE(F17:F20)</f>
        <v>3.68</v>
      </c>
      <c r="G21" s="65">
        <f t="shared" si="5"/>
        <v>1.79</v>
      </c>
      <c r="H21" s="65">
        <f t="shared" si="5"/>
        <v>2.1</v>
      </c>
      <c r="I21" s="65">
        <f t="shared" si="5"/>
        <v>2.72</v>
      </c>
      <c r="J21" s="65">
        <f t="shared" si="5"/>
        <v>1.079</v>
      </c>
      <c r="K21" s="65">
        <f t="shared" si="5"/>
        <v>1.27</v>
      </c>
      <c r="L21" s="51">
        <f t="shared" si="5"/>
        <v>0.81200000000000006</v>
      </c>
      <c r="M21" s="65">
        <f t="shared" si="5"/>
        <v>5.0999999999999996</v>
      </c>
      <c r="N21" s="65">
        <f t="shared" si="5"/>
        <v>1.39</v>
      </c>
      <c r="O21" s="65">
        <f t="shared" si="5"/>
        <v>2.27</v>
      </c>
      <c r="P21" s="65">
        <f t="shared" si="5"/>
        <v>1.2</v>
      </c>
      <c r="Q21" s="65">
        <f t="shared" si="5"/>
        <v>1.5</v>
      </c>
      <c r="R21" s="65">
        <f t="shared" si="5"/>
        <v>2.0699999999999998</v>
      </c>
      <c r="S21" s="65">
        <f t="shared" si="5"/>
        <v>0.88587499999999997</v>
      </c>
      <c r="T21" s="65">
        <f t="shared" si="5"/>
        <v>1.6599791666666668</v>
      </c>
      <c r="U21" s="125"/>
      <c r="V21" s="125"/>
      <c r="W21" s="126"/>
      <c r="X21" s="127"/>
      <c r="Y21" s="18">
        <v>16</v>
      </c>
      <c r="Z21" s="25" t="s">
        <v>116</v>
      </c>
      <c r="AA21" s="19"/>
      <c r="AB21" s="19"/>
      <c r="AC21" s="28"/>
      <c r="AD21" s="21">
        <v>48</v>
      </c>
      <c r="AE21" s="25" t="s">
        <v>120</v>
      </c>
      <c r="AF21" s="22"/>
      <c r="AG21" s="22"/>
      <c r="AH21" s="23"/>
      <c r="AI21" s="21">
        <v>78</v>
      </c>
      <c r="AJ21" s="25" t="s">
        <v>117</v>
      </c>
      <c r="AK21" s="22">
        <v>9.2799999999999994</v>
      </c>
      <c r="AL21" s="22">
        <v>14.6</v>
      </c>
      <c r="AM21" s="133">
        <f>AVERAGE(AK21:AL21)</f>
        <v>11.94</v>
      </c>
      <c r="AN21" s="21">
        <v>221</v>
      </c>
      <c r="AO21" s="25" t="s">
        <v>118</v>
      </c>
      <c r="AP21" s="22"/>
      <c r="AQ21" s="22"/>
      <c r="AR21" s="23"/>
      <c r="AS21" s="21">
        <v>377</v>
      </c>
      <c r="AT21" s="25" t="s">
        <v>119</v>
      </c>
      <c r="AU21" s="22"/>
      <c r="AV21" s="22"/>
      <c r="AW21" s="23"/>
      <c r="AX21" s="21">
        <v>407</v>
      </c>
      <c r="AY21" s="25" t="s">
        <v>120</v>
      </c>
      <c r="AZ21" s="22"/>
      <c r="BA21" s="22"/>
      <c r="BB21" s="23"/>
      <c r="BC21" s="21">
        <v>436</v>
      </c>
      <c r="BD21" s="25" t="s">
        <v>116</v>
      </c>
      <c r="BE21" s="22">
        <v>2.21</v>
      </c>
      <c r="BF21" s="22">
        <v>3.32</v>
      </c>
      <c r="BG21" s="35">
        <f t="shared" si="4"/>
        <v>2.7649999999999997</v>
      </c>
    </row>
    <row r="22" spans="1:59" ht="14.7" thickBot="1" x14ac:dyDescent="0.6">
      <c r="A22" s="49" t="s">
        <v>72</v>
      </c>
      <c r="B22" s="50"/>
      <c r="C22" s="65">
        <f>(STDEV(C17:C20)/AVERAGE(C17:C20))*100</f>
        <v>1.670244623628298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5">
        <f>(STDEV(S17:S20)/AVERAGE(S17:S20))*100</f>
        <v>21.340331306533074</v>
      </c>
      <c r="T22" s="55">
        <f>AVERAGE(C22,S22)</f>
        <v>11.505287965080687</v>
      </c>
      <c r="U22" s="125"/>
      <c r="V22" s="125"/>
      <c r="W22" s="126"/>
      <c r="X22" s="127"/>
      <c r="Y22" s="18">
        <v>17</v>
      </c>
      <c r="Z22" s="25" t="s">
        <v>115</v>
      </c>
      <c r="AA22" s="19"/>
      <c r="AB22" s="19"/>
      <c r="AC22" s="28"/>
      <c r="AD22" s="39">
        <v>49</v>
      </c>
      <c r="AE22" s="40" t="s">
        <v>124</v>
      </c>
      <c r="AF22" s="41"/>
      <c r="AG22" s="41"/>
      <c r="AH22" s="42"/>
      <c r="AI22" s="39">
        <v>79</v>
      </c>
      <c r="AJ22" s="40" t="s">
        <v>121</v>
      </c>
      <c r="AK22" s="41">
        <v>17.8</v>
      </c>
      <c r="AL22" s="41">
        <v>32.799999999999997</v>
      </c>
      <c r="AM22" s="43">
        <f>AVERAGE(AK22:AL22)</f>
        <v>25.299999999999997</v>
      </c>
      <c r="AN22" s="39">
        <v>222</v>
      </c>
      <c r="AO22" s="40" t="s">
        <v>122</v>
      </c>
      <c r="AP22" s="41"/>
      <c r="AQ22" s="41"/>
      <c r="AR22" s="42"/>
      <c r="AS22" s="39">
        <v>378</v>
      </c>
      <c r="AT22" s="40" t="s">
        <v>123</v>
      </c>
      <c r="AU22" s="41"/>
      <c r="AV22" s="41"/>
      <c r="AW22" s="42"/>
      <c r="AX22" s="39">
        <v>408</v>
      </c>
      <c r="AY22" s="40" t="s">
        <v>124</v>
      </c>
      <c r="AZ22" s="41"/>
      <c r="BA22" s="41"/>
      <c r="BB22" s="42"/>
      <c r="BC22" s="21">
        <v>437</v>
      </c>
      <c r="BD22" s="25" t="s">
        <v>115</v>
      </c>
      <c r="BE22" s="117">
        <v>1.8</v>
      </c>
      <c r="BF22" s="22">
        <v>3.45</v>
      </c>
      <c r="BG22" s="35">
        <f t="shared" si="4"/>
        <v>2.625</v>
      </c>
    </row>
    <row r="23" spans="1:59" ht="15.75" customHeight="1" thickBot="1" x14ac:dyDescent="0.6">
      <c r="A23" s="134" t="s">
        <v>130</v>
      </c>
      <c r="B23" s="58">
        <v>5.5</v>
      </c>
      <c r="C23" s="58">
        <v>7.19</v>
      </c>
      <c r="D23" s="58">
        <v>9.1999999999999993</v>
      </c>
      <c r="E23" s="58"/>
      <c r="F23" s="58"/>
      <c r="G23" s="58"/>
      <c r="H23" s="59">
        <f>AM20</f>
        <v>3.0609999999999999</v>
      </c>
      <c r="I23" s="58"/>
      <c r="J23" s="58"/>
      <c r="K23" s="58"/>
      <c r="L23" s="58">
        <v>2.61</v>
      </c>
      <c r="M23" s="58"/>
      <c r="N23" s="58"/>
      <c r="O23" s="58"/>
      <c r="P23" s="58">
        <v>5.49</v>
      </c>
      <c r="Q23" s="58"/>
      <c r="R23" s="58"/>
      <c r="S23" s="59">
        <f>BG20</f>
        <v>2.9249999999999998</v>
      </c>
      <c r="T23" s="60">
        <f>AVERAGE(C23:S23)</f>
        <v>5.0793333333333335</v>
      </c>
      <c r="U23" s="186">
        <f>AVERAGE(T23:T26)</f>
        <v>5.4177499999999998</v>
      </c>
      <c r="V23" s="172">
        <f>STDEV(T23:T26)/AVERAGE(U23)</f>
        <v>0.10193811729809286</v>
      </c>
      <c r="W23" s="61"/>
      <c r="X23" s="173">
        <f>(T27/5.5)*100</f>
        <v>98.50454545454545</v>
      </c>
      <c r="Y23" s="18">
        <v>18</v>
      </c>
      <c r="Z23" s="25" t="s">
        <v>114</v>
      </c>
      <c r="AA23" s="19"/>
      <c r="AB23" s="19"/>
      <c r="AC23" s="28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21">
        <v>438</v>
      </c>
      <c r="BD23" s="25" t="s">
        <v>114</v>
      </c>
      <c r="BE23" s="22">
        <v>2.06</v>
      </c>
      <c r="BF23" s="117">
        <v>3.5</v>
      </c>
      <c r="BG23" s="29">
        <f t="shared" si="4"/>
        <v>2.7800000000000002</v>
      </c>
    </row>
    <row r="24" spans="1:59" ht="14.7" thickBot="1" x14ac:dyDescent="0.6">
      <c r="A24" s="134" t="s">
        <v>131</v>
      </c>
      <c r="B24" s="58">
        <v>5.5</v>
      </c>
      <c r="C24" s="58">
        <v>5.38</v>
      </c>
      <c r="D24" s="58"/>
      <c r="E24" s="58">
        <v>7.05</v>
      </c>
      <c r="F24" s="58"/>
      <c r="G24" s="58"/>
      <c r="H24" s="58"/>
      <c r="I24" s="58">
        <v>6.64</v>
      </c>
      <c r="J24" s="58"/>
      <c r="K24" s="58"/>
      <c r="L24" s="58"/>
      <c r="M24" s="58">
        <v>8.9700000000000006</v>
      </c>
      <c r="N24" s="58"/>
      <c r="O24" s="58"/>
      <c r="P24" s="58"/>
      <c r="Q24" s="58">
        <v>5.37</v>
      </c>
      <c r="R24" s="58"/>
      <c r="S24" s="59">
        <f>BG21</f>
        <v>2.7649999999999997</v>
      </c>
      <c r="T24" s="60">
        <f>AVERAGE(C24:S24)</f>
        <v>6.0291666666666659</v>
      </c>
      <c r="U24" s="186">
        <f>AVERAGE(U20:U23)</f>
        <v>3.1654947916666667</v>
      </c>
      <c r="V24" s="172"/>
      <c r="W24" s="120">
        <f>STDEV(T23:T26)/(SQRT(COUNT(T23:T26)))/U23</f>
        <v>5.0969058649046432E-2</v>
      </c>
      <c r="X24" s="174"/>
      <c r="Y24" s="18">
        <v>19</v>
      </c>
      <c r="Z24" s="25" t="s">
        <v>117</v>
      </c>
      <c r="AA24" s="19"/>
      <c r="AB24" s="19"/>
      <c r="AC24" s="135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21">
        <v>439</v>
      </c>
      <c r="BD24" s="25" t="s">
        <v>117</v>
      </c>
      <c r="BE24" s="117">
        <v>6.5</v>
      </c>
      <c r="BF24" s="22">
        <v>8.42</v>
      </c>
      <c r="BG24" s="29">
        <f t="shared" si="4"/>
        <v>7.46</v>
      </c>
    </row>
    <row r="25" spans="1:59" ht="14.7" thickBot="1" x14ac:dyDescent="0.6">
      <c r="A25" s="134" t="s">
        <v>132</v>
      </c>
      <c r="B25" s="58">
        <v>5.5</v>
      </c>
      <c r="C25" s="58">
        <v>6.32</v>
      </c>
      <c r="D25" s="58"/>
      <c r="E25" s="58"/>
      <c r="F25" s="58">
        <v>7.72</v>
      </c>
      <c r="G25" s="58"/>
      <c r="H25" s="58"/>
      <c r="I25" s="58"/>
      <c r="J25" s="58">
        <v>3.88</v>
      </c>
      <c r="K25" s="58"/>
      <c r="L25" s="58"/>
      <c r="M25" s="58"/>
      <c r="N25" s="58">
        <v>7.77</v>
      </c>
      <c r="O25" s="58"/>
      <c r="P25" s="58"/>
      <c r="Q25" s="58"/>
      <c r="R25" s="58">
        <v>6.02</v>
      </c>
      <c r="S25" s="59">
        <f>BG22</f>
        <v>2.625</v>
      </c>
      <c r="T25" s="60">
        <f>AVERAGE(C25:S25)</f>
        <v>5.7224999999999993</v>
      </c>
      <c r="U25" s="186">
        <f>AVERAGE(U21:U24)</f>
        <v>4.2916223958333335</v>
      </c>
      <c r="V25" s="172"/>
      <c r="W25" s="120">
        <f>STDEV(C27:S27)/(SQRT(COUNT((C27:S27))))/U23</f>
        <v>9.0980970087650076E-2</v>
      </c>
      <c r="X25" s="174"/>
      <c r="Y25" s="18">
        <v>20</v>
      </c>
      <c r="Z25" s="25" t="s">
        <v>120</v>
      </c>
      <c r="AA25" s="19"/>
      <c r="AB25" s="19"/>
      <c r="AC25" s="135"/>
      <c r="AD25" s="178" t="s">
        <v>14</v>
      </c>
      <c r="AE25" s="179"/>
      <c r="AF25" s="179"/>
      <c r="AG25" s="179"/>
      <c r="AH25" s="180"/>
      <c r="AI25" s="178" t="s">
        <v>17</v>
      </c>
      <c r="AJ25" s="179"/>
      <c r="AK25" s="179"/>
      <c r="AL25" s="179"/>
      <c r="AM25" s="180"/>
      <c r="AN25" s="178" t="s">
        <v>20</v>
      </c>
      <c r="AO25" s="179"/>
      <c r="AP25" s="179"/>
      <c r="AQ25" s="179"/>
      <c r="AR25" s="180"/>
      <c r="AS25" s="178" t="s">
        <v>23</v>
      </c>
      <c r="AT25" s="179"/>
      <c r="AU25" s="179"/>
      <c r="AV25" s="179"/>
      <c r="AW25" s="180"/>
      <c r="AX25" s="178" t="s">
        <v>26</v>
      </c>
      <c r="AY25" s="179"/>
      <c r="AZ25" s="179"/>
      <c r="BA25" s="179"/>
      <c r="BB25" s="180"/>
      <c r="BC25" s="21">
        <v>440</v>
      </c>
      <c r="BD25" s="25" t="s">
        <v>120</v>
      </c>
      <c r="BE25" s="117">
        <v>7.1</v>
      </c>
      <c r="BF25" s="22">
        <v>8.35</v>
      </c>
      <c r="BG25" s="35">
        <f t="shared" si="4"/>
        <v>7.7249999999999996</v>
      </c>
    </row>
    <row r="26" spans="1:59" ht="14.7" thickBot="1" x14ac:dyDescent="0.6">
      <c r="A26" s="134" t="s">
        <v>133</v>
      </c>
      <c r="B26" s="58">
        <v>5.5</v>
      </c>
      <c r="C26" s="58">
        <v>6.43</v>
      </c>
      <c r="D26" s="58"/>
      <c r="E26" s="58"/>
      <c r="F26" s="58"/>
      <c r="G26" s="58">
        <v>4.84</v>
      </c>
      <c r="H26" s="58"/>
      <c r="I26" s="58"/>
      <c r="J26" s="58"/>
      <c r="K26" s="58">
        <v>4.1900000000000004</v>
      </c>
      <c r="L26" s="58"/>
      <c r="M26" s="58"/>
      <c r="N26" s="58"/>
      <c r="O26" s="58">
        <v>5.96</v>
      </c>
      <c r="P26" s="58"/>
      <c r="Q26" s="58"/>
      <c r="R26" s="58"/>
      <c r="S26" s="59">
        <f>BG23</f>
        <v>2.7800000000000002</v>
      </c>
      <c r="T26" s="60">
        <f>AVERAGE(C26:S26)</f>
        <v>4.8400000000000007</v>
      </c>
      <c r="U26" s="186">
        <f>AVERAGE(U22:U25)</f>
        <v>4.2916223958333335</v>
      </c>
      <c r="V26" s="172"/>
      <c r="W26" s="64"/>
      <c r="X26" s="175"/>
      <c r="Y26" s="18">
        <v>21</v>
      </c>
      <c r="Z26" s="25" t="s">
        <v>119</v>
      </c>
      <c r="AA26" s="19"/>
      <c r="AB26" s="19"/>
      <c r="AC26" s="135"/>
      <c r="AD26" s="21" t="s">
        <v>35</v>
      </c>
      <c r="AE26" s="22" t="s">
        <v>36</v>
      </c>
      <c r="AF26" s="22" t="s">
        <v>37</v>
      </c>
      <c r="AG26" s="22" t="s">
        <v>38</v>
      </c>
      <c r="AH26" s="23" t="s">
        <v>39</v>
      </c>
      <c r="AI26" s="21" t="s">
        <v>35</v>
      </c>
      <c r="AJ26" s="22" t="s">
        <v>36</v>
      </c>
      <c r="AK26" s="22" t="s">
        <v>37</v>
      </c>
      <c r="AL26" s="22" t="s">
        <v>38</v>
      </c>
      <c r="AM26" s="23" t="s">
        <v>39</v>
      </c>
      <c r="AN26" s="21" t="s">
        <v>35</v>
      </c>
      <c r="AO26" s="22" t="s">
        <v>36</v>
      </c>
      <c r="AP26" s="22" t="s">
        <v>37</v>
      </c>
      <c r="AQ26" s="22" t="s">
        <v>38</v>
      </c>
      <c r="AR26" s="23" t="s">
        <v>39</v>
      </c>
      <c r="AS26" s="21" t="s">
        <v>35</v>
      </c>
      <c r="AT26" s="22" t="s">
        <v>36</v>
      </c>
      <c r="AU26" s="22" t="s">
        <v>37</v>
      </c>
      <c r="AV26" s="22" t="s">
        <v>38</v>
      </c>
      <c r="AW26" s="23" t="s">
        <v>39</v>
      </c>
      <c r="AX26" s="21" t="s">
        <v>35</v>
      </c>
      <c r="AY26" s="22" t="s">
        <v>36</v>
      </c>
      <c r="AZ26" s="22" t="s">
        <v>37</v>
      </c>
      <c r="BA26" s="22" t="s">
        <v>38</v>
      </c>
      <c r="BB26" s="23" t="s">
        <v>39</v>
      </c>
      <c r="BC26" s="21">
        <v>441</v>
      </c>
      <c r="BD26" s="25" t="s">
        <v>119</v>
      </c>
      <c r="BE26" s="22">
        <v>7.12</v>
      </c>
      <c r="BF26" s="22">
        <v>7.82</v>
      </c>
      <c r="BG26" s="29">
        <f t="shared" si="4"/>
        <v>7.4700000000000006</v>
      </c>
    </row>
    <row r="27" spans="1:59" ht="14.7" thickBot="1" x14ac:dyDescent="0.6">
      <c r="A27" s="49" t="s">
        <v>134</v>
      </c>
      <c r="B27" s="50"/>
      <c r="C27" s="65">
        <f>AVERAGE(C23:C26)</f>
        <v>6.33</v>
      </c>
      <c r="D27" s="65">
        <f>AVERAGE(D23:D26)</f>
        <v>9.1999999999999993</v>
      </c>
      <c r="E27" s="65">
        <f>AVERAGE(E23:E26)</f>
        <v>7.05</v>
      </c>
      <c r="F27" s="65">
        <f>AVERAGE(F23:F26)</f>
        <v>7.72</v>
      </c>
      <c r="G27" s="65">
        <f t="shared" ref="G27:S27" si="6">AVERAGE(G23:G26)</f>
        <v>4.84</v>
      </c>
      <c r="H27" s="65">
        <f t="shared" si="6"/>
        <v>3.0609999999999999</v>
      </c>
      <c r="I27" s="65">
        <f t="shared" si="6"/>
        <v>6.64</v>
      </c>
      <c r="J27" s="65">
        <f t="shared" si="6"/>
        <v>3.88</v>
      </c>
      <c r="K27" s="65">
        <f t="shared" si="6"/>
        <v>4.1900000000000004</v>
      </c>
      <c r="L27" s="65">
        <f t="shared" si="6"/>
        <v>2.61</v>
      </c>
      <c r="M27" s="65">
        <f t="shared" si="6"/>
        <v>8.9700000000000006</v>
      </c>
      <c r="N27" s="65">
        <f t="shared" si="6"/>
        <v>7.77</v>
      </c>
      <c r="O27" s="65">
        <f t="shared" si="6"/>
        <v>5.96</v>
      </c>
      <c r="P27" s="65">
        <f t="shared" si="6"/>
        <v>5.49</v>
      </c>
      <c r="Q27" s="65">
        <f t="shared" si="6"/>
        <v>5.37</v>
      </c>
      <c r="R27" s="65">
        <f t="shared" si="6"/>
        <v>6.02</v>
      </c>
      <c r="S27" s="65">
        <f t="shared" si="6"/>
        <v>2.7737499999999997</v>
      </c>
      <c r="T27" s="65">
        <f>AVERAGE(T23:T26)</f>
        <v>5.4177499999999998</v>
      </c>
      <c r="U27" s="125"/>
      <c r="V27" s="125"/>
      <c r="W27" s="126"/>
      <c r="X27" s="127"/>
      <c r="Y27" s="18">
        <v>22</v>
      </c>
      <c r="Z27" s="25" t="s">
        <v>118</v>
      </c>
      <c r="AA27" s="124">
        <v>0.16650000000000001</v>
      </c>
      <c r="AB27" s="69">
        <v>16.7</v>
      </c>
      <c r="AC27" s="57">
        <f>AVERAGE(AA27:AB27)</f>
        <v>8.4332499999999992</v>
      </c>
      <c r="AD27" s="21">
        <v>54</v>
      </c>
      <c r="AE27" s="25" t="s">
        <v>52</v>
      </c>
      <c r="AF27" s="22"/>
      <c r="AG27" s="22"/>
      <c r="AH27" s="23"/>
      <c r="AI27" s="21">
        <v>91</v>
      </c>
      <c r="AJ27" s="25" t="s">
        <v>68</v>
      </c>
      <c r="AK27" s="31">
        <v>0.16650000000000001</v>
      </c>
      <c r="AL27" s="37">
        <v>2.14</v>
      </c>
      <c r="AM27" s="119">
        <f>AVERAGE(AK27:AL27)</f>
        <v>1.1532500000000001</v>
      </c>
      <c r="AN27" s="21">
        <v>354</v>
      </c>
      <c r="AO27" s="25" t="s">
        <v>41</v>
      </c>
      <c r="AP27" s="22"/>
      <c r="AQ27" s="22"/>
      <c r="AR27" s="23"/>
      <c r="AS27" s="21">
        <v>384</v>
      </c>
      <c r="AT27" s="25" t="s">
        <v>42</v>
      </c>
      <c r="AU27" s="22"/>
      <c r="AV27" s="22"/>
      <c r="AW27" s="23"/>
      <c r="AX27" s="21">
        <v>414</v>
      </c>
      <c r="AY27" s="25" t="s">
        <v>43</v>
      </c>
      <c r="AZ27" s="22"/>
      <c r="BA27" s="22"/>
      <c r="BB27" s="23"/>
      <c r="BC27" s="21">
        <v>442</v>
      </c>
      <c r="BD27" s="25" t="s">
        <v>118</v>
      </c>
      <c r="BE27" s="22">
        <v>7.55</v>
      </c>
      <c r="BF27" s="22">
        <v>8.5299999999999994</v>
      </c>
      <c r="BG27" s="29">
        <f t="shared" si="4"/>
        <v>8.0399999999999991</v>
      </c>
    </row>
    <row r="28" spans="1:59" ht="14.7" thickBot="1" x14ac:dyDescent="0.6">
      <c r="A28" s="49" t="s">
        <v>72</v>
      </c>
      <c r="B28" s="50"/>
      <c r="C28" s="55">
        <f>(STDEV(C23:C26)/AVERAGE(C23:C26))*100</f>
        <v>11.723761409911614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65">
        <f>(STDEV(S23:S26)/AVERAGE(S23:S26))*100</f>
        <v>4.4213061361426842</v>
      </c>
      <c r="T28" s="65">
        <f>AVERAGE(C28,S28)</f>
        <v>8.0725337730271498</v>
      </c>
      <c r="U28" s="125"/>
      <c r="V28" s="125"/>
      <c r="W28" s="126"/>
      <c r="X28" s="127"/>
      <c r="Y28" s="18">
        <v>23</v>
      </c>
      <c r="Z28" s="25" t="s">
        <v>121</v>
      </c>
      <c r="AA28" s="19"/>
      <c r="AB28" s="19"/>
      <c r="AC28" s="135"/>
      <c r="AD28" s="21">
        <v>55</v>
      </c>
      <c r="AE28" s="25" t="s">
        <v>111</v>
      </c>
      <c r="AF28" s="22"/>
      <c r="AG28" s="22"/>
      <c r="AH28" s="23"/>
      <c r="AI28" s="21">
        <v>92</v>
      </c>
      <c r="AJ28" s="25" t="s">
        <v>112</v>
      </c>
      <c r="AK28" s="22"/>
      <c r="AL28" s="22"/>
      <c r="AM28" s="23"/>
      <c r="AN28" s="21">
        <v>355</v>
      </c>
      <c r="AO28" s="25" t="s">
        <v>109</v>
      </c>
      <c r="AP28" s="22"/>
      <c r="AQ28" s="22"/>
      <c r="AR28" s="23"/>
      <c r="AS28" s="21">
        <v>385</v>
      </c>
      <c r="AT28" s="25" t="s">
        <v>110</v>
      </c>
      <c r="AU28" s="22"/>
      <c r="AV28" s="22"/>
      <c r="AW28" s="23"/>
      <c r="AX28" s="21">
        <v>415</v>
      </c>
      <c r="AY28" s="25" t="s">
        <v>111</v>
      </c>
      <c r="AZ28" s="22"/>
      <c r="BA28" s="22"/>
      <c r="BB28" s="23"/>
      <c r="BC28" s="21">
        <v>443</v>
      </c>
      <c r="BD28" s="25" t="s">
        <v>121</v>
      </c>
      <c r="BE28" s="22">
        <v>6.44</v>
      </c>
      <c r="BF28" s="22">
        <v>15.5</v>
      </c>
      <c r="BG28" s="133">
        <f t="shared" si="4"/>
        <v>10.97</v>
      </c>
    </row>
    <row r="29" spans="1:59" ht="15.75" customHeight="1" thickBot="1" x14ac:dyDescent="0.6">
      <c r="A29" s="12" t="s">
        <v>135</v>
      </c>
      <c r="B29" s="13">
        <v>16.5</v>
      </c>
      <c r="C29" s="62">
        <v>15.6</v>
      </c>
      <c r="D29" s="62">
        <v>20.399999999999999</v>
      </c>
      <c r="E29" s="62"/>
      <c r="F29" s="62"/>
      <c r="G29" s="62"/>
      <c r="H29" s="70">
        <f>AM21</f>
        <v>11.94</v>
      </c>
      <c r="I29" s="62"/>
      <c r="J29" s="62"/>
      <c r="K29" s="62"/>
      <c r="L29" s="62">
        <v>11.4</v>
      </c>
      <c r="M29" s="62"/>
      <c r="N29" s="62"/>
      <c r="O29" s="62"/>
      <c r="P29" s="62">
        <v>18.8</v>
      </c>
      <c r="Q29" s="62"/>
      <c r="R29" s="62"/>
      <c r="S29" s="59">
        <f>BG24</f>
        <v>7.46</v>
      </c>
      <c r="T29" s="66">
        <f>AVERAGE(C29:S29)</f>
        <v>14.266666666666666</v>
      </c>
      <c r="U29" s="170">
        <f>AVERAGE(T29:T32)</f>
        <v>14.717620833333331</v>
      </c>
      <c r="V29" s="172">
        <f>STDEV(T29:T32)/AVERAGE(U29)</f>
        <v>0.11528753062352322</v>
      </c>
      <c r="W29" s="61"/>
      <c r="X29" s="173">
        <f>(U29/16.5)*100</f>
        <v>89.197702020202001</v>
      </c>
      <c r="Y29" s="18">
        <v>24</v>
      </c>
      <c r="Z29" s="25" t="s">
        <v>124</v>
      </c>
      <c r="AA29" s="19"/>
      <c r="AB29" s="19"/>
      <c r="AC29" s="135"/>
      <c r="AD29" s="21">
        <v>56</v>
      </c>
      <c r="AE29" s="25" t="s">
        <v>115</v>
      </c>
      <c r="AF29" s="22"/>
      <c r="AG29" s="22"/>
      <c r="AH29" s="23"/>
      <c r="AI29" s="21">
        <v>93</v>
      </c>
      <c r="AJ29" s="25" t="s">
        <v>116</v>
      </c>
      <c r="AK29" s="22"/>
      <c r="AL29" s="22"/>
      <c r="AM29" s="23"/>
      <c r="AN29" s="21">
        <v>356</v>
      </c>
      <c r="AO29" s="25" t="s">
        <v>113</v>
      </c>
      <c r="AP29" s="22"/>
      <c r="AQ29" s="22"/>
      <c r="AR29" s="23"/>
      <c r="AS29" s="21">
        <v>386</v>
      </c>
      <c r="AT29" s="25" t="s">
        <v>114</v>
      </c>
      <c r="AU29" s="22"/>
      <c r="AV29" s="22"/>
      <c r="AW29" s="23"/>
      <c r="AX29" s="21">
        <v>416</v>
      </c>
      <c r="AY29" s="25" t="s">
        <v>115</v>
      </c>
      <c r="AZ29" s="22"/>
      <c r="BA29" s="22"/>
      <c r="BB29" s="23"/>
      <c r="BC29" s="21">
        <v>444</v>
      </c>
      <c r="BD29" s="25" t="s">
        <v>124</v>
      </c>
      <c r="BE29" s="22">
        <v>14.1</v>
      </c>
      <c r="BF29" s="22">
        <v>19.100000000000001</v>
      </c>
      <c r="BG29" s="29">
        <f t="shared" si="4"/>
        <v>16.600000000000001</v>
      </c>
    </row>
    <row r="30" spans="1:59" ht="14.7" thickBot="1" x14ac:dyDescent="0.6">
      <c r="A30" s="12" t="s">
        <v>136</v>
      </c>
      <c r="B30" s="13">
        <v>16.5</v>
      </c>
      <c r="C30" s="62">
        <v>14</v>
      </c>
      <c r="D30" s="62"/>
      <c r="E30" s="62">
        <v>21.2</v>
      </c>
      <c r="F30" s="62"/>
      <c r="G30" s="62"/>
      <c r="H30" s="62"/>
      <c r="I30" s="62">
        <v>11.8</v>
      </c>
      <c r="J30" s="62"/>
      <c r="K30" s="62"/>
      <c r="L30" s="62"/>
      <c r="M30" s="62">
        <v>26</v>
      </c>
      <c r="N30" s="62"/>
      <c r="O30" s="62"/>
      <c r="P30" s="62"/>
      <c r="Q30" s="62">
        <v>20.3</v>
      </c>
      <c r="R30" s="62"/>
      <c r="S30" s="59">
        <f>BG25</f>
        <v>7.7249999999999996</v>
      </c>
      <c r="T30" s="66">
        <f>AVERAGE(C30:S30)</f>
        <v>16.837499999999999</v>
      </c>
      <c r="U30" s="170">
        <f>AVERAGE(U26:U29)</f>
        <v>9.504621614583332</v>
      </c>
      <c r="V30" s="172"/>
      <c r="W30" s="120">
        <f>STDEV(T29:T32)/(SQRT(COUNT(T29:T32)))/U29</f>
        <v>5.7643765311761609E-2</v>
      </c>
      <c r="X30" s="174"/>
      <c r="Y30" s="18">
        <v>25</v>
      </c>
      <c r="Z30" s="25" t="s">
        <v>123</v>
      </c>
      <c r="AA30" s="19"/>
      <c r="AB30" s="69"/>
      <c r="AC30" s="135"/>
      <c r="AD30" s="21">
        <v>57</v>
      </c>
      <c r="AE30" s="25" t="s">
        <v>119</v>
      </c>
      <c r="AF30" s="22"/>
      <c r="AG30" s="63"/>
      <c r="AH30" s="121"/>
      <c r="AI30" s="21">
        <v>94</v>
      </c>
      <c r="AJ30" s="25" t="s">
        <v>120</v>
      </c>
      <c r="AK30" s="22"/>
      <c r="AL30" s="22"/>
      <c r="AM30" s="23"/>
      <c r="AN30" s="21">
        <v>357</v>
      </c>
      <c r="AO30" s="25" t="s">
        <v>117</v>
      </c>
      <c r="AP30" s="22"/>
      <c r="AQ30" s="22"/>
      <c r="AR30" s="23"/>
      <c r="AS30" s="21">
        <v>387</v>
      </c>
      <c r="AT30" s="25" t="s">
        <v>118</v>
      </c>
      <c r="AU30" s="22"/>
      <c r="AV30" s="22"/>
      <c r="AW30" s="23"/>
      <c r="AX30" s="21">
        <v>417</v>
      </c>
      <c r="AY30" s="25" t="s">
        <v>119</v>
      </c>
      <c r="AZ30" s="22"/>
      <c r="BA30" s="22"/>
      <c r="BB30" s="23"/>
      <c r="BC30" s="21">
        <v>445</v>
      </c>
      <c r="BD30" s="25" t="s">
        <v>123</v>
      </c>
      <c r="BE30" s="22">
        <v>14.5</v>
      </c>
      <c r="BF30" s="22">
        <v>15.6</v>
      </c>
      <c r="BG30" s="133">
        <f t="shared" si="4"/>
        <v>15.05</v>
      </c>
    </row>
    <row r="31" spans="1:59" ht="14.7" thickBot="1" x14ac:dyDescent="0.6">
      <c r="A31" s="12" t="s">
        <v>137</v>
      </c>
      <c r="B31" s="13">
        <v>16.5</v>
      </c>
      <c r="C31" s="62">
        <v>13.8</v>
      </c>
      <c r="D31" s="62"/>
      <c r="E31" s="62"/>
      <c r="F31" s="62">
        <v>21.5</v>
      </c>
      <c r="G31" s="62"/>
      <c r="H31" s="62"/>
      <c r="I31" s="62"/>
      <c r="J31" s="62">
        <v>11.9</v>
      </c>
      <c r="K31" s="62"/>
      <c r="L31" s="62"/>
      <c r="M31" s="62"/>
      <c r="N31" s="62">
        <v>13.4</v>
      </c>
      <c r="O31" s="62"/>
      <c r="P31" s="62"/>
      <c r="Q31" s="62"/>
      <c r="R31" s="62">
        <v>22</v>
      </c>
      <c r="S31" s="59">
        <f>BG26</f>
        <v>7.4700000000000006</v>
      </c>
      <c r="T31" s="66">
        <f>AVERAGE(C31:S31)</f>
        <v>15.011666666666665</v>
      </c>
      <c r="U31" s="170">
        <f>AVERAGE(U27:U30)</f>
        <v>12.111121223958332</v>
      </c>
      <c r="V31" s="172"/>
      <c r="W31" s="120">
        <f>STDEV(C33:S33)/(SQRT(COUNT((C33:S33))))/U29</f>
        <v>8.502420197160955E-2</v>
      </c>
      <c r="X31" s="174"/>
      <c r="Y31" s="71">
        <v>26</v>
      </c>
      <c r="Z31" s="40" t="s">
        <v>122</v>
      </c>
      <c r="AA31" s="72"/>
      <c r="AB31" s="72"/>
      <c r="AC31" s="136"/>
      <c r="AD31" s="39">
        <v>58</v>
      </c>
      <c r="AE31" s="40" t="s">
        <v>123</v>
      </c>
      <c r="AF31" s="41"/>
      <c r="AG31" s="41"/>
      <c r="AH31" s="46"/>
      <c r="AI31" s="39">
        <v>95</v>
      </c>
      <c r="AJ31" s="40" t="s">
        <v>124</v>
      </c>
      <c r="AK31" s="41">
        <v>25.9</v>
      </c>
      <c r="AL31" s="41">
        <v>61.8</v>
      </c>
      <c r="AM31" s="43">
        <f>AVERAGE(AK31:AL31)</f>
        <v>43.849999999999994</v>
      </c>
      <c r="AN31" s="39">
        <v>358</v>
      </c>
      <c r="AO31" s="40" t="s">
        <v>121</v>
      </c>
      <c r="AP31" s="41"/>
      <c r="AQ31" s="41"/>
      <c r="AR31" s="42"/>
      <c r="AS31" s="39">
        <v>388</v>
      </c>
      <c r="AT31" s="40" t="s">
        <v>122</v>
      </c>
      <c r="AU31" s="41"/>
      <c r="AV31" s="41"/>
      <c r="AW31" s="46"/>
      <c r="AX31" s="39">
        <v>418</v>
      </c>
      <c r="AY31" s="40" t="s">
        <v>123</v>
      </c>
      <c r="AZ31" s="41"/>
      <c r="BA31" s="41"/>
      <c r="BB31" s="42"/>
      <c r="BC31" s="39">
        <v>446</v>
      </c>
      <c r="BD31" s="40" t="s">
        <v>122</v>
      </c>
      <c r="BE31" s="41">
        <v>15.8</v>
      </c>
      <c r="BF31" s="41">
        <v>13.7</v>
      </c>
      <c r="BG31" s="43">
        <f t="shared" si="4"/>
        <v>14.75</v>
      </c>
    </row>
    <row r="32" spans="1:59" ht="14.7" thickBot="1" x14ac:dyDescent="0.6">
      <c r="A32" s="12" t="s">
        <v>138</v>
      </c>
      <c r="B32" s="13">
        <v>16.5</v>
      </c>
      <c r="C32" s="59">
        <f>AC27</f>
        <v>8.4332499999999992</v>
      </c>
      <c r="D32" s="62"/>
      <c r="E32" s="62"/>
      <c r="F32" s="62"/>
      <c r="G32" s="62">
        <v>11.2</v>
      </c>
      <c r="H32" s="62"/>
      <c r="I32" s="62"/>
      <c r="J32" s="62"/>
      <c r="K32" s="62">
        <v>18.600000000000001</v>
      </c>
      <c r="L32" s="62"/>
      <c r="M32" s="62"/>
      <c r="N32" s="62"/>
      <c r="O32" s="62">
        <v>17.5</v>
      </c>
      <c r="P32" s="62"/>
      <c r="Q32" s="62"/>
      <c r="R32" s="62"/>
      <c r="S32" s="59">
        <f>BG27</f>
        <v>8.0399999999999991</v>
      </c>
      <c r="T32" s="66">
        <f>AVERAGE(C32:S32)</f>
        <v>12.75465</v>
      </c>
      <c r="U32" s="170">
        <f>AVERAGE(U28:U31)</f>
        <v>12.11112122395833</v>
      </c>
      <c r="V32" s="172"/>
      <c r="W32" s="64"/>
      <c r="X32" s="175"/>
      <c r="Y32" s="2"/>
      <c r="Z32" s="2"/>
      <c r="AA32" s="2"/>
      <c r="AB32" s="2"/>
      <c r="AC32" s="2"/>
      <c r="AD32" s="2"/>
      <c r="AE32" s="2"/>
      <c r="AF32" s="2"/>
      <c r="AG32" s="181" t="s">
        <v>87</v>
      </c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46" ht="14.7" thickBot="1" x14ac:dyDescent="0.6">
      <c r="A33" s="49" t="s">
        <v>139</v>
      </c>
      <c r="B33" s="50"/>
      <c r="C33" s="55">
        <f>AVERAGE(C29:C32)</f>
        <v>12.958312500000002</v>
      </c>
      <c r="D33" s="55">
        <f>AVERAGE(D29:D32)</f>
        <v>20.399999999999999</v>
      </c>
      <c r="E33" s="55">
        <f>AVERAGE(E29:E32)</f>
        <v>21.2</v>
      </c>
      <c r="F33" s="55">
        <f>AVERAGE(F29:F32)</f>
        <v>21.5</v>
      </c>
      <c r="G33" s="55">
        <f t="shared" ref="G33:S33" si="7">AVERAGE(G29:G32)</f>
        <v>11.2</v>
      </c>
      <c r="H33" s="55">
        <f t="shared" si="7"/>
        <v>11.94</v>
      </c>
      <c r="I33" s="55">
        <f t="shared" si="7"/>
        <v>11.8</v>
      </c>
      <c r="J33" s="55">
        <f t="shared" si="7"/>
        <v>11.9</v>
      </c>
      <c r="K33" s="55">
        <f t="shared" si="7"/>
        <v>18.600000000000001</v>
      </c>
      <c r="L33" s="55">
        <f t="shared" si="7"/>
        <v>11.4</v>
      </c>
      <c r="M33" s="55">
        <f t="shared" si="7"/>
        <v>26</v>
      </c>
      <c r="N33" s="55">
        <f t="shared" si="7"/>
        <v>13.4</v>
      </c>
      <c r="O33" s="55">
        <f t="shared" si="7"/>
        <v>17.5</v>
      </c>
      <c r="P33" s="55">
        <f t="shared" si="7"/>
        <v>18.8</v>
      </c>
      <c r="Q33" s="55">
        <f t="shared" si="7"/>
        <v>20.3</v>
      </c>
      <c r="R33" s="55">
        <f t="shared" si="7"/>
        <v>22</v>
      </c>
      <c r="S33" s="65">
        <f t="shared" si="7"/>
        <v>7.6737500000000001</v>
      </c>
      <c r="T33" s="55">
        <f>AVERAGE(T29:T32)</f>
        <v>14.717620833333331</v>
      </c>
      <c r="U33" s="125"/>
      <c r="V33" s="125"/>
      <c r="W33" s="126"/>
      <c r="X33" s="127"/>
      <c r="Y33" s="2"/>
      <c r="Z33" s="182" t="s">
        <v>89</v>
      </c>
      <c r="AA33" s="183"/>
      <c r="AB33" s="183"/>
      <c r="AC33" s="183"/>
      <c r="AD33" s="183"/>
      <c r="AE33" s="184"/>
      <c r="AF33" s="2"/>
      <c r="AG33" s="185" t="s">
        <v>140</v>
      </c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</row>
    <row r="34" spans="1:46" ht="14.7" thickBot="1" x14ac:dyDescent="0.6">
      <c r="A34" s="49" t="s">
        <v>72</v>
      </c>
      <c r="B34" s="50"/>
      <c r="C34" s="55">
        <f>(STDEV(C29:C32)/AVERAGE(C29:C32))*100</f>
        <v>24.095774912027867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65">
        <f>(STDEV(S29:S32)/AVERAGE(S29:S32))*100</f>
        <v>3.5606184618011198</v>
      </c>
      <c r="T34" s="55">
        <f>AVERAGE(C34,S34)</f>
        <v>13.828196686914493</v>
      </c>
      <c r="U34" s="125"/>
      <c r="V34" s="125"/>
      <c r="W34" s="126"/>
      <c r="X34" s="127"/>
      <c r="Y34" s="2"/>
      <c r="Z34" s="77"/>
      <c r="AA34" s="78">
        <v>0</v>
      </c>
      <c r="AB34" s="78">
        <v>1.8</v>
      </c>
      <c r="AC34" s="78">
        <v>5.5</v>
      </c>
      <c r="AD34" s="78">
        <v>16.5</v>
      </c>
      <c r="AE34" s="79">
        <v>50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5.75" customHeight="1" thickBot="1" x14ac:dyDescent="0.6">
      <c r="A35" s="12" t="s">
        <v>141</v>
      </c>
      <c r="B35" s="62">
        <v>50</v>
      </c>
      <c r="C35" s="62">
        <v>53.8</v>
      </c>
      <c r="D35" s="62">
        <v>65.099999999999994</v>
      </c>
      <c r="E35" s="62"/>
      <c r="F35" s="62"/>
      <c r="G35" s="62"/>
      <c r="H35" s="70">
        <f>AM22</f>
        <v>25.299999999999997</v>
      </c>
      <c r="I35" s="62"/>
      <c r="J35" s="62"/>
      <c r="K35" s="62"/>
      <c r="L35" s="62">
        <v>37.5</v>
      </c>
      <c r="M35" s="62"/>
      <c r="N35" s="62"/>
      <c r="O35" s="62"/>
      <c r="P35" s="62">
        <v>42.3</v>
      </c>
      <c r="Q35" s="62"/>
      <c r="R35" s="62"/>
      <c r="S35" s="70">
        <f>BG28</f>
        <v>10.97</v>
      </c>
      <c r="T35" s="66">
        <f>AVERAGE(C35:S35)</f>
        <v>39.161666666666669</v>
      </c>
      <c r="U35" s="170">
        <f>AVERAGE(T35:T38)</f>
        <v>40.058333333333337</v>
      </c>
      <c r="V35" s="210">
        <f>STDEV(T35:T38)/AVERAGE(U35)</f>
        <v>6.5135806023567305E-2</v>
      </c>
      <c r="W35" s="61"/>
      <c r="X35" s="173">
        <f>(U35/50)*100</f>
        <v>80.116666666666674</v>
      </c>
      <c r="Y35" s="2"/>
      <c r="Z35" s="77" t="s">
        <v>92</v>
      </c>
      <c r="AA35" s="106">
        <f>QUARTILE((D7:H14,J7:S14,AA8:AB15,AK27:AL27),1)</f>
        <v>0.16650000000000001</v>
      </c>
      <c r="AB35" s="80">
        <f>QUARTILE((C17:G20,I18,K17:R20,AK19:AL19,AP9:AQ9,BE16:BF19),1)</f>
        <v>1</v>
      </c>
      <c r="AC35" s="80">
        <f>QUARTILE((C23:G26,I23:R26,AK20:AL20,BE20:BF23),1)</f>
        <v>3.4175</v>
      </c>
      <c r="AD35" s="80">
        <f>QUARTILE((C29:C31,D29:G32,I29:R32,AA27:AB27,AK21:AL21,BE24:BF27),1)</f>
        <v>8.42</v>
      </c>
      <c r="AE35" s="82">
        <f>QUARTILE((C35:G38,K35:R38,AK22:AL22,AK31:AL31,AP12:AQ12,BE28:BF31),1)</f>
        <v>18.125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4.7" thickBot="1" x14ac:dyDescent="0.6">
      <c r="A36" s="12" t="s">
        <v>142</v>
      </c>
      <c r="B36" s="62">
        <v>50</v>
      </c>
      <c r="C36" s="62">
        <v>49</v>
      </c>
      <c r="D36" s="62"/>
      <c r="E36" s="62">
        <v>51.2</v>
      </c>
      <c r="F36" s="62"/>
      <c r="G36" s="62"/>
      <c r="H36" s="62"/>
      <c r="I36" s="70">
        <f>AM31</f>
        <v>43.849999999999994</v>
      </c>
      <c r="J36" s="62"/>
      <c r="K36" s="62"/>
      <c r="L36" s="62"/>
      <c r="M36" s="62">
        <v>57.2</v>
      </c>
      <c r="N36" s="62"/>
      <c r="O36" s="62"/>
      <c r="P36" s="62"/>
      <c r="Q36" s="62">
        <v>38.4</v>
      </c>
      <c r="R36" s="62"/>
      <c r="S36" s="70">
        <f>BG29</f>
        <v>16.600000000000001</v>
      </c>
      <c r="T36" s="66">
        <f>AVERAGE(C36:S36)</f>
        <v>42.708333333333336</v>
      </c>
      <c r="U36" s="170">
        <f>AVERAGE(U32:U35)</f>
        <v>26.084727278645833</v>
      </c>
      <c r="V36" s="210"/>
      <c r="W36" s="120">
        <f>STDEV(T35:T38)/(SQRT(COUNT(T35:T38)))/U35</f>
        <v>3.2567903011783653E-2</v>
      </c>
      <c r="X36" s="174"/>
      <c r="Y36" s="2"/>
      <c r="Z36" s="77" t="s">
        <v>94</v>
      </c>
      <c r="AA36" s="106">
        <f>QUARTILE((D7:H14,J7:S14,AA8:AB15,AK27:AL27),3)</f>
        <v>0.16650000000000001</v>
      </c>
      <c r="AB36" s="80">
        <f>QUARTILE((C17:G20,I18,K17:R20,AK19:AL19,AP9:AQ9,BE16:BF19),3)</f>
        <v>1.95</v>
      </c>
      <c r="AC36" s="80">
        <f>QUARTILE((C23:G26,I23:R26,AK20:AL20,BE20:BF23),3)</f>
        <v>6.4824999999999999</v>
      </c>
      <c r="AD36" s="81">
        <f>QUARTILE((C29:C31,D29:G32,I29:R32,AA27:AB27,AK21:AL21,BE24:BF27),3)</f>
        <v>18.600000000000001</v>
      </c>
      <c r="AE36" s="82">
        <f>QUARTILE((C35:G38,K35:R38,AK22:AL22,AK31:AL31,AP12:AQ12,BE28:BF31),3)</f>
        <v>51.35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4.7" thickBot="1" x14ac:dyDescent="0.6">
      <c r="A37" s="12" t="s">
        <v>143</v>
      </c>
      <c r="B37" s="62">
        <v>50</v>
      </c>
      <c r="C37" s="62">
        <v>56.4</v>
      </c>
      <c r="D37" s="62"/>
      <c r="E37" s="62"/>
      <c r="F37" s="62">
        <v>34.6</v>
      </c>
      <c r="G37" s="62"/>
      <c r="H37" s="62"/>
      <c r="I37" s="62"/>
      <c r="J37" s="70">
        <f>AR12</f>
        <v>45.65</v>
      </c>
      <c r="K37" s="62"/>
      <c r="L37" s="62"/>
      <c r="M37" s="62"/>
      <c r="N37" s="62">
        <v>44.7</v>
      </c>
      <c r="O37" s="62"/>
      <c r="P37" s="62"/>
      <c r="Q37" s="62"/>
      <c r="R37" s="62">
        <v>52.8</v>
      </c>
      <c r="S37" s="70">
        <f>BG30</f>
        <v>15.05</v>
      </c>
      <c r="T37" s="66">
        <f>AVERAGE(C37:S37)</f>
        <v>41.533333333333339</v>
      </c>
      <c r="U37" s="170">
        <f>AVERAGE(U33:U36)</f>
        <v>33.071530305989583</v>
      </c>
      <c r="V37" s="210"/>
      <c r="W37" s="120">
        <f>STDEV(C39:S39)/(SQRT(COUNT((C39:S39))))/U35</f>
        <v>7.6556717928166776E-2</v>
      </c>
      <c r="X37" s="174"/>
      <c r="Y37" s="2"/>
      <c r="Z37" s="77" t="s">
        <v>96</v>
      </c>
      <c r="AA37" s="106">
        <f>(AA36-AA35)</f>
        <v>0</v>
      </c>
      <c r="AB37" s="80">
        <f>(AB36-AB35)</f>
        <v>0.95</v>
      </c>
      <c r="AC37" s="80">
        <f>(AC36-AC35)</f>
        <v>3.0649999999999999</v>
      </c>
      <c r="AD37" s="81">
        <f>(AD36-AD35)</f>
        <v>10.180000000000001</v>
      </c>
      <c r="AE37" s="82">
        <f>(AE36-AE35)</f>
        <v>33.225000000000001</v>
      </c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4.7" thickBot="1" x14ac:dyDescent="0.6">
      <c r="A38" s="12" t="s">
        <v>144</v>
      </c>
      <c r="B38" s="62">
        <v>50</v>
      </c>
      <c r="C38" s="62">
        <v>51.4</v>
      </c>
      <c r="D38" s="62"/>
      <c r="E38" s="62"/>
      <c r="F38" s="62"/>
      <c r="G38" s="62">
        <v>25.7</v>
      </c>
      <c r="H38" s="62"/>
      <c r="I38" s="62"/>
      <c r="J38" s="62"/>
      <c r="K38" s="62">
        <v>49.9</v>
      </c>
      <c r="L38" s="62"/>
      <c r="M38" s="62"/>
      <c r="N38" s="62"/>
      <c r="O38" s="62">
        <v>42.4</v>
      </c>
      <c r="P38" s="62"/>
      <c r="Q38" s="62"/>
      <c r="R38" s="62"/>
      <c r="S38" s="70">
        <f>BG31</f>
        <v>14.75</v>
      </c>
      <c r="T38" s="66">
        <f>AVERAGE(C38:S38)</f>
        <v>36.83</v>
      </c>
      <c r="U38" s="170">
        <f>AVERAGE(U34:U37)</f>
        <v>33.071530305989583</v>
      </c>
      <c r="V38" s="210"/>
      <c r="W38" s="64"/>
      <c r="X38" s="175"/>
      <c r="Y38" s="2"/>
      <c r="Z38" s="77" t="s">
        <v>98</v>
      </c>
      <c r="AA38" s="106">
        <f>AA36+(AA37*1.5)</f>
        <v>0.16650000000000001</v>
      </c>
      <c r="AB38" s="80">
        <f>AB36+(AB37*1.5)</f>
        <v>3.375</v>
      </c>
      <c r="AC38" s="81">
        <f>AC36+(AC37*1.5)</f>
        <v>11.08</v>
      </c>
      <c r="AD38" s="81">
        <f>AD36+(AD37*1.5)</f>
        <v>33.870000000000005</v>
      </c>
      <c r="AE38" s="87">
        <f>AE36+(AE37*1.5)</f>
        <v>101.1875</v>
      </c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4.7" thickBot="1" x14ac:dyDescent="0.6">
      <c r="A39" s="49" t="s">
        <v>145</v>
      </c>
      <c r="B39" s="50"/>
      <c r="C39" s="88">
        <f>AVERAGE(C35:C38)</f>
        <v>52.65</v>
      </c>
      <c r="D39" s="55">
        <f>AVERAGE(D35:D38)</f>
        <v>65.099999999999994</v>
      </c>
      <c r="E39" s="55">
        <f>AVERAGE(E35:E38)</f>
        <v>51.2</v>
      </c>
      <c r="F39" s="55">
        <f>AVERAGE(F35:F38)</f>
        <v>34.6</v>
      </c>
      <c r="G39" s="55">
        <f t="shared" ref="G39:S39" si="8">AVERAGE(G35:G38)</f>
        <v>25.7</v>
      </c>
      <c r="H39" s="55">
        <f t="shared" si="8"/>
        <v>25.299999999999997</v>
      </c>
      <c r="I39" s="55">
        <f t="shared" si="8"/>
        <v>43.849999999999994</v>
      </c>
      <c r="J39" s="55">
        <f t="shared" si="8"/>
        <v>45.65</v>
      </c>
      <c r="K39" s="55">
        <f t="shared" si="8"/>
        <v>49.9</v>
      </c>
      <c r="L39" s="55">
        <f t="shared" si="8"/>
        <v>37.5</v>
      </c>
      <c r="M39" s="55">
        <f t="shared" si="8"/>
        <v>57.2</v>
      </c>
      <c r="N39" s="55">
        <f t="shared" si="8"/>
        <v>44.7</v>
      </c>
      <c r="O39" s="55">
        <f t="shared" si="8"/>
        <v>42.4</v>
      </c>
      <c r="P39" s="55">
        <f t="shared" si="8"/>
        <v>42.3</v>
      </c>
      <c r="Q39" s="55">
        <f t="shared" si="8"/>
        <v>38.4</v>
      </c>
      <c r="R39" s="55">
        <f t="shared" si="8"/>
        <v>52.8</v>
      </c>
      <c r="S39" s="55">
        <f t="shared" si="8"/>
        <v>14.342500000000001</v>
      </c>
      <c r="T39" s="55">
        <f>AVERAGE(T35:T38)</f>
        <v>40.058333333333337</v>
      </c>
      <c r="U39" s="125"/>
      <c r="V39" s="125"/>
      <c r="W39" s="126"/>
      <c r="X39" s="127"/>
      <c r="Y39" s="2"/>
      <c r="Z39" s="90" t="s">
        <v>100</v>
      </c>
      <c r="AA39" s="137">
        <f>AA35-(AA37*1.5)</f>
        <v>0.16650000000000001</v>
      </c>
      <c r="AB39" s="92">
        <f>AB35-(AB37*1.5)</f>
        <v>-0.42499999999999982</v>
      </c>
      <c r="AC39" s="92">
        <f>AC35-(AC37*1.5)</f>
        <v>-1.1800000000000002</v>
      </c>
      <c r="AD39" s="92">
        <f>AD35-(AD37*1.5)</f>
        <v>-6.8500000000000032</v>
      </c>
      <c r="AE39" s="93">
        <f>AE35-(AE37*1.5)</f>
        <v>-31.712500000000006</v>
      </c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4.7" thickBot="1" x14ac:dyDescent="0.6">
      <c r="A40" s="49" t="s">
        <v>72</v>
      </c>
      <c r="B40" s="50"/>
      <c r="C40" s="65">
        <f>(STDEV(C35:C38)/AVERAGE(C35:C38))*100</f>
        <v>6.033192848725009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5">
        <f>(STDEV(S35:S38)/AVERAGE(S35:S38))*100</f>
        <v>16.663943876482818</v>
      </c>
      <c r="T40" s="55">
        <f>AVERAGE(C40,S40)</f>
        <v>11.348568362603913</v>
      </c>
      <c r="U40" s="125"/>
      <c r="V40" s="125"/>
      <c r="W40" s="138"/>
      <c r="X40" s="139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x14ac:dyDescent="0.55000000000000004">
      <c r="A41" s="2"/>
      <c r="B41" s="2"/>
      <c r="C41" s="176" t="s">
        <v>146</v>
      </c>
      <c r="D41" s="176"/>
      <c r="E41" s="176"/>
      <c r="F41" s="176"/>
      <c r="G41" s="176"/>
      <c r="H41" s="2"/>
      <c r="I41" s="140" t="s">
        <v>102</v>
      </c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x14ac:dyDescent="0.55000000000000004">
      <c r="A42" s="2"/>
      <c r="B42" s="2"/>
      <c r="C42" s="2" t="s">
        <v>147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x14ac:dyDescent="0.55000000000000004">
      <c r="A43" s="2"/>
      <c r="B43" s="2"/>
      <c r="C43" s="2"/>
      <c r="D43" s="2" t="s">
        <v>37</v>
      </c>
      <c r="E43" s="2" t="s">
        <v>38</v>
      </c>
      <c r="F43" s="2" t="s">
        <v>39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x14ac:dyDescent="0.55000000000000004">
      <c r="A44" s="2"/>
      <c r="B44" s="2"/>
      <c r="C44" s="141" t="s">
        <v>148</v>
      </c>
      <c r="D44" s="2">
        <v>0.16650000000000001</v>
      </c>
      <c r="E44" s="2">
        <v>0.16650000000000001</v>
      </c>
      <c r="F44" s="142">
        <f t="shared" ref="F44:F76" si="9">AVERAGE(D44:E44)</f>
        <v>0.16650000000000001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x14ac:dyDescent="0.55000000000000004">
      <c r="A45" s="2"/>
      <c r="B45" s="2"/>
      <c r="C45" s="141" t="s">
        <v>149</v>
      </c>
      <c r="D45" s="2">
        <v>0.16650000000000001</v>
      </c>
      <c r="E45" s="2">
        <v>0.16650000000000001</v>
      </c>
      <c r="F45" s="142">
        <f t="shared" si="9"/>
        <v>0.16650000000000001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x14ac:dyDescent="0.55000000000000004">
      <c r="A46" s="2"/>
      <c r="B46" s="2"/>
      <c r="C46" s="141" t="s">
        <v>150</v>
      </c>
      <c r="D46" s="2">
        <v>0.16650000000000001</v>
      </c>
      <c r="E46" s="2">
        <v>0.16650000000000001</v>
      </c>
      <c r="F46" s="142">
        <f t="shared" si="9"/>
        <v>0.16650000000000001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x14ac:dyDescent="0.55000000000000004">
      <c r="A47" s="2"/>
      <c r="B47" s="2"/>
      <c r="C47" s="141" t="s">
        <v>151</v>
      </c>
      <c r="D47" s="2">
        <v>0.16650000000000001</v>
      </c>
      <c r="E47" s="2">
        <v>0.16650000000000001</v>
      </c>
      <c r="F47" s="142">
        <f t="shared" si="9"/>
        <v>0.16650000000000001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x14ac:dyDescent="0.55000000000000004">
      <c r="A48" s="2"/>
      <c r="B48" s="2"/>
      <c r="C48" s="141" t="s">
        <v>152</v>
      </c>
      <c r="D48" s="2">
        <v>0.16650000000000001</v>
      </c>
      <c r="E48" s="2">
        <v>0.16650000000000001</v>
      </c>
      <c r="F48" s="142">
        <f t="shared" si="9"/>
        <v>0.16650000000000001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6" x14ac:dyDescent="0.55000000000000004">
      <c r="A49" s="2"/>
      <c r="B49" s="2"/>
      <c r="C49" s="141" t="s">
        <v>153</v>
      </c>
      <c r="D49" s="2">
        <v>0.16650000000000001</v>
      </c>
      <c r="E49" s="2">
        <v>0.16650000000000001</v>
      </c>
      <c r="F49" s="142">
        <f t="shared" si="9"/>
        <v>0.16650000000000001</v>
      </c>
    </row>
    <row r="50" spans="1:6" x14ac:dyDescent="0.55000000000000004">
      <c r="A50" s="2"/>
      <c r="B50" s="2"/>
      <c r="C50" s="141" t="s">
        <v>154</v>
      </c>
      <c r="D50" s="2">
        <v>0.16650000000000001</v>
      </c>
      <c r="E50" s="2">
        <v>0.16650000000000001</v>
      </c>
      <c r="F50" s="142">
        <f t="shared" si="9"/>
        <v>0.16650000000000001</v>
      </c>
    </row>
    <row r="51" spans="1:6" x14ac:dyDescent="0.55000000000000004">
      <c r="A51" s="2"/>
      <c r="B51" s="2"/>
      <c r="C51" s="141" t="s">
        <v>155</v>
      </c>
      <c r="D51" s="2">
        <v>0.16650000000000001</v>
      </c>
      <c r="E51" s="2">
        <v>0.16650000000000001</v>
      </c>
      <c r="F51" s="142">
        <f t="shared" si="9"/>
        <v>0.16650000000000001</v>
      </c>
    </row>
    <row r="52" spans="1:6" x14ac:dyDescent="0.55000000000000004">
      <c r="A52" s="143"/>
      <c r="B52" s="143"/>
      <c r="C52" s="141" t="s">
        <v>156</v>
      </c>
      <c r="D52" s="2">
        <v>0.16650000000000001</v>
      </c>
      <c r="E52" s="2">
        <v>16.7</v>
      </c>
      <c r="F52" s="107">
        <f t="shared" si="9"/>
        <v>8.4332499999999992</v>
      </c>
    </row>
    <row r="53" spans="1:6" x14ac:dyDescent="0.55000000000000004">
      <c r="A53" s="2"/>
      <c r="B53" s="2"/>
      <c r="C53" s="141" t="s">
        <v>157</v>
      </c>
      <c r="D53" s="144">
        <v>96.4</v>
      </c>
      <c r="E53" s="107">
        <v>2.1</v>
      </c>
      <c r="F53" s="81">
        <f t="shared" si="9"/>
        <v>49.25</v>
      </c>
    </row>
    <row r="54" spans="1:6" x14ac:dyDescent="0.55000000000000004">
      <c r="A54" s="143"/>
      <c r="B54" s="143"/>
      <c r="C54" s="141" t="s">
        <v>158</v>
      </c>
      <c r="D54" s="2">
        <v>0.55200000000000005</v>
      </c>
      <c r="E54" s="2">
        <v>5.57</v>
      </c>
      <c r="F54" s="107">
        <f t="shared" si="9"/>
        <v>3.0609999999999999</v>
      </c>
    </row>
    <row r="55" spans="1:6" x14ac:dyDescent="0.55000000000000004">
      <c r="A55" s="143"/>
      <c r="B55" s="143"/>
      <c r="C55" s="141" t="s">
        <v>159</v>
      </c>
      <c r="D55" s="2">
        <v>9.2799999999999994</v>
      </c>
      <c r="E55" s="2">
        <v>14.6</v>
      </c>
      <c r="F55" s="109">
        <f t="shared" si="9"/>
        <v>11.94</v>
      </c>
    </row>
    <row r="56" spans="1:6" x14ac:dyDescent="0.55000000000000004">
      <c r="A56" s="143"/>
      <c r="B56" s="143"/>
      <c r="C56" s="141" t="s">
        <v>160</v>
      </c>
      <c r="D56" s="2">
        <v>17.8</v>
      </c>
      <c r="E56" s="2">
        <v>32.799999999999997</v>
      </c>
      <c r="F56" s="142">
        <f t="shared" si="9"/>
        <v>25.299999999999997</v>
      </c>
    </row>
    <row r="57" spans="1:6" x14ac:dyDescent="0.55000000000000004">
      <c r="A57" s="143"/>
      <c r="B57" s="143"/>
      <c r="C57" s="141" t="s">
        <v>161</v>
      </c>
      <c r="D57" s="2">
        <v>0.16650000000000001</v>
      </c>
      <c r="E57" s="2">
        <v>2.14</v>
      </c>
      <c r="F57" s="107">
        <f t="shared" si="9"/>
        <v>1.1532500000000001</v>
      </c>
    </row>
    <row r="58" spans="1:6" x14ac:dyDescent="0.55000000000000004">
      <c r="A58" s="2"/>
      <c r="B58" s="2"/>
      <c r="C58" s="141" t="s">
        <v>162</v>
      </c>
      <c r="D58" s="2">
        <v>25.9</v>
      </c>
      <c r="E58" s="2">
        <v>61.8</v>
      </c>
      <c r="F58" s="109">
        <f t="shared" si="9"/>
        <v>43.849999999999994</v>
      </c>
    </row>
    <row r="59" spans="1:6" x14ac:dyDescent="0.55000000000000004">
      <c r="A59" s="2"/>
      <c r="B59" s="2"/>
      <c r="C59" s="141" t="s">
        <v>163</v>
      </c>
      <c r="D59" s="2">
        <v>0.84799999999999998</v>
      </c>
      <c r="E59" s="2">
        <v>1.31</v>
      </c>
      <c r="F59" s="107">
        <f t="shared" si="9"/>
        <v>1.079</v>
      </c>
    </row>
    <row r="60" spans="1:6" x14ac:dyDescent="0.55000000000000004">
      <c r="A60" s="2"/>
      <c r="B60" s="2"/>
      <c r="C60" s="141" t="s">
        <v>164</v>
      </c>
      <c r="D60" s="2">
        <v>22.5</v>
      </c>
      <c r="E60" s="2">
        <v>68.8</v>
      </c>
      <c r="F60" s="109">
        <f t="shared" si="9"/>
        <v>45.65</v>
      </c>
    </row>
    <row r="61" spans="1:6" x14ac:dyDescent="0.55000000000000004">
      <c r="A61" s="2"/>
      <c r="B61" s="2"/>
      <c r="C61" s="141" t="s">
        <v>165</v>
      </c>
      <c r="D61" s="2">
        <v>1.36</v>
      </c>
      <c r="E61" s="2">
        <v>0.95499999999999996</v>
      </c>
      <c r="F61" s="107">
        <f t="shared" si="9"/>
        <v>1.1575</v>
      </c>
    </row>
    <row r="62" spans="1:6" x14ac:dyDescent="0.55000000000000004">
      <c r="A62" s="2"/>
      <c r="B62" s="2"/>
      <c r="C62" s="141" t="s">
        <v>166</v>
      </c>
      <c r="D62" s="2">
        <v>0.71399999999999997</v>
      </c>
      <c r="E62" s="2">
        <v>1.01</v>
      </c>
      <c r="F62" s="142">
        <f t="shared" si="9"/>
        <v>0.86199999999999999</v>
      </c>
    </row>
    <row r="63" spans="1:6" x14ac:dyDescent="0.55000000000000004">
      <c r="A63" s="2"/>
      <c r="B63" s="2"/>
      <c r="C63" s="141" t="s">
        <v>167</v>
      </c>
      <c r="D63" s="2">
        <v>0.50900000000000001</v>
      </c>
      <c r="E63" s="2">
        <v>0.94899999999999995</v>
      </c>
      <c r="F63" s="142">
        <f t="shared" si="9"/>
        <v>0.72899999999999998</v>
      </c>
    </row>
    <row r="64" spans="1:6" x14ac:dyDescent="0.55000000000000004">
      <c r="A64" s="2"/>
      <c r="B64" s="2"/>
      <c r="C64" s="141" t="s">
        <v>168</v>
      </c>
      <c r="D64" s="106">
        <v>0.4</v>
      </c>
      <c r="E64" s="2">
        <v>1.19</v>
      </c>
      <c r="F64" s="142">
        <f t="shared" si="9"/>
        <v>0.79499999999999993</v>
      </c>
    </row>
    <row r="65" spans="1:6" x14ac:dyDescent="0.55000000000000004">
      <c r="A65" s="2"/>
      <c r="B65" s="2"/>
      <c r="C65" s="141" t="s">
        <v>169</v>
      </c>
      <c r="D65" s="2">
        <v>1.99</v>
      </c>
      <c r="E65" s="2">
        <v>3.86</v>
      </c>
      <c r="F65" s="107">
        <f t="shared" si="9"/>
        <v>2.9249999999999998</v>
      </c>
    </row>
    <row r="66" spans="1:6" x14ac:dyDescent="0.55000000000000004">
      <c r="A66" s="2"/>
      <c r="B66" s="2"/>
      <c r="C66" s="141" t="s">
        <v>170</v>
      </c>
      <c r="D66" s="2">
        <v>2.21</v>
      </c>
      <c r="E66" s="2">
        <v>3.32</v>
      </c>
      <c r="F66" s="107">
        <f t="shared" si="9"/>
        <v>2.7649999999999997</v>
      </c>
    </row>
    <row r="67" spans="1:6" x14ac:dyDescent="0.55000000000000004">
      <c r="A67" s="2"/>
      <c r="B67" s="2"/>
      <c r="C67" s="141" t="s">
        <v>171</v>
      </c>
      <c r="D67" s="80">
        <v>1.8</v>
      </c>
      <c r="E67" s="2">
        <v>3.45</v>
      </c>
      <c r="F67" s="107">
        <f t="shared" si="9"/>
        <v>2.625</v>
      </c>
    </row>
    <row r="68" spans="1:6" x14ac:dyDescent="0.55000000000000004">
      <c r="A68" s="2"/>
      <c r="B68" s="2"/>
      <c r="C68" s="141" t="s">
        <v>172</v>
      </c>
      <c r="D68" s="2">
        <v>2.06</v>
      </c>
      <c r="E68" s="80">
        <v>3.5</v>
      </c>
      <c r="F68" s="142">
        <f t="shared" si="9"/>
        <v>2.7800000000000002</v>
      </c>
    </row>
    <row r="69" spans="1:6" x14ac:dyDescent="0.55000000000000004">
      <c r="A69" s="2"/>
      <c r="B69" s="2"/>
      <c r="C69" s="141" t="s">
        <v>173</v>
      </c>
      <c r="D69" s="80">
        <v>6.5</v>
      </c>
      <c r="E69" s="2">
        <v>8.42</v>
      </c>
      <c r="F69" s="142">
        <f t="shared" si="9"/>
        <v>7.46</v>
      </c>
    </row>
    <row r="70" spans="1:6" x14ac:dyDescent="0.55000000000000004">
      <c r="A70" s="2"/>
      <c r="B70" s="2"/>
      <c r="C70" s="141" t="s">
        <v>174</v>
      </c>
      <c r="D70" s="80">
        <v>7.1</v>
      </c>
      <c r="E70" s="2">
        <v>8.35</v>
      </c>
      <c r="F70" s="107">
        <f t="shared" si="9"/>
        <v>7.7249999999999996</v>
      </c>
    </row>
    <row r="71" spans="1:6" x14ac:dyDescent="0.55000000000000004">
      <c r="A71" s="2"/>
      <c r="B71" s="2"/>
      <c r="C71" s="141" t="s">
        <v>175</v>
      </c>
      <c r="D71" s="2">
        <v>7.12</v>
      </c>
      <c r="E71" s="2">
        <v>7.82</v>
      </c>
      <c r="F71" s="142">
        <f t="shared" si="9"/>
        <v>7.4700000000000006</v>
      </c>
    </row>
    <row r="72" spans="1:6" x14ac:dyDescent="0.55000000000000004">
      <c r="A72" s="2"/>
      <c r="B72" s="2"/>
      <c r="C72" s="141" t="s">
        <v>176</v>
      </c>
      <c r="D72" s="2">
        <v>7.55</v>
      </c>
      <c r="E72" s="2">
        <v>8.5299999999999994</v>
      </c>
      <c r="F72" s="142">
        <f t="shared" si="9"/>
        <v>8.0399999999999991</v>
      </c>
    </row>
    <row r="73" spans="1:6" x14ac:dyDescent="0.55000000000000004">
      <c r="A73" s="2"/>
      <c r="B73" s="2"/>
      <c r="C73" s="141" t="s">
        <v>177</v>
      </c>
      <c r="D73" s="2">
        <v>6.44</v>
      </c>
      <c r="E73" s="2">
        <v>15.5</v>
      </c>
      <c r="F73" s="109">
        <f t="shared" si="9"/>
        <v>10.97</v>
      </c>
    </row>
    <row r="74" spans="1:6" x14ac:dyDescent="0.55000000000000004">
      <c r="A74" s="2"/>
      <c r="B74" s="2"/>
      <c r="C74" s="141" t="s">
        <v>178</v>
      </c>
      <c r="D74" s="2">
        <v>14.1</v>
      </c>
      <c r="E74" s="2">
        <v>19.100000000000001</v>
      </c>
      <c r="F74" s="142">
        <f t="shared" si="9"/>
        <v>16.600000000000001</v>
      </c>
    </row>
    <row r="75" spans="1:6" x14ac:dyDescent="0.55000000000000004">
      <c r="A75" s="2"/>
      <c r="B75" s="2"/>
      <c r="C75" s="141" t="s">
        <v>179</v>
      </c>
      <c r="D75" s="2">
        <v>14.5</v>
      </c>
      <c r="E75" s="2">
        <v>15.6</v>
      </c>
      <c r="F75" s="109">
        <f t="shared" si="9"/>
        <v>15.05</v>
      </c>
    </row>
    <row r="76" spans="1:6" x14ac:dyDescent="0.55000000000000004">
      <c r="A76" s="2"/>
      <c r="B76" s="2"/>
      <c r="C76" s="141" t="s">
        <v>180</v>
      </c>
      <c r="D76" s="2">
        <v>15.8</v>
      </c>
      <c r="E76" s="2">
        <v>13.7</v>
      </c>
      <c r="F76" s="109">
        <f t="shared" si="9"/>
        <v>14.75</v>
      </c>
    </row>
    <row r="79" spans="1:6" x14ac:dyDescent="0.55000000000000004">
      <c r="A79" s="76"/>
      <c r="B79" s="76"/>
      <c r="C79" s="78">
        <v>1.8</v>
      </c>
      <c r="D79" s="78">
        <v>5.5</v>
      </c>
      <c r="E79" s="78">
        <v>16.5</v>
      </c>
      <c r="F79" s="78">
        <v>50</v>
      </c>
    </row>
    <row r="80" spans="1:6" x14ac:dyDescent="0.55000000000000004">
      <c r="A80" s="76" t="s">
        <v>92</v>
      </c>
      <c r="B80" s="76"/>
      <c r="C80" s="97">
        <f>QUARTILE(C17:R20,1)</f>
        <v>1.0594999999999999</v>
      </c>
      <c r="D80" s="97">
        <f>QUARTILE(C23:S26,1)</f>
        <v>3.4704999999999999</v>
      </c>
      <c r="E80" s="97">
        <f>QUARTILE(C29:S32,1)</f>
        <v>11.3</v>
      </c>
      <c r="F80" s="97">
        <f>QUARTILE(C35:S38,1)</f>
        <v>30.15</v>
      </c>
    </row>
    <row r="81" spans="1:6" x14ac:dyDescent="0.55000000000000004">
      <c r="A81" s="76" t="s">
        <v>94</v>
      </c>
      <c r="B81" s="76"/>
      <c r="C81" s="97">
        <f>QUARTILE(C17:R20,3)</f>
        <v>2.085</v>
      </c>
      <c r="D81" s="97">
        <f>QUARTILE(C23:S26,3)</f>
        <v>6.8449999999999998</v>
      </c>
      <c r="E81" s="97">
        <f>QUARTILE(C29:S32,3)</f>
        <v>19.55</v>
      </c>
      <c r="F81" s="97">
        <f>QUARTILE(C35:S38,3)</f>
        <v>51.3</v>
      </c>
    </row>
    <row r="82" spans="1:6" x14ac:dyDescent="0.55000000000000004">
      <c r="A82" s="76" t="s">
        <v>96</v>
      </c>
      <c r="B82" s="76"/>
      <c r="C82" s="97">
        <f>(C81-C80)</f>
        <v>1.0255000000000001</v>
      </c>
      <c r="D82" s="97">
        <f>(D81-D80)</f>
        <v>3.3744999999999998</v>
      </c>
      <c r="E82" s="97">
        <f>(E81-E80)</f>
        <v>8.25</v>
      </c>
      <c r="F82" s="97">
        <f>(F81-F80)</f>
        <v>21.15</v>
      </c>
    </row>
    <row r="83" spans="1:6" x14ac:dyDescent="0.55000000000000004">
      <c r="A83" s="76" t="s">
        <v>98</v>
      </c>
      <c r="B83" s="76"/>
      <c r="C83" s="97">
        <f>C81+(C82*1.5)</f>
        <v>3.6232500000000001</v>
      </c>
      <c r="D83" s="97">
        <f>D81+(D82*1.5)</f>
        <v>11.906749999999999</v>
      </c>
      <c r="E83" s="97">
        <f>E81+(E82*1.5)</f>
        <v>31.925000000000001</v>
      </c>
      <c r="F83" s="97">
        <f>F81+(F82*1.5)</f>
        <v>83.024999999999991</v>
      </c>
    </row>
    <row r="84" spans="1:6" x14ac:dyDescent="0.55000000000000004">
      <c r="A84" s="76" t="s">
        <v>100</v>
      </c>
      <c r="B84" s="76"/>
      <c r="C84" s="97">
        <f>C80-(C82*1.5)</f>
        <v>-0.47875000000000023</v>
      </c>
      <c r="D84" s="97">
        <f>D80-(D82*1.5)</f>
        <v>-1.5912500000000001</v>
      </c>
      <c r="E84" s="97">
        <f>E80-(E82*1.5)</f>
        <v>-1.0749999999999993</v>
      </c>
      <c r="F84" s="97">
        <f>F80-(F82*1.5)</f>
        <v>-1.5749999999999993</v>
      </c>
    </row>
  </sheetData>
  <mergeCells count="43">
    <mergeCell ref="A4:X4"/>
    <mergeCell ref="Y4:BG4"/>
    <mergeCell ref="A5:A6"/>
    <mergeCell ref="B5:B6"/>
    <mergeCell ref="C5:S5"/>
    <mergeCell ref="U5:V5"/>
    <mergeCell ref="Y5:BG5"/>
    <mergeCell ref="Y6:AC6"/>
    <mergeCell ref="AD6:AH6"/>
    <mergeCell ref="AI6:AM6"/>
    <mergeCell ref="AX6:BB6"/>
    <mergeCell ref="BC6:BG6"/>
    <mergeCell ref="AN6:AR6"/>
    <mergeCell ref="AS6:AW6"/>
    <mergeCell ref="AX16:BB16"/>
    <mergeCell ref="U7:U14"/>
    <mergeCell ref="V7:V14"/>
    <mergeCell ref="X7:X14"/>
    <mergeCell ref="U17:U20"/>
    <mergeCell ref="V17:V20"/>
    <mergeCell ref="X17:X20"/>
    <mergeCell ref="AG33:AT33"/>
    <mergeCell ref="U35:U38"/>
    <mergeCell ref="AD16:AH16"/>
    <mergeCell ref="AI16:AM16"/>
    <mergeCell ref="AN16:AR16"/>
    <mergeCell ref="AS16:AW16"/>
    <mergeCell ref="V35:V38"/>
    <mergeCell ref="X35:X38"/>
    <mergeCell ref="C41:G41"/>
    <mergeCell ref="AS25:AW25"/>
    <mergeCell ref="AX25:BB25"/>
    <mergeCell ref="U29:U32"/>
    <mergeCell ref="V29:V32"/>
    <mergeCell ref="X29:X32"/>
    <mergeCell ref="AG32:AT32"/>
    <mergeCell ref="U23:U26"/>
    <mergeCell ref="V23:V26"/>
    <mergeCell ref="X23:X26"/>
    <mergeCell ref="AD25:AH25"/>
    <mergeCell ref="AI25:AM25"/>
    <mergeCell ref="AN25:AR25"/>
    <mergeCell ref="Z33:AE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1AD30826B4CA4C8E6A49716753A97A" ma:contentTypeVersion="10" ma:contentTypeDescription="Create a new document." ma:contentTypeScope="" ma:versionID="1c749552f72e85707d2699a1a6d131f3">
  <xsd:schema xmlns:xsd="http://www.w3.org/2001/XMLSchema" xmlns:xs="http://www.w3.org/2001/XMLSchema" xmlns:p="http://schemas.microsoft.com/office/2006/metadata/properties" xmlns:ns2="058a295a-d63c-49b7-a0f9-e6ef9d42e16e" targetNamespace="http://schemas.microsoft.com/office/2006/metadata/properties" ma:root="true" ma:fieldsID="c18c88460811ba14ab8f2960653c065a" ns2:_="">
    <xsd:import namespace="058a295a-d63c-49b7-a0f9-e6ef9d42e1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8a295a-d63c-49b7-a0f9-e6ef9d42e1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8a295a-d63c-49b7-a0f9-e6ef9d42e1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F97A4F-3023-4447-B61C-BAD75FF22E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574170-40F1-4479-9D27-371DB6AD8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8a295a-d63c-49b7-a0f9-e6ef9d42e1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A57A2B-BA1D-428B-BACF-BE689F4A690C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058a295a-d63c-49b7-a0f9-e6ef9d42e16e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2-EHHB</vt:lpstr>
      <vt:lpstr>Triclosan</vt:lpstr>
      <vt:lpstr>4-NP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Kamel, Alaa</dc:creator>
  <cp:keywords/>
  <dc:description/>
  <cp:lastModifiedBy>Kamel, Alaa</cp:lastModifiedBy>
  <cp:revision/>
  <dcterms:created xsi:type="dcterms:W3CDTF">2024-10-02T17:49:27Z</dcterms:created>
  <dcterms:modified xsi:type="dcterms:W3CDTF">2025-04-07T19:45:31Z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0x010100081AD30826B4CA4C8E6A49716753A97A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