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8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9.xml" ContentType="application/vnd.openxmlformats-officedocument.drawing+xml"/>
  <Override PartName="/xl/drawings/drawing3.xml" ContentType="application/vnd.openxmlformats-officedocument.drawing+xml"/>
  <Override PartName="/xl/drawings/drawing10.xml" ContentType="application/vnd.openxmlformats-officedocument.drawing+xml"/>
  <Override PartName="/xl/drawings/drawing4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5.xml" ContentType="application/vnd.openxmlformats-officedocument.drawing+xml"/>
  <Override PartName="/xl/drawings/drawing13.xml" ContentType="application/vnd.openxmlformats-officedocument.drawing+xml"/>
  <Override PartName="/xl/drawings/drawing6.xml" ContentType="application/vnd.openxmlformats-officedocument.drawing+xml"/>
  <Override PartName="/xl/drawings/drawing14.xml" ContentType="application/vnd.openxmlformats-officedocument.drawing+xml"/>
  <Override PartName="/xl/drawings/drawing7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70.xml" ContentType="application/vnd.ms-office.activeX+xml"/>
  <Override PartName="/xl/activeX/activeX70.bin" ContentType="application/vnd.ms-office.activeX"/>
  <Override PartName="/xl/activeX/activeX62.xml" ContentType="application/vnd.ms-office.activeX+xml"/>
  <Override PartName="/xl/activeX/activeX71.xml" ContentType="application/vnd.ms-office.activeX+xml"/>
  <Override PartName="/xl/activeX/activeX71.bin" ContentType="application/vnd.ms-office.activeX"/>
  <Override PartName="/xl/activeX/activeX62.bin" ContentType="application/vnd.ms-office.activeX"/>
  <Override PartName="/xl/activeX/activeX72.xml" ContentType="application/vnd.ms-office.activeX+xml"/>
  <Override PartName="/xl/activeX/activeX72.bin" ContentType="application/vnd.ms-office.activeX"/>
  <Override PartName="/xl/activeX/activeX55.xml" ContentType="application/vnd.ms-office.activeX+xml"/>
  <Override PartName="/xl/activeX/activeX73.xml" ContentType="application/vnd.ms-office.activeX+xml"/>
  <Override PartName="/xl/activeX/activeX73.bin" ContentType="application/vnd.ms-office.activeX"/>
  <Override PartName="/xl/activeX/activeX63.xml" ContentType="application/vnd.ms-office.activeX+xml"/>
  <Override PartName="/xl/activeX/activeX74.xml" ContentType="application/vnd.ms-office.activeX+xml"/>
  <Override PartName="/xl/activeX/activeX74.bin" ContentType="application/vnd.ms-office.activeX"/>
  <Override PartName="/xl/activeX/activeX63.bin" ContentType="application/vnd.ms-office.activeX"/>
  <Override PartName="/xl/activeX/activeX75.xml" ContentType="application/vnd.ms-office.activeX+xml"/>
  <Override PartName="/xl/activeX/activeX75.bin" ContentType="application/vnd.ms-office.activeX"/>
  <Override PartName="/xl/activeX/activeX5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activeX/activeX53.xml" ContentType="application/vnd.ms-office.activeX+xml"/>
  <Override PartName="/xl/activeX/activeX57.xml" ContentType="application/vnd.ms-office.activeX+xml"/>
  <Override PartName="/xl/comments1.xml" ContentType="application/vnd.openxmlformats-officedocument.spreadsheetml.comments+xml"/>
  <Override PartName="/xl/activeX/activeX57.bin" ContentType="application/vnd.ms-office.activeX"/>
  <Override PartName="/xl/activeX/activeX54.bin" ContentType="application/vnd.ms-office.activeX"/>
  <Override PartName="/xl/activeX/activeX58.xml" ContentType="application/vnd.ms-office.activeX+xml"/>
  <Override PartName="/xl/activeX/activeX52.bin" ContentType="application/vnd.ms-office.activeX"/>
  <Override PartName="/xl/activeX/activeX58.bin" ContentType="application/vnd.ms-office.activeX"/>
  <Override PartName="/xl/comments2.xml" ContentType="application/vnd.openxmlformats-officedocument.spreadsheetml.comments+xml"/>
  <Override PartName="/xl/activeX/activeX56.xml" ContentType="application/vnd.ms-office.activeX+xml"/>
  <Override PartName="/xl/activeX/activeX59.xml" ContentType="application/vnd.ms-office.activeX+xml"/>
  <Override PartName="/xl/activeX/activeX64.xml" ContentType="application/vnd.ms-office.activeX+xml"/>
  <Override PartName="/xl/activeX/activeX64.bin" ContentType="application/vnd.ms-office.activeX"/>
  <Override PartName="/xl/activeX/activeX59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56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0.xml" ContentType="application/vnd.ms-office.activeX+xml"/>
  <Override PartName="/xl/activeX/activeX67.xml" ContentType="application/vnd.ms-office.activeX+xml"/>
  <Override PartName="/xl/activeX/activeX67.bin" ContentType="application/vnd.ms-office.activeX"/>
  <Override PartName="/xl/activeX/activeX60.bin" ContentType="application/vnd.ms-office.activeX"/>
  <Override PartName="/xl/activeX/activeX68.xml" ContentType="application/vnd.ms-office.activeX+xml"/>
  <Override PartName="/xl/activeX/activeX53.bin" ContentType="application/vnd.ms-office.activeX"/>
  <Override PartName="/xl/activeX/activeX68.bin" ContentType="application/vnd.ms-office.activeX"/>
  <Override PartName="/xl/activeX/activeX54.xml" ContentType="application/vnd.ms-office.activeX+xml"/>
  <Override PartName="/xl/activeX/activeX69.xml" ContentType="application/vnd.ms-office.activeX+xml"/>
  <Override PartName="/xl/activeX/activeX69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VEDA\Veda_models\COMET_NYC_v15.0.7a\"/>
    </mc:Choice>
  </mc:AlternateContent>
  <xr:revisionPtr revIDLastSave="0" documentId="13_ncr:1_{8B868A1B-4A74-4B2D-BA46-63AA531E75BC}" xr6:coauthVersionLast="47" xr6:coauthVersionMax="47" xr10:uidLastSave="{00000000-0000-0000-0000-000000000000}"/>
  <bookViews>
    <workbookView xWindow="-108" yWindow="-108" windowWidth="23256" windowHeight="12576" tabRatio="899" activeTab="13" xr2:uid="{00000000-000D-0000-FFFF-FFFF00000000}"/>
  </bookViews>
  <sheets>
    <sheet name="ANSv6.1-Home" sheetId="9" r:id="rId1"/>
    <sheet name="ANSv6.0-Commodities" sheetId="10" state="veryHidden" r:id="rId2"/>
    <sheet name="ANSv6.1-Commodities" sheetId="1" state="veryHidden" r:id="rId3"/>
    <sheet name="Commodities" sheetId="11" r:id="rId4"/>
    <sheet name="ANSv6.0-Technologies" sheetId="12" state="veryHidden" r:id="rId5"/>
    <sheet name="ANSv6.1-Technologies" sheetId="2" state="veryHidden" r:id="rId6"/>
    <sheet name="ANSv6.1-Constraints" sheetId="7" state="veryHidden" r:id="rId7"/>
    <sheet name="ANSv6.1-CommData" sheetId="4" state="veryHidden" r:id="rId8"/>
    <sheet name="Technologies" sheetId="14" r:id="rId9"/>
    <sheet name="ANSv6.0-TechData" sheetId="17" state="veryHidden" r:id="rId10"/>
    <sheet name="ANSv6.0-CommData" sheetId="16" state="veryHidden" r:id="rId11"/>
    <sheet name="ANSv6.0-Constraints" sheetId="15" state="veryHidden" r:id="rId12"/>
    <sheet name="ANSv6.1-TechData" sheetId="3" state="veryHidden" r:id="rId13"/>
    <sheet name="TechData_DomELC_XLim" sheetId="20" r:id="rId14"/>
    <sheet name="TechData_HistELC_TRD" sheetId="29" r:id="rId15"/>
    <sheet name="Historical_trade" sheetId="27" r:id="rId16"/>
    <sheet name="Domestic_NYC" sheetId="26" r:id="rId17"/>
    <sheet name="Domestic" sheetId="23" r:id="rId18"/>
    <sheet name="International" sheetId="24" r:id="rId19"/>
    <sheet name="OLD" sheetId="28" r:id="rId20"/>
    <sheet name="TechData_IntELC_XLim" sheetId="21" r:id="rId21"/>
    <sheet name="TechData_IntELC_Trd-PB" sheetId="22" r:id="rId22"/>
    <sheet name="ANSv6.0-ConstrData" sheetId="25" state="veryHidden" r:id="rId23"/>
    <sheet name="ANSv6.1-ConstrData" sheetId="8" state="veryHidden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8" i="29" l="1"/>
  <c r="U17" i="29"/>
  <c r="U16" i="29"/>
  <c r="U14" i="29"/>
  <c r="U13" i="29"/>
  <c r="V6" i="29"/>
  <c r="V13" i="29" s="1"/>
  <c r="U15" i="29"/>
  <c r="L9" i="27"/>
  <c r="I6" i="26"/>
  <c r="H6" i="26"/>
  <c r="G6" i="26"/>
  <c r="F6" i="26"/>
  <c r="E6" i="26"/>
  <c r="T69" i="26"/>
  <c r="T70" i="26"/>
  <c r="T71" i="26"/>
  <c r="T72" i="26"/>
  <c r="T68" i="26"/>
  <c r="I10" i="26"/>
  <c r="H11" i="26" s="1"/>
  <c r="E10" i="26"/>
  <c r="H8" i="26"/>
  <c r="F10" i="26" s="1"/>
  <c r="G8" i="26"/>
  <c r="F9" i="26" s="1"/>
  <c r="E8" i="26"/>
  <c r="F7" i="26" s="1"/>
  <c r="H111" i="20" l="1"/>
  <c r="H124" i="20"/>
  <c r="A69" i="20" l="1"/>
  <c r="A70" i="20"/>
  <c r="A71" i="20"/>
  <c r="A72" i="20"/>
  <c r="A73" i="20"/>
  <c r="A60" i="20"/>
  <c r="A61" i="20"/>
  <c r="A62" i="20"/>
  <c r="A63" i="20"/>
  <c r="A64" i="20"/>
  <c r="A65" i="20"/>
  <c r="A66" i="20"/>
  <c r="A50" i="20"/>
  <c r="A51" i="20"/>
  <c r="A52" i="20"/>
  <c r="A53" i="20"/>
  <c r="A54" i="20"/>
  <c r="A40" i="20"/>
  <c r="A41" i="20"/>
  <c r="A42" i="20"/>
  <c r="A43" i="20"/>
  <c r="A44" i="20"/>
  <c r="A45" i="20"/>
  <c r="A29" i="20"/>
  <c r="A30" i="20"/>
  <c r="A31" i="20"/>
  <c r="A32" i="20"/>
  <c r="A33" i="20"/>
  <c r="A34" i="20"/>
  <c r="A35" i="20"/>
  <c r="A19" i="20"/>
  <c r="A20" i="20"/>
  <c r="A21" i="20"/>
  <c r="A22" i="20"/>
  <c r="A23" i="20"/>
  <c r="A24" i="20"/>
  <c r="A25" i="20"/>
  <c r="B15" i="14"/>
  <c r="D10" i="26" l="1"/>
  <c r="AD52" i="20"/>
  <c r="K89" i="20" l="1"/>
  <c r="K99" i="20" s="1"/>
  <c r="K109" i="20" s="1"/>
  <c r="K119" i="20" s="1"/>
  <c r="K129" i="20" s="1"/>
  <c r="G21" i="26" l="1"/>
  <c r="Q68" i="26"/>
  <c r="R68" i="26"/>
  <c r="S68" i="26"/>
  <c r="Q69" i="26"/>
  <c r="R69" i="26"/>
  <c r="S69" i="26"/>
  <c r="Q70" i="26"/>
  <c r="R70" i="26"/>
  <c r="S70" i="26"/>
  <c r="Q71" i="26"/>
  <c r="R71" i="26"/>
  <c r="S71" i="26"/>
  <c r="Q72" i="26"/>
  <c r="R72" i="26"/>
  <c r="S72" i="26"/>
  <c r="P69" i="26"/>
  <c r="P70" i="26"/>
  <c r="P71" i="26"/>
  <c r="P72" i="26"/>
  <c r="P68" i="26"/>
  <c r="T61" i="26"/>
  <c r="T62" i="26"/>
  <c r="T63" i="26"/>
  <c r="T64" i="26"/>
  <c r="T60" i="26"/>
  <c r="T53" i="26"/>
  <c r="T54" i="26"/>
  <c r="T55" i="26"/>
  <c r="T56" i="26"/>
  <c r="T52" i="26"/>
  <c r="H22" i="26"/>
  <c r="S3" i="26"/>
  <c r="S6" i="26"/>
  <c r="K20" i="29"/>
  <c r="AA20" i="29" s="1"/>
  <c r="P6" i="29"/>
  <c r="B151" i="14"/>
  <c r="E151" i="14" s="1"/>
  <c r="C151" i="14"/>
  <c r="D151" i="14"/>
  <c r="B150" i="14"/>
  <c r="X20" i="29"/>
  <c r="X6" i="29"/>
  <c r="V20" i="29"/>
  <c r="P20" i="29"/>
  <c r="S20" i="29" s="1"/>
  <c r="T20" i="29" s="1"/>
  <c r="N20" i="29"/>
  <c r="Q20" i="29" s="1"/>
  <c r="N6" i="29"/>
  <c r="Q6" i="29" s="1"/>
  <c r="S18" i="27"/>
  <c r="S19" i="27"/>
  <c r="S20" i="27"/>
  <c r="S21" i="27"/>
  <c r="S22" i="27"/>
  <c r="S23" i="27"/>
  <c r="S24" i="27"/>
  <c r="S25" i="27"/>
  <c r="S17" i="27"/>
  <c r="M17" i="27"/>
  <c r="M18" i="27"/>
  <c r="M19" i="27"/>
  <c r="M20" i="27"/>
  <c r="M21" i="27"/>
  <c r="M22" i="27"/>
  <c r="M23" i="27"/>
  <c r="M24" i="27"/>
  <c r="M25" i="27"/>
  <c r="D8" i="26" l="1"/>
  <c r="I24" i="26"/>
  <c r="H25" i="26" s="1"/>
  <c r="D11" i="26"/>
  <c r="F151" i="14"/>
  <c r="Z20" i="29"/>
  <c r="O20" i="29"/>
  <c r="R20" i="29" s="1"/>
  <c r="L20" i="29"/>
  <c r="F20" i="29"/>
  <c r="E18" i="29"/>
  <c r="E17" i="29"/>
  <c r="E16" i="29"/>
  <c r="S6" i="29"/>
  <c r="AA14" i="29"/>
  <c r="AA15" i="29"/>
  <c r="AA16" i="29"/>
  <c r="AA17" i="29"/>
  <c r="AA18" i="29"/>
  <c r="AA13" i="29"/>
  <c r="D144" i="14"/>
  <c r="D149" i="14"/>
  <c r="D148" i="14"/>
  <c r="D147" i="14"/>
  <c r="D146" i="14"/>
  <c r="D145" i="14"/>
  <c r="D137" i="14"/>
  <c r="D138" i="14"/>
  <c r="D139" i="14"/>
  <c r="D140" i="14"/>
  <c r="D141" i="14"/>
  <c r="D142" i="14"/>
  <c r="B146" i="14"/>
  <c r="F146" i="14" s="1"/>
  <c r="B147" i="14"/>
  <c r="F147" i="14" s="1"/>
  <c r="B148" i="14"/>
  <c r="F148" i="14" s="1"/>
  <c r="B149" i="14"/>
  <c r="F149" i="14" s="1"/>
  <c r="B137" i="14"/>
  <c r="E137" i="14" s="1"/>
  <c r="B138" i="14"/>
  <c r="E138" i="14" s="1"/>
  <c r="B139" i="14"/>
  <c r="F139" i="14" s="1"/>
  <c r="B140" i="14"/>
  <c r="F140" i="14" s="1"/>
  <c r="B141" i="14"/>
  <c r="F141" i="14" s="1"/>
  <c r="B142" i="14"/>
  <c r="F142" i="14" s="1"/>
  <c r="B143" i="14"/>
  <c r="B144" i="14"/>
  <c r="E144" i="14" s="1"/>
  <c r="B145" i="14"/>
  <c r="F145" i="14" s="1"/>
  <c r="B136" i="14"/>
  <c r="C137" i="14"/>
  <c r="C138" i="14"/>
  <c r="C139" i="14"/>
  <c r="C140" i="14"/>
  <c r="C141" i="14"/>
  <c r="C142" i="14"/>
  <c r="X8" i="29"/>
  <c r="X11" i="29" s="1"/>
  <c r="V8" i="29"/>
  <c r="Z8" i="29" s="1"/>
  <c r="Z11" i="29" s="1"/>
  <c r="X7" i="29"/>
  <c r="X10" i="29" s="1"/>
  <c r="V7" i="29"/>
  <c r="X13" i="29"/>
  <c r="V9" i="29"/>
  <c r="V14" i="29" l="1"/>
  <c r="V16" i="29"/>
  <c r="D7" i="26"/>
  <c r="D21" i="26" s="1"/>
  <c r="D9" i="26"/>
  <c r="U20" i="29"/>
  <c r="W20" i="29"/>
  <c r="Y20" i="29" s="1"/>
  <c r="X17" i="29"/>
  <c r="X9" i="29"/>
  <c r="X16" i="29" s="1"/>
  <c r="V11" i="29"/>
  <c r="V10" i="29"/>
  <c r="V17" i="29" s="1"/>
  <c r="X18" i="29"/>
  <c r="F137" i="14"/>
  <c r="F138" i="14"/>
  <c r="F144" i="14"/>
  <c r="E145" i="14"/>
  <c r="E139" i="14"/>
  <c r="E146" i="14"/>
  <c r="E140" i="14"/>
  <c r="E147" i="14"/>
  <c r="E141" i="14"/>
  <c r="E148" i="14"/>
  <c r="Z6" i="29"/>
  <c r="E142" i="14"/>
  <c r="E149" i="14"/>
  <c r="X15" i="29"/>
  <c r="V15" i="29"/>
  <c r="W7" i="29"/>
  <c r="Y7" i="29" s="1"/>
  <c r="W6" i="29"/>
  <c r="Z7" i="29"/>
  <c r="Z10" i="29" s="1"/>
  <c r="W8" i="29"/>
  <c r="Z18" i="29"/>
  <c r="Z15" i="29"/>
  <c r="X14" i="29"/>
  <c r="V18" i="29" l="1"/>
  <c r="W9" i="29"/>
  <c r="Y9" i="29" s="1"/>
  <c r="Y6" i="29"/>
  <c r="W11" i="29"/>
  <c r="Y11" i="29" s="1"/>
  <c r="Y8" i="29"/>
  <c r="W14" i="29"/>
  <c r="Y14" i="29" s="1"/>
  <c r="W10" i="29"/>
  <c r="Y10" i="29" s="1"/>
  <c r="Z13" i="29"/>
  <c r="Z9" i="29"/>
  <c r="Z16" i="29"/>
  <c r="W17" i="29"/>
  <c r="Y17" i="29" s="1"/>
  <c r="W13" i="29"/>
  <c r="Y13" i="29" s="1"/>
  <c r="W15" i="29"/>
  <c r="Y15" i="29" s="1"/>
  <c r="Z17" i="29"/>
  <c r="Z14" i="29"/>
  <c r="W16" i="29" l="1"/>
  <c r="Y16" i="29" s="1"/>
  <c r="W18" i="29"/>
  <c r="Y18" i="29" s="1"/>
  <c r="C16" i="29"/>
  <c r="C147" i="14" s="1"/>
  <c r="C17" i="29"/>
  <c r="C148" i="14" s="1"/>
  <c r="C18" i="29"/>
  <c r="C149" i="14" s="1"/>
  <c r="P11" i="29"/>
  <c r="S11" i="29" s="1"/>
  <c r="N11" i="29"/>
  <c r="Q11" i="29" s="1"/>
  <c r="P10" i="29"/>
  <c r="S10" i="29" s="1"/>
  <c r="N10" i="29"/>
  <c r="Q10" i="29" s="1"/>
  <c r="P9" i="29"/>
  <c r="S9" i="29" s="1"/>
  <c r="P8" i="29"/>
  <c r="S8" i="29" s="1"/>
  <c r="P7" i="29"/>
  <c r="S7" i="29" s="1"/>
  <c r="N9" i="29"/>
  <c r="Q9" i="29" s="1"/>
  <c r="N8" i="29"/>
  <c r="Q8" i="29" s="1"/>
  <c r="N7" i="29"/>
  <c r="Q7" i="29" s="1"/>
  <c r="K8" i="29"/>
  <c r="L8" i="29" s="1"/>
  <c r="K7" i="29"/>
  <c r="L7" i="29" s="1"/>
  <c r="K6" i="29"/>
  <c r="L6" i="29" s="1"/>
  <c r="E11" i="29"/>
  <c r="E10" i="29"/>
  <c r="E9" i="29"/>
  <c r="K11" i="29"/>
  <c r="L11" i="29" s="1"/>
  <c r="K10" i="29"/>
  <c r="L10" i="29" s="1"/>
  <c r="K9" i="29"/>
  <c r="L9" i="29" s="1"/>
  <c r="C14" i="29"/>
  <c r="C145" i="14" s="1"/>
  <c r="C15" i="29"/>
  <c r="C146" i="14" s="1"/>
  <c r="C13" i="29"/>
  <c r="C144" i="14" s="1"/>
  <c r="F15" i="29"/>
  <c r="F14" i="29"/>
  <c r="F13" i="29"/>
  <c r="F8" i="29"/>
  <c r="F7" i="29"/>
  <c r="F6" i="29"/>
  <c r="D9" i="14"/>
  <c r="D10" i="14"/>
  <c r="D11" i="14"/>
  <c r="D12" i="14"/>
  <c r="D13" i="14"/>
  <c r="D14" i="14"/>
  <c r="C10" i="14"/>
  <c r="C11" i="14"/>
  <c r="C12" i="14"/>
  <c r="C13" i="14"/>
  <c r="C14" i="14"/>
  <c r="C9" i="14"/>
  <c r="Y30" i="22"/>
  <c r="Z30" i="22"/>
  <c r="Y31" i="22"/>
  <c r="Y32" i="22"/>
  <c r="Y33" i="22"/>
  <c r="Y34" i="22"/>
  <c r="Y35" i="22"/>
  <c r="Y36" i="22"/>
  <c r="Y37" i="22"/>
  <c r="Y38" i="22"/>
  <c r="Y39" i="22"/>
  <c r="Z5" i="22"/>
  <c r="Y5" i="22"/>
  <c r="C13" i="11"/>
  <c r="O8" i="29" l="1"/>
  <c r="R8" i="29" s="1"/>
  <c r="O10" i="29"/>
  <c r="R10" i="29" s="1"/>
  <c r="O11" i="29"/>
  <c r="R11" i="29" s="1"/>
  <c r="AA8" i="29"/>
  <c r="O6" i="29"/>
  <c r="R6" i="29" s="1"/>
  <c r="O9" i="29"/>
  <c r="R9" i="29" s="1"/>
  <c r="O7" i="29"/>
  <c r="R7" i="29" s="1"/>
  <c r="AA10" i="29"/>
  <c r="U11" i="29"/>
  <c r="AA11" i="29" s="1"/>
  <c r="AA6" i="29"/>
  <c r="U6" i="29"/>
  <c r="U7" i="29"/>
  <c r="AA7" i="29" s="1"/>
  <c r="U8" i="29"/>
  <c r="U9" i="29"/>
  <c r="AA9" i="29" s="1"/>
  <c r="U10" i="29"/>
  <c r="H24" i="21"/>
  <c r="H23" i="21"/>
  <c r="H22" i="21"/>
  <c r="H21" i="21"/>
  <c r="H20" i="21"/>
  <c r="H19" i="21"/>
  <c r="H18" i="21"/>
  <c r="H17" i="21"/>
  <c r="H16" i="21"/>
  <c r="H7" i="21"/>
  <c r="H8" i="21"/>
  <c r="H9" i="21"/>
  <c r="H10" i="21"/>
  <c r="H11" i="21"/>
  <c r="H12" i="21"/>
  <c r="H13" i="21"/>
  <c r="H14" i="21"/>
  <c r="H6" i="21"/>
  <c r="H100" i="20"/>
  <c r="H99" i="20"/>
  <c r="D131" i="14"/>
  <c r="Z134" i="20"/>
  <c r="Y134" i="20"/>
  <c r="X134" i="20"/>
  <c r="V134" i="20"/>
  <c r="U134" i="20"/>
  <c r="T134" i="20"/>
  <c r="W134" i="20" s="1"/>
  <c r="R134" i="20"/>
  <c r="Q134" i="20"/>
  <c r="P134" i="20"/>
  <c r="S134" i="20" s="1"/>
  <c r="Z123" i="20"/>
  <c r="Y123" i="20"/>
  <c r="X123" i="20"/>
  <c r="V123" i="20"/>
  <c r="U123" i="20"/>
  <c r="T123" i="20"/>
  <c r="W123" i="20" s="1"/>
  <c r="R123" i="20"/>
  <c r="Q123" i="20"/>
  <c r="P123" i="20"/>
  <c r="S123" i="20" s="1"/>
  <c r="X122" i="20"/>
  <c r="Z122" i="20" s="1"/>
  <c r="T122" i="20"/>
  <c r="V122" i="20" s="1"/>
  <c r="P122" i="20"/>
  <c r="Q122" i="20" s="1"/>
  <c r="Z112" i="20"/>
  <c r="Y112" i="20"/>
  <c r="X112" i="20"/>
  <c r="V112" i="20"/>
  <c r="U112" i="20"/>
  <c r="T112" i="20"/>
  <c r="W112" i="20" s="1"/>
  <c r="R112" i="20"/>
  <c r="Q112" i="20"/>
  <c r="P112" i="20"/>
  <c r="S112" i="20" s="1"/>
  <c r="P94" i="20"/>
  <c r="S94" i="20" s="1"/>
  <c r="AA111" i="20"/>
  <c r="AA93" i="20"/>
  <c r="Z85" i="20"/>
  <c r="Y85" i="20"/>
  <c r="X85" i="20"/>
  <c r="V85" i="20"/>
  <c r="U85" i="20"/>
  <c r="T85" i="20"/>
  <c r="W85" i="20" s="1"/>
  <c r="R85" i="20"/>
  <c r="Q85" i="20"/>
  <c r="P85" i="20"/>
  <c r="S85" i="20" s="1"/>
  <c r="S33" i="20"/>
  <c r="H82" i="26"/>
  <c r="J80" i="26"/>
  <c r="G79" i="26"/>
  <c r="L58" i="26"/>
  <c r="L84" i="26" s="1"/>
  <c r="K58" i="26"/>
  <c r="K71" i="26" s="1"/>
  <c r="J58" i="26"/>
  <c r="J71" i="26" s="1"/>
  <c r="I58" i="26"/>
  <c r="I71" i="26" s="1"/>
  <c r="H58" i="26"/>
  <c r="H84" i="26" s="1"/>
  <c r="G58" i="26"/>
  <c r="G71" i="26" s="1"/>
  <c r="F58" i="26"/>
  <c r="F71" i="26" s="1"/>
  <c r="E58" i="26"/>
  <c r="E71" i="26" s="1"/>
  <c r="D58" i="26"/>
  <c r="D84" i="26" s="1"/>
  <c r="L57" i="26"/>
  <c r="L70" i="26" s="1"/>
  <c r="K57" i="26"/>
  <c r="K70" i="26" s="1"/>
  <c r="J57" i="26"/>
  <c r="J70" i="26" s="1"/>
  <c r="I57" i="26"/>
  <c r="I83" i="26" s="1"/>
  <c r="H57" i="26"/>
  <c r="H70" i="26" s="1"/>
  <c r="G57" i="26"/>
  <c r="G70" i="26" s="1"/>
  <c r="F57" i="26"/>
  <c r="F70" i="26" s="1"/>
  <c r="E57" i="26"/>
  <c r="E83" i="26" s="1"/>
  <c r="D57" i="26"/>
  <c r="D70" i="26" s="1"/>
  <c r="L56" i="26"/>
  <c r="L69" i="26" s="1"/>
  <c r="K56" i="26"/>
  <c r="J56" i="26"/>
  <c r="J82" i="26" s="1"/>
  <c r="I56" i="26"/>
  <c r="I69" i="26" s="1"/>
  <c r="G56" i="26"/>
  <c r="F56" i="26"/>
  <c r="F82" i="26" s="1"/>
  <c r="E56" i="26"/>
  <c r="E82" i="26" s="1"/>
  <c r="D56" i="26"/>
  <c r="D69" i="26" s="1"/>
  <c r="L55" i="26"/>
  <c r="L81" i="26" s="1"/>
  <c r="K55" i="26"/>
  <c r="K81" i="26" s="1"/>
  <c r="J55" i="26"/>
  <c r="J68" i="26" s="1"/>
  <c r="I55" i="26"/>
  <c r="I68" i="26" s="1"/>
  <c r="G55" i="26"/>
  <c r="G81" i="26" s="1"/>
  <c r="F55" i="26"/>
  <c r="F68" i="26" s="1"/>
  <c r="E55" i="26"/>
  <c r="E68" i="26" s="1"/>
  <c r="V33" i="20" s="1"/>
  <c r="V94" i="20" s="1"/>
  <c r="L54" i="26"/>
  <c r="L67" i="26" s="1"/>
  <c r="K54" i="26"/>
  <c r="K67" i="26" s="1"/>
  <c r="H54" i="26"/>
  <c r="G54" i="26"/>
  <c r="G67" i="26" s="1"/>
  <c r="L53" i="26"/>
  <c r="L79" i="26" s="1"/>
  <c r="K53" i="26"/>
  <c r="K79" i="26" s="1"/>
  <c r="J53" i="26"/>
  <c r="J79" i="26" s="1"/>
  <c r="I53" i="26"/>
  <c r="H53" i="26"/>
  <c r="H79" i="26" s="1"/>
  <c r="E53" i="26"/>
  <c r="X31" i="20" s="1"/>
  <c r="X92" i="20" s="1"/>
  <c r="L52" i="26"/>
  <c r="L78" i="26" s="1"/>
  <c r="K52" i="26"/>
  <c r="K78" i="26" s="1"/>
  <c r="J52" i="26"/>
  <c r="J78" i="26" s="1"/>
  <c r="I52" i="26"/>
  <c r="I78" i="26" s="1"/>
  <c r="R70" i="20" s="1"/>
  <c r="R131" i="20" s="1"/>
  <c r="F52" i="26"/>
  <c r="F78" i="26" s="1"/>
  <c r="R40" i="20" s="1"/>
  <c r="R101" i="20" s="1"/>
  <c r="L51" i="26"/>
  <c r="L77" i="26" s="1"/>
  <c r="K51" i="26"/>
  <c r="K77" i="26" s="1"/>
  <c r="J51" i="26"/>
  <c r="J77" i="26" s="1"/>
  <c r="I51" i="26"/>
  <c r="I64" i="26" s="1"/>
  <c r="V69" i="20" s="1"/>
  <c r="V130" i="20" s="1"/>
  <c r="H51" i="26"/>
  <c r="Z59" i="20" s="1"/>
  <c r="Z120" i="20" s="1"/>
  <c r="G51" i="26"/>
  <c r="X49" i="20" s="1"/>
  <c r="X110" i="20" s="1"/>
  <c r="AA110" i="20" s="1"/>
  <c r="E51" i="26"/>
  <c r="E64" i="26" s="1"/>
  <c r="V29" i="20" s="1"/>
  <c r="V90" i="20" s="1"/>
  <c r="L50" i="26"/>
  <c r="L76" i="26" s="1"/>
  <c r="K50" i="26"/>
  <c r="K76" i="26" s="1"/>
  <c r="J50" i="26"/>
  <c r="J76" i="26" s="1"/>
  <c r="D50" i="26"/>
  <c r="D76" i="26" s="1"/>
  <c r="S46" i="26"/>
  <c r="S45" i="26"/>
  <c r="S44" i="26"/>
  <c r="L44" i="26"/>
  <c r="B44" i="26"/>
  <c r="S43" i="26"/>
  <c r="B43" i="26"/>
  <c r="S42" i="26"/>
  <c r="S41" i="26"/>
  <c r="S40" i="26"/>
  <c r="S39" i="26"/>
  <c r="S38" i="26"/>
  <c r="S37" i="26"/>
  <c r="S36" i="26"/>
  <c r="S35" i="26"/>
  <c r="S34" i="26"/>
  <c r="S32" i="26"/>
  <c r="S31" i="26"/>
  <c r="S30" i="26"/>
  <c r="S29" i="26"/>
  <c r="S28" i="26"/>
  <c r="L28" i="26"/>
  <c r="J28" i="26"/>
  <c r="J44" i="26" s="1"/>
  <c r="I28" i="26"/>
  <c r="I44" i="26" s="1"/>
  <c r="H28" i="26"/>
  <c r="H44" i="26" s="1"/>
  <c r="G28" i="26"/>
  <c r="G44" i="26" s="1"/>
  <c r="F28" i="26"/>
  <c r="F44" i="26" s="1"/>
  <c r="E28" i="26"/>
  <c r="E44" i="26" s="1"/>
  <c r="D28" i="26"/>
  <c r="D44" i="26" s="1"/>
  <c r="K27" i="26"/>
  <c r="K43" i="26" s="1"/>
  <c r="I27" i="26"/>
  <c r="I43" i="26" s="1"/>
  <c r="H27" i="26"/>
  <c r="H43" i="26" s="1"/>
  <c r="F27" i="26"/>
  <c r="F43" i="26" s="1"/>
  <c r="E27" i="26"/>
  <c r="E43" i="26" s="1"/>
  <c r="H26" i="26"/>
  <c r="H42" i="26" s="1"/>
  <c r="E26" i="26"/>
  <c r="E42" i="26" s="1"/>
  <c r="B26" i="26"/>
  <c r="B42" i="26" s="1"/>
  <c r="L25" i="26"/>
  <c r="L41" i="26" s="1"/>
  <c r="K25" i="26"/>
  <c r="K41" i="26" s="1"/>
  <c r="L24" i="26"/>
  <c r="L40" i="26" s="1"/>
  <c r="K24" i="26"/>
  <c r="K40" i="26" s="1"/>
  <c r="G24" i="26"/>
  <c r="L23" i="26"/>
  <c r="L39" i="26" s="1"/>
  <c r="E23" i="26"/>
  <c r="E39" i="26" s="1"/>
  <c r="J49" i="20" s="1"/>
  <c r="L22" i="26"/>
  <c r="L38" i="26" s="1"/>
  <c r="K22" i="26"/>
  <c r="K38" i="26" s="1"/>
  <c r="L21" i="26"/>
  <c r="L37" i="26" s="1"/>
  <c r="K21" i="26"/>
  <c r="K37" i="26" s="1"/>
  <c r="J21" i="26"/>
  <c r="J37" i="26" s="1"/>
  <c r="I21" i="26"/>
  <c r="I37" i="26" s="1"/>
  <c r="H21" i="26"/>
  <c r="H37" i="26" s="1"/>
  <c r="J32" i="20" s="1"/>
  <c r="G37" i="26"/>
  <c r="J31" i="20" s="1"/>
  <c r="L20" i="26"/>
  <c r="L36" i="26" s="1"/>
  <c r="K20" i="26"/>
  <c r="K36" i="26" s="1"/>
  <c r="D20" i="26"/>
  <c r="D36" i="26" s="1"/>
  <c r="S19" i="26"/>
  <c r="S18" i="26"/>
  <c r="J18" i="26"/>
  <c r="J74" i="26" s="1"/>
  <c r="B82" i="26" s="1"/>
  <c r="I18" i="26"/>
  <c r="H18" i="26"/>
  <c r="H74" i="26" s="1"/>
  <c r="B80" i="26" s="1"/>
  <c r="G18" i="26"/>
  <c r="G34" i="26" s="1"/>
  <c r="F18" i="26"/>
  <c r="F74" i="26" s="1"/>
  <c r="B78" i="26" s="1"/>
  <c r="E18" i="26"/>
  <c r="D18" i="26"/>
  <c r="D74" i="26" s="1"/>
  <c r="B76" i="26" s="1"/>
  <c r="S17" i="26"/>
  <c r="S16" i="26"/>
  <c r="S15" i="26"/>
  <c r="S14" i="26"/>
  <c r="S13" i="26"/>
  <c r="S12" i="26"/>
  <c r="H38" i="26" s="1"/>
  <c r="J42" i="20" s="1"/>
  <c r="S11" i="26"/>
  <c r="B11" i="26"/>
  <c r="B25" i="26" s="1"/>
  <c r="B41" i="26" s="1"/>
  <c r="S10" i="26"/>
  <c r="F54" i="26"/>
  <c r="X42" i="20" s="1"/>
  <c r="X103" i="20" s="1"/>
  <c r="Z103" i="20" s="1"/>
  <c r="D24" i="26"/>
  <c r="D40" i="26" s="1"/>
  <c r="J58" i="20" s="1"/>
  <c r="B10" i="26"/>
  <c r="B24" i="26" s="1"/>
  <c r="B40" i="26" s="1"/>
  <c r="S9" i="26"/>
  <c r="B9" i="26"/>
  <c r="B23" i="26" s="1"/>
  <c r="B39" i="26" s="1"/>
  <c r="S8" i="26"/>
  <c r="B8" i="26"/>
  <c r="B22" i="26" s="1"/>
  <c r="B38" i="26" s="1"/>
  <c r="S7" i="26"/>
  <c r="B7" i="26"/>
  <c r="B21" i="26" s="1"/>
  <c r="B37" i="26" s="1"/>
  <c r="I50" i="26"/>
  <c r="Y68" i="20" s="1"/>
  <c r="Y129" i="20" s="1"/>
  <c r="H50" i="26"/>
  <c r="Z58" i="20" s="1"/>
  <c r="Z119" i="20" s="1"/>
  <c r="G20" i="26"/>
  <c r="G36" i="26" s="1"/>
  <c r="J21" i="20" s="1"/>
  <c r="E50" i="26"/>
  <c r="X28" i="20" s="1"/>
  <c r="B6" i="26"/>
  <c r="B20" i="26" s="1"/>
  <c r="B36" i="26" s="1"/>
  <c r="S5" i="26"/>
  <c r="E77" i="26" l="1"/>
  <c r="P29" i="20" s="1"/>
  <c r="T29" i="20"/>
  <c r="T90" i="20" s="1"/>
  <c r="W90" i="20" s="1"/>
  <c r="P40" i="20"/>
  <c r="P101" i="20" s="1"/>
  <c r="S101" i="20" s="1"/>
  <c r="P70" i="20"/>
  <c r="S70" i="20" s="1"/>
  <c r="G40" i="26"/>
  <c r="G74" i="26"/>
  <c r="B79" i="26" s="1"/>
  <c r="R29" i="20"/>
  <c r="R90" i="20" s="1"/>
  <c r="Z33" i="20"/>
  <c r="Z94" i="20" s="1"/>
  <c r="Z69" i="20"/>
  <c r="Z130" i="20" s="1"/>
  <c r="U29" i="20"/>
  <c r="U90" i="20" s="1"/>
  <c r="Q40" i="20"/>
  <c r="Q101" i="20" s="1"/>
  <c r="Q70" i="20"/>
  <c r="Q131" i="20" s="1"/>
  <c r="D34" i="26"/>
  <c r="X40" i="20"/>
  <c r="AA40" i="20" s="1"/>
  <c r="H34" i="26"/>
  <c r="E81" i="26"/>
  <c r="X29" i="20"/>
  <c r="AA29" i="20" s="1"/>
  <c r="Y40" i="20"/>
  <c r="Y101" i="20" s="1"/>
  <c r="X70" i="20"/>
  <c r="AA70" i="20" s="1"/>
  <c r="Y29" i="20"/>
  <c r="Y90" i="20" s="1"/>
  <c r="Z40" i="20"/>
  <c r="Z101" i="20" s="1"/>
  <c r="F83" i="26"/>
  <c r="J83" i="26"/>
  <c r="T33" i="20"/>
  <c r="T94" i="20" s="1"/>
  <c r="W94" i="20" s="1"/>
  <c r="X59" i="20"/>
  <c r="AA59" i="20" s="1"/>
  <c r="E84" i="26"/>
  <c r="U33" i="20"/>
  <c r="U94" i="20" s="1"/>
  <c r="Y59" i="20"/>
  <c r="Y120" i="20" s="1"/>
  <c r="AA120" i="20" s="1"/>
  <c r="G48" i="26"/>
  <c r="B53" i="26" s="1"/>
  <c r="G61" i="26"/>
  <c r="B66" i="26" s="1"/>
  <c r="X33" i="20"/>
  <c r="AA33" i="20" s="1"/>
  <c r="X69" i="20"/>
  <c r="X130" i="20" s="1"/>
  <c r="K68" i="26"/>
  <c r="Q29" i="20"/>
  <c r="Q90" i="20" s="1"/>
  <c r="Y33" i="20"/>
  <c r="Y94" i="20" s="1"/>
  <c r="Y69" i="20"/>
  <c r="Y130" i="20" s="1"/>
  <c r="U122" i="20"/>
  <c r="W122" i="20"/>
  <c r="S40" i="20"/>
  <c r="R122" i="20"/>
  <c r="W29" i="20"/>
  <c r="Y122" i="20"/>
  <c r="S122" i="20"/>
  <c r="AA28" i="20"/>
  <c r="X89" i="20"/>
  <c r="Y89" i="20" s="1"/>
  <c r="Z28" i="20"/>
  <c r="Y92" i="20"/>
  <c r="AA92" i="20"/>
  <c r="Z92" i="20"/>
  <c r="I66" i="26"/>
  <c r="T71" i="20" s="1"/>
  <c r="U71" i="20" s="1"/>
  <c r="X71" i="20"/>
  <c r="Z71" i="20" s="1"/>
  <c r="I79" i="26"/>
  <c r="P71" i="20" s="1"/>
  <c r="R71" i="20" s="1"/>
  <c r="S29" i="20"/>
  <c r="P90" i="20"/>
  <c r="S90" i="20" s="1"/>
  <c r="AA31" i="20"/>
  <c r="Y31" i="20"/>
  <c r="S47" i="26"/>
  <c r="E54" i="26"/>
  <c r="E67" i="26" s="1"/>
  <c r="E80" i="26" s="1"/>
  <c r="E24" i="26"/>
  <c r="E40" i="26" s="1"/>
  <c r="J59" i="20" s="1"/>
  <c r="AA42" i="20"/>
  <c r="Y110" i="20"/>
  <c r="Z110" i="20"/>
  <c r="G69" i="26"/>
  <c r="G82" i="26"/>
  <c r="K69" i="26"/>
  <c r="K82" i="26"/>
  <c r="D23" i="26"/>
  <c r="D39" i="26" s="1"/>
  <c r="J48" i="20" s="1"/>
  <c r="G50" i="26"/>
  <c r="P131" i="20"/>
  <c r="S131" i="20" s="1"/>
  <c r="I84" i="26"/>
  <c r="X68" i="20"/>
  <c r="Z29" i="20"/>
  <c r="Z90" i="20" s="1"/>
  <c r="G80" i="26"/>
  <c r="Z68" i="20"/>
  <c r="Z129" i="20" s="1"/>
  <c r="Z70" i="20"/>
  <c r="Z131" i="20" s="1"/>
  <c r="Z49" i="20"/>
  <c r="Y70" i="20"/>
  <c r="Y131" i="20" s="1"/>
  <c r="K80" i="26"/>
  <c r="X58" i="20"/>
  <c r="Y58" i="20"/>
  <c r="Y119" i="20" s="1"/>
  <c r="AA119" i="20" s="1"/>
  <c r="I81" i="26"/>
  <c r="T69" i="20"/>
  <c r="U69" i="20"/>
  <c r="U130" i="20" s="1"/>
  <c r="I54" i="26"/>
  <c r="X72" i="20" s="1"/>
  <c r="Y72" i="20" s="1"/>
  <c r="Y103" i="20"/>
  <c r="AA103" i="20"/>
  <c r="Y49" i="20"/>
  <c r="Z42" i="20"/>
  <c r="Y42" i="20"/>
  <c r="Z31" i="20"/>
  <c r="Y28" i="20"/>
  <c r="G22" i="26"/>
  <c r="D53" i="26"/>
  <c r="K63" i="26"/>
  <c r="I70" i="26"/>
  <c r="F67" i="26"/>
  <c r="T42" i="20" s="1"/>
  <c r="U42" i="20" s="1"/>
  <c r="K65" i="26"/>
  <c r="H67" i="26"/>
  <c r="H80" i="26" s="1"/>
  <c r="E69" i="26"/>
  <c r="D71" i="26"/>
  <c r="I77" i="26"/>
  <c r="H55" i="26"/>
  <c r="X63" i="20" s="1"/>
  <c r="I74" i="26"/>
  <c r="B81" i="26" s="1"/>
  <c r="I61" i="26"/>
  <c r="B68" i="26" s="1"/>
  <c r="I48" i="26"/>
  <c r="B55" i="26" s="1"/>
  <c r="I34" i="26"/>
  <c r="H63" i="26"/>
  <c r="D54" i="26"/>
  <c r="E66" i="26"/>
  <c r="J69" i="26"/>
  <c r="H71" i="26"/>
  <c r="E52" i="26"/>
  <c r="X30" i="20" s="1"/>
  <c r="F50" i="26"/>
  <c r="F20" i="26"/>
  <c r="F36" i="26" s="1"/>
  <c r="J20" i="20" s="1"/>
  <c r="E74" i="26"/>
  <c r="B77" i="26" s="1"/>
  <c r="E61" i="26"/>
  <c r="B64" i="26" s="1"/>
  <c r="E48" i="26"/>
  <c r="B51" i="26" s="1"/>
  <c r="E34" i="26"/>
  <c r="E63" i="26"/>
  <c r="I63" i="26"/>
  <c r="E22" i="26"/>
  <c r="E38" i="26" s="1"/>
  <c r="J39" i="20" s="1"/>
  <c r="J66" i="26"/>
  <c r="G68" i="26"/>
  <c r="E70" i="26"/>
  <c r="L71" i="26"/>
  <c r="H20" i="26"/>
  <c r="H36" i="26" s="1"/>
  <c r="J22" i="20" s="1"/>
  <c r="F24" i="26"/>
  <c r="F40" i="26" s="1"/>
  <c r="J60" i="20" s="1"/>
  <c r="D48" i="26"/>
  <c r="B50" i="26" s="1"/>
  <c r="H48" i="26"/>
  <c r="B54" i="26" s="1"/>
  <c r="H52" i="26"/>
  <c r="X60" i="20" s="1"/>
  <c r="Z60" i="20" s="1"/>
  <c r="D61" i="26"/>
  <c r="B63" i="26" s="1"/>
  <c r="H61" i="26"/>
  <c r="B67" i="26" s="1"/>
  <c r="D63" i="26"/>
  <c r="L63" i="26"/>
  <c r="J64" i="26"/>
  <c r="L65" i="26"/>
  <c r="K66" i="26"/>
  <c r="L68" i="26"/>
  <c r="F69" i="26"/>
  <c r="L80" i="26"/>
  <c r="F81" i="26"/>
  <c r="J81" i="26"/>
  <c r="D82" i="26"/>
  <c r="L82" i="26"/>
  <c r="G83" i="26"/>
  <c r="K83" i="26"/>
  <c r="F84" i="26"/>
  <c r="J84" i="26"/>
  <c r="E20" i="26"/>
  <c r="E36" i="26" s="1"/>
  <c r="J19" i="20" s="1"/>
  <c r="I20" i="26"/>
  <c r="I36" i="26" s="1"/>
  <c r="J23" i="20" s="1"/>
  <c r="F34" i="26"/>
  <c r="J34" i="26"/>
  <c r="G64" i="26"/>
  <c r="K64" i="26"/>
  <c r="I65" i="26"/>
  <c r="H66" i="26"/>
  <c r="L66" i="26"/>
  <c r="I82" i="26"/>
  <c r="D83" i="26"/>
  <c r="H83" i="26"/>
  <c r="L83" i="26"/>
  <c r="G84" i="26"/>
  <c r="K84" i="26"/>
  <c r="F48" i="26"/>
  <c r="B52" i="26" s="1"/>
  <c r="J48" i="26"/>
  <c r="B56" i="26" s="1"/>
  <c r="F61" i="26"/>
  <c r="B65" i="26" s="1"/>
  <c r="J61" i="26"/>
  <c r="B69" i="26" s="1"/>
  <c r="J63" i="26"/>
  <c r="H64" i="26"/>
  <c r="L64" i="26"/>
  <c r="F65" i="26"/>
  <c r="J65" i="26"/>
  <c r="W33" i="20" l="1"/>
  <c r="X120" i="20"/>
  <c r="X94" i="20"/>
  <c r="X101" i="20"/>
  <c r="X131" i="20"/>
  <c r="AA69" i="20"/>
  <c r="Q33" i="20"/>
  <c r="Q94" i="20" s="1"/>
  <c r="R33" i="20"/>
  <c r="R94" i="20" s="1"/>
  <c r="G52" i="26"/>
  <c r="G65" i="26" s="1"/>
  <c r="G78" i="26" s="1"/>
  <c r="X90" i="20"/>
  <c r="V71" i="20"/>
  <c r="Z72" i="20"/>
  <c r="R32" i="20"/>
  <c r="R93" i="20" s="1"/>
  <c r="Q32" i="20"/>
  <c r="Q93" i="20" s="1"/>
  <c r="P32" i="20"/>
  <c r="E76" i="26"/>
  <c r="P28" i="20" s="1"/>
  <c r="T28" i="20"/>
  <c r="G77" i="26"/>
  <c r="P49" i="20" s="1"/>
  <c r="AA49" i="20"/>
  <c r="W49" i="20"/>
  <c r="T49" i="20"/>
  <c r="S71" i="20"/>
  <c r="P132" i="20"/>
  <c r="AA71" i="20"/>
  <c r="X132" i="20"/>
  <c r="X124" i="20"/>
  <c r="AA63" i="20"/>
  <c r="R69" i="20"/>
  <c r="R130" i="20" s="1"/>
  <c r="Q69" i="20"/>
  <c r="Q130" i="20" s="1"/>
  <c r="P69" i="20"/>
  <c r="AA68" i="20"/>
  <c r="X129" i="20"/>
  <c r="AA129" i="20" s="1"/>
  <c r="T40" i="20"/>
  <c r="U40" i="20"/>
  <c r="U101" i="20" s="1"/>
  <c r="V40" i="20"/>
  <c r="V101" i="20" s="1"/>
  <c r="H77" i="26"/>
  <c r="V59" i="20"/>
  <c r="V120" i="20" s="1"/>
  <c r="T59" i="20"/>
  <c r="U59" i="20"/>
  <c r="U120" i="20" s="1"/>
  <c r="Y71" i="20"/>
  <c r="G63" i="26"/>
  <c r="X48" i="20"/>
  <c r="X109" i="20" s="1"/>
  <c r="AA109" i="20" s="1"/>
  <c r="Y48" i="20"/>
  <c r="Y109" i="20" s="1"/>
  <c r="Z48" i="20"/>
  <c r="Z109" i="20" s="1"/>
  <c r="AA60" i="20"/>
  <c r="X121" i="20"/>
  <c r="X38" i="20"/>
  <c r="Z38" i="20"/>
  <c r="Z99" i="20" s="1"/>
  <c r="Y38" i="20"/>
  <c r="Y99" i="20" s="1"/>
  <c r="Y60" i="20"/>
  <c r="Q71" i="20"/>
  <c r="T132" i="20"/>
  <c r="W71" i="20"/>
  <c r="I76" i="26"/>
  <c r="V68" i="20"/>
  <c r="V129" i="20" s="1"/>
  <c r="U68" i="20"/>
  <c r="U129" i="20" s="1"/>
  <c r="T68" i="20"/>
  <c r="X133" i="20"/>
  <c r="AA72" i="20"/>
  <c r="Y30" i="20"/>
  <c r="X91" i="20"/>
  <c r="AA30" i="20"/>
  <c r="Z30" i="20"/>
  <c r="Z63" i="20"/>
  <c r="W69" i="20"/>
  <c r="T130" i="20"/>
  <c r="W130" i="20" s="1"/>
  <c r="X22" i="20"/>
  <c r="Y22" i="20"/>
  <c r="Y83" i="20" s="1"/>
  <c r="Z22" i="20"/>
  <c r="Z83" i="20" s="1"/>
  <c r="Y63" i="20"/>
  <c r="Z89" i="20"/>
  <c r="AA89" i="20"/>
  <c r="V70" i="20"/>
  <c r="V131" i="20" s="1"/>
  <c r="U70" i="20"/>
  <c r="U131" i="20" s="1"/>
  <c r="T70" i="20"/>
  <c r="T103" i="20"/>
  <c r="W42" i="20"/>
  <c r="F80" i="26"/>
  <c r="P42" i="20" s="1"/>
  <c r="E79" i="26"/>
  <c r="P31" i="20" s="1"/>
  <c r="T31" i="20"/>
  <c r="X21" i="20"/>
  <c r="Z21" i="20"/>
  <c r="Z82" i="20" s="1"/>
  <c r="Y21" i="20"/>
  <c r="Y82" i="20" s="1"/>
  <c r="H76" i="26"/>
  <c r="V58" i="20"/>
  <c r="V119" i="20" s="1"/>
  <c r="U58" i="20"/>
  <c r="U119" i="20" s="1"/>
  <c r="T58" i="20"/>
  <c r="G38" i="26"/>
  <c r="J50" i="20"/>
  <c r="V42" i="20"/>
  <c r="X119" i="20"/>
  <c r="AA58" i="20"/>
  <c r="D25" i="26"/>
  <c r="D41" i="26" s="1"/>
  <c r="J68" i="20" s="1"/>
  <c r="D55" i="26"/>
  <c r="F63" i="26"/>
  <c r="H68" i="26"/>
  <c r="T63" i="20" s="1"/>
  <c r="D51" i="26"/>
  <c r="X19" i="20" s="1"/>
  <c r="D37" i="26"/>
  <c r="J28" i="20" s="1"/>
  <c r="E65" i="26"/>
  <c r="I40" i="26"/>
  <c r="J63" i="20" s="1"/>
  <c r="J72" i="20"/>
  <c r="D66" i="26"/>
  <c r="D22" i="26"/>
  <c r="D38" i="26" s="1"/>
  <c r="J38" i="20" s="1"/>
  <c r="D52" i="26"/>
  <c r="F21" i="26"/>
  <c r="F37" i="26" s="1"/>
  <c r="J30" i="20" s="1"/>
  <c r="F51" i="26"/>
  <c r="X39" i="20" s="1"/>
  <c r="F53" i="26"/>
  <c r="X41" i="20" s="1"/>
  <c r="F23" i="26"/>
  <c r="F39" i="26" s="1"/>
  <c r="H65" i="26"/>
  <c r="D67" i="26"/>
  <c r="D80" i="26" s="1"/>
  <c r="I67" i="26"/>
  <c r="Q52" i="20" l="1"/>
  <c r="V52" i="20"/>
  <c r="P52" i="20"/>
  <c r="U52" i="20"/>
  <c r="AA52" i="20"/>
  <c r="S52" i="20"/>
  <c r="Z52" i="20"/>
  <c r="W52" i="20"/>
  <c r="T52" i="20"/>
  <c r="Y52" i="20"/>
  <c r="X52" i="20"/>
  <c r="R52" i="20"/>
  <c r="W40" i="20"/>
  <c r="T101" i="20"/>
  <c r="W101" i="20" s="1"/>
  <c r="W132" i="20"/>
  <c r="V132" i="20"/>
  <c r="U132" i="20"/>
  <c r="AA39" i="20"/>
  <c r="X100" i="20"/>
  <c r="Y39" i="20"/>
  <c r="Z39" i="20"/>
  <c r="W58" i="20"/>
  <c r="T119" i="20"/>
  <c r="W119" i="20" s="1"/>
  <c r="AA22" i="20"/>
  <c r="X83" i="20"/>
  <c r="Z124" i="20"/>
  <c r="Y124" i="20"/>
  <c r="AA124" i="20" s="1"/>
  <c r="Z132" i="20"/>
  <c r="Y132" i="20"/>
  <c r="S132" i="20"/>
  <c r="Q132" i="20"/>
  <c r="R132" i="20"/>
  <c r="E78" i="26"/>
  <c r="P30" i="20" s="1"/>
  <c r="T30" i="20"/>
  <c r="X82" i="20"/>
  <c r="AA21" i="20"/>
  <c r="AA91" i="20"/>
  <c r="Z91" i="20"/>
  <c r="Y91" i="20"/>
  <c r="V48" i="20"/>
  <c r="V109" i="20" s="1"/>
  <c r="U48" i="20"/>
  <c r="U109" i="20" s="1"/>
  <c r="T48" i="20"/>
  <c r="T109" i="20" s="1"/>
  <c r="W109" i="20" s="1"/>
  <c r="AA48" i="20"/>
  <c r="W48" i="20"/>
  <c r="G76" i="26"/>
  <c r="U49" i="20"/>
  <c r="T110" i="20"/>
  <c r="V49" i="20"/>
  <c r="P22" i="20"/>
  <c r="Q22" i="20"/>
  <c r="Q83" i="20" s="1"/>
  <c r="R22" i="20"/>
  <c r="R83" i="20" s="1"/>
  <c r="H78" i="26"/>
  <c r="P60" i="20" s="1"/>
  <c r="T60" i="20"/>
  <c r="AA38" i="20"/>
  <c r="X99" i="20"/>
  <c r="AA99" i="20" s="1"/>
  <c r="R58" i="20"/>
  <c r="R119" i="20" s="1"/>
  <c r="Q58" i="20"/>
  <c r="Q119" i="20" s="1"/>
  <c r="P58" i="20"/>
  <c r="T92" i="20"/>
  <c r="W31" i="20"/>
  <c r="V31" i="20"/>
  <c r="U31" i="20"/>
  <c r="P92" i="20"/>
  <c r="R31" i="20"/>
  <c r="Q31" i="20"/>
  <c r="S31" i="20"/>
  <c r="S69" i="20"/>
  <c r="P130" i="20"/>
  <c r="S130" i="20" s="1"/>
  <c r="AA19" i="20"/>
  <c r="X80" i="20"/>
  <c r="Z19" i="20"/>
  <c r="Y19" i="20"/>
  <c r="AA41" i="20"/>
  <c r="X102" i="20"/>
  <c r="Y41" i="20"/>
  <c r="Z41" i="20"/>
  <c r="Z20" i="20"/>
  <c r="Z81" i="20" s="1"/>
  <c r="Y20" i="20"/>
  <c r="Y81" i="20" s="1"/>
  <c r="X20" i="20"/>
  <c r="Y121" i="20"/>
  <c r="AA121" i="20" s="1"/>
  <c r="Z121" i="20"/>
  <c r="D79" i="26"/>
  <c r="V21" i="20"/>
  <c r="V82" i="20" s="1"/>
  <c r="U21" i="20"/>
  <c r="U82" i="20" s="1"/>
  <c r="T21" i="20"/>
  <c r="P103" i="20"/>
  <c r="S42" i="20"/>
  <c r="Q42" i="20"/>
  <c r="R42" i="20"/>
  <c r="Z133" i="20"/>
  <c r="AA133" i="20"/>
  <c r="Y133" i="20"/>
  <c r="W59" i="20"/>
  <c r="T120" i="20"/>
  <c r="W120" i="20" s="1"/>
  <c r="P110" i="20"/>
  <c r="Q49" i="20"/>
  <c r="S49" i="20"/>
  <c r="R49" i="20"/>
  <c r="W63" i="20"/>
  <c r="T124" i="20"/>
  <c r="U63" i="20"/>
  <c r="V63" i="20"/>
  <c r="W68" i="20"/>
  <c r="T129" i="20"/>
  <c r="W129" i="20" s="1"/>
  <c r="T89" i="20"/>
  <c r="V28" i="20"/>
  <c r="W28" i="20"/>
  <c r="U28" i="20"/>
  <c r="H81" i="26"/>
  <c r="P63" i="20" s="1"/>
  <c r="V103" i="20"/>
  <c r="W103" i="20"/>
  <c r="U103" i="20"/>
  <c r="R59" i="20"/>
  <c r="R120" i="20" s="1"/>
  <c r="Q59" i="20"/>
  <c r="Q120" i="20" s="1"/>
  <c r="P59" i="20"/>
  <c r="R28" i="20"/>
  <c r="Q28" i="20"/>
  <c r="P89" i="20"/>
  <c r="S28" i="20"/>
  <c r="I80" i="26"/>
  <c r="P72" i="20" s="1"/>
  <c r="T72" i="20"/>
  <c r="F76" i="26"/>
  <c r="V38" i="20"/>
  <c r="V99" i="20" s="1"/>
  <c r="U38" i="20"/>
  <c r="U99" i="20" s="1"/>
  <c r="T38" i="20"/>
  <c r="W70" i="20"/>
  <c r="T131" i="20"/>
  <c r="W131" i="20" s="1"/>
  <c r="S32" i="20"/>
  <c r="P93" i="20"/>
  <c r="S93" i="20" s="1"/>
  <c r="V22" i="20"/>
  <c r="V83" i="20" s="1"/>
  <c r="T22" i="20"/>
  <c r="U22" i="20"/>
  <c r="U83" i="20" s="1"/>
  <c r="Z23" i="20"/>
  <c r="Z84" i="20" s="1"/>
  <c r="Y23" i="20"/>
  <c r="Y84" i="20" s="1"/>
  <c r="X23" i="20"/>
  <c r="R68" i="20"/>
  <c r="R129" i="20" s="1"/>
  <c r="Q68" i="20"/>
  <c r="Q129" i="20" s="1"/>
  <c r="P68" i="20"/>
  <c r="D64" i="26"/>
  <c r="F64" i="26"/>
  <c r="D65" i="26"/>
  <c r="D68" i="26"/>
  <c r="F66" i="26"/>
  <c r="S59" i="20" l="1"/>
  <c r="P120" i="20"/>
  <c r="S120" i="20" s="1"/>
  <c r="T91" i="20"/>
  <c r="V30" i="20"/>
  <c r="U30" i="20"/>
  <c r="W30" i="20"/>
  <c r="P121" i="20"/>
  <c r="S60" i="20"/>
  <c r="Q60" i="20"/>
  <c r="R60" i="20"/>
  <c r="S63" i="20"/>
  <c r="P124" i="20"/>
  <c r="Q63" i="20"/>
  <c r="R63" i="20"/>
  <c r="S22" i="20"/>
  <c r="P83" i="20"/>
  <c r="S83" i="20" s="1"/>
  <c r="U110" i="20"/>
  <c r="W110" i="20"/>
  <c r="V110" i="20"/>
  <c r="W38" i="20"/>
  <c r="T99" i="20"/>
  <c r="W99" i="20" s="1"/>
  <c r="T82" i="20"/>
  <c r="W82" i="20" s="1"/>
  <c r="W21" i="20"/>
  <c r="V50" i="20"/>
  <c r="W50" i="20"/>
  <c r="P50" i="20"/>
  <c r="X50" i="20"/>
  <c r="Y50" i="20"/>
  <c r="R48" i="20"/>
  <c r="R109" i="20" s="1"/>
  <c r="Z50" i="20"/>
  <c r="Q48" i="20"/>
  <c r="Q109" i="20" s="1"/>
  <c r="AA50" i="20"/>
  <c r="P48" i="20"/>
  <c r="Q50" i="20"/>
  <c r="S50" i="20"/>
  <c r="R50" i="20"/>
  <c r="T50" i="20"/>
  <c r="U50" i="20"/>
  <c r="Q92" i="20"/>
  <c r="S92" i="20"/>
  <c r="R92" i="20"/>
  <c r="P21" i="20"/>
  <c r="R21" i="20"/>
  <c r="R82" i="20" s="1"/>
  <c r="Q21" i="20"/>
  <c r="Q82" i="20" s="1"/>
  <c r="D78" i="26"/>
  <c r="T20" i="20"/>
  <c r="V20" i="20"/>
  <c r="V81" i="20" s="1"/>
  <c r="U20" i="20"/>
  <c r="U81" i="20" s="1"/>
  <c r="W72" i="20"/>
  <c r="T133" i="20"/>
  <c r="V72" i="20"/>
  <c r="U72" i="20"/>
  <c r="Q110" i="20"/>
  <c r="R110" i="20"/>
  <c r="S110" i="20"/>
  <c r="Y102" i="20"/>
  <c r="Z102" i="20"/>
  <c r="AA102" i="20"/>
  <c r="Q30" i="20"/>
  <c r="R30" i="20"/>
  <c r="S30" i="20"/>
  <c r="P91" i="20"/>
  <c r="R103" i="20"/>
  <c r="S103" i="20"/>
  <c r="Q103" i="20"/>
  <c r="D81" i="26"/>
  <c r="V23" i="20"/>
  <c r="V84" i="20" s="1"/>
  <c r="U23" i="20"/>
  <c r="U84" i="20" s="1"/>
  <c r="T23" i="20"/>
  <c r="R38" i="20"/>
  <c r="R99" i="20" s="1"/>
  <c r="Q38" i="20"/>
  <c r="Q99" i="20" s="1"/>
  <c r="P38" i="20"/>
  <c r="F77" i="26"/>
  <c r="P39" i="20" s="1"/>
  <c r="T39" i="20"/>
  <c r="P133" i="20"/>
  <c r="S72" i="20"/>
  <c r="R72" i="20"/>
  <c r="Q72" i="20"/>
  <c r="V124" i="20"/>
  <c r="W124" i="20"/>
  <c r="U124" i="20"/>
  <c r="D77" i="26"/>
  <c r="P19" i="20" s="1"/>
  <c r="T19" i="20"/>
  <c r="X81" i="20"/>
  <c r="AA20" i="20"/>
  <c r="U92" i="20"/>
  <c r="W92" i="20"/>
  <c r="V92" i="20"/>
  <c r="Z100" i="20"/>
  <c r="Y100" i="20"/>
  <c r="AA100" i="20"/>
  <c r="AA23" i="20"/>
  <c r="X84" i="20"/>
  <c r="T121" i="20"/>
  <c r="W60" i="20"/>
  <c r="U60" i="20"/>
  <c r="V60" i="20"/>
  <c r="W22" i="20"/>
  <c r="T83" i="20"/>
  <c r="W83" i="20" s="1"/>
  <c r="Y80" i="20"/>
  <c r="Z80" i="20"/>
  <c r="V89" i="20"/>
  <c r="W89" i="20"/>
  <c r="U89" i="20"/>
  <c r="F79" i="26"/>
  <c r="P41" i="20" s="1"/>
  <c r="T41" i="20"/>
  <c r="P129" i="20"/>
  <c r="S129" i="20" s="1"/>
  <c r="S68" i="20"/>
  <c r="R89" i="20"/>
  <c r="S89" i="20"/>
  <c r="Q89" i="20"/>
  <c r="P119" i="20"/>
  <c r="S119" i="20" s="1"/>
  <c r="S58" i="20"/>
  <c r="E122" i="14"/>
  <c r="F122" i="14"/>
  <c r="E123" i="14"/>
  <c r="F123" i="14"/>
  <c r="G123" i="14"/>
  <c r="E124" i="14"/>
  <c r="F124" i="14"/>
  <c r="G124" i="14"/>
  <c r="E125" i="14"/>
  <c r="F125" i="14"/>
  <c r="G125" i="14"/>
  <c r="E126" i="14"/>
  <c r="F126" i="14"/>
  <c r="E127" i="14"/>
  <c r="F127" i="14"/>
  <c r="E128" i="14"/>
  <c r="F128" i="14"/>
  <c r="G128" i="14"/>
  <c r="E129" i="14"/>
  <c r="F129" i="14"/>
  <c r="G129" i="14"/>
  <c r="E130" i="14"/>
  <c r="F130" i="14"/>
  <c r="G130" i="14"/>
  <c r="E131" i="14"/>
  <c r="F131" i="14"/>
  <c r="E132" i="14"/>
  <c r="F132" i="14"/>
  <c r="G132" i="14"/>
  <c r="E133" i="14"/>
  <c r="F133" i="14"/>
  <c r="G133" i="14"/>
  <c r="E134" i="14"/>
  <c r="F134" i="14"/>
  <c r="G134" i="14"/>
  <c r="E135" i="14"/>
  <c r="F135" i="14"/>
  <c r="G135" i="14"/>
  <c r="E78" i="14"/>
  <c r="F78" i="14"/>
  <c r="E79" i="14"/>
  <c r="F79" i="14"/>
  <c r="E80" i="14"/>
  <c r="F80" i="14"/>
  <c r="E81" i="14"/>
  <c r="F81" i="14"/>
  <c r="E82" i="14"/>
  <c r="F82" i="14"/>
  <c r="E83" i="14"/>
  <c r="F83" i="14"/>
  <c r="G83" i="14"/>
  <c r="E84" i="14"/>
  <c r="F84" i="14"/>
  <c r="G84" i="14"/>
  <c r="E85" i="14"/>
  <c r="F85" i="14"/>
  <c r="G85" i="14"/>
  <c r="E87" i="14"/>
  <c r="F87" i="14"/>
  <c r="E88" i="14"/>
  <c r="F88" i="14"/>
  <c r="G88" i="14"/>
  <c r="E89" i="14"/>
  <c r="F89" i="14"/>
  <c r="E90" i="14"/>
  <c r="F90" i="14"/>
  <c r="E91" i="14"/>
  <c r="F91" i="14"/>
  <c r="E92" i="14"/>
  <c r="F92" i="14"/>
  <c r="G92" i="14"/>
  <c r="E93" i="14"/>
  <c r="F93" i="14"/>
  <c r="G93" i="14"/>
  <c r="E94" i="14"/>
  <c r="F94" i="14"/>
  <c r="G94" i="14"/>
  <c r="E95" i="14"/>
  <c r="F95" i="14"/>
  <c r="G95" i="14"/>
  <c r="E96" i="14"/>
  <c r="F96" i="14"/>
  <c r="E97" i="14"/>
  <c r="F97" i="14"/>
  <c r="E98" i="14"/>
  <c r="F98" i="14"/>
  <c r="E99" i="14"/>
  <c r="F99" i="14"/>
  <c r="G99" i="14"/>
  <c r="E100" i="14"/>
  <c r="F100" i="14"/>
  <c r="E101" i="14"/>
  <c r="F101" i="14"/>
  <c r="E102" i="14"/>
  <c r="F102" i="14"/>
  <c r="G102" i="14"/>
  <c r="E103" i="14"/>
  <c r="F103" i="14"/>
  <c r="G103" i="14"/>
  <c r="E104" i="14"/>
  <c r="F104" i="14"/>
  <c r="G104" i="14"/>
  <c r="E105" i="14"/>
  <c r="F105" i="14"/>
  <c r="G105" i="14"/>
  <c r="E106" i="14"/>
  <c r="F106" i="14"/>
  <c r="E107" i="14"/>
  <c r="F107" i="14"/>
  <c r="E108" i="14"/>
  <c r="F108" i="14"/>
  <c r="E109" i="14"/>
  <c r="F109" i="14"/>
  <c r="E110" i="14"/>
  <c r="F110" i="14"/>
  <c r="G110" i="14"/>
  <c r="E111" i="14"/>
  <c r="F111" i="14"/>
  <c r="E112" i="14"/>
  <c r="F112" i="14"/>
  <c r="G112" i="14"/>
  <c r="E113" i="14"/>
  <c r="F113" i="14"/>
  <c r="G113" i="14"/>
  <c r="E114" i="14"/>
  <c r="F114" i="14"/>
  <c r="G114" i="14"/>
  <c r="E115" i="14"/>
  <c r="F115" i="14"/>
  <c r="G115" i="14"/>
  <c r="E116" i="14"/>
  <c r="F116" i="14"/>
  <c r="E117" i="14"/>
  <c r="F117" i="14"/>
  <c r="E118" i="14"/>
  <c r="F118" i="14"/>
  <c r="E119" i="14"/>
  <c r="F119" i="14"/>
  <c r="E120" i="14"/>
  <c r="F120" i="14"/>
  <c r="G120" i="14"/>
  <c r="E121" i="14"/>
  <c r="F121" i="14"/>
  <c r="G121" i="14"/>
  <c r="G77" i="14"/>
  <c r="F77" i="14"/>
  <c r="E77" i="14"/>
  <c r="F70" i="14"/>
  <c r="E70" i="14"/>
  <c r="F66" i="14"/>
  <c r="E66" i="14"/>
  <c r="G289" i="14"/>
  <c r="G290" i="14"/>
  <c r="U133" i="20" l="1"/>
  <c r="V133" i="20"/>
  <c r="W133" i="20"/>
  <c r="P99" i="20"/>
  <c r="S99" i="20" s="1"/>
  <c r="S38" i="20"/>
  <c r="S39" i="20"/>
  <c r="P100" i="20"/>
  <c r="Q39" i="20"/>
  <c r="R39" i="20"/>
  <c r="T84" i="20"/>
  <c r="W84" i="20" s="1"/>
  <c r="W23" i="20"/>
  <c r="S121" i="20"/>
  <c r="R121" i="20"/>
  <c r="Q121" i="20"/>
  <c r="Q133" i="20"/>
  <c r="R133" i="20"/>
  <c r="S133" i="20"/>
  <c r="R23" i="20"/>
  <c r="R84" i="20" s="1"/>
  <c r="Q23" i="20"/>
  <c r="Q84" i="20" s="1"/>
  <c r="P23" i="20"/>
  <c r="W20" i="20"/>
  <c r="T81" i="20"/>
  <c r="W81" i="20" s="1"/>
  <c r="S48" i="20"/>
  <c r="P109" i="20"/>
  <c r="S109" i="20" s="1"/>
  <c r="T102" i="20"/>
  <c r="W41" i="20"/>
  <c r="U41" i="20"/>
  <c r="V41" i="20"/>
  <c r="S41" i="20"/>
  <c r="P102" i="20"/>
  <c r="Q41" i="20"/>
  <c r="R41" i="20"/>
  <c r="R20" i="20"/>
  <c r="R81" i="20" s="1"/>
  <c r="Q20" i="20"/>
  <c r="Q81" i="20" s="1"/>
  <c r="P20" i="20"/>
  <c r="W121" i="20"/>
  <c r="U121" i="20"/>
  <c r="V121" i="20"/>
  <c r="R124" i="20"/>
  <c r="S124" i="20"/>
  <c r="Q124" i="20"/>
  <c r="W19" i="20"/>
  <c r="T80" i="20"/>
  <c r="U19" i="20"/>
  <c r="V19" i="20"/>
  <c r="V91" i="20"/>
  <c r="U91" i="20"/>
  <c r="W91" i="20"/>
  <c r="P80" i="20"/>
  <c r="S19" i="20"/>
  <c r="R19" i="20"/>
  <c r="Q19" i="20"/>
  <c r="Q91" i="20"/>
  <c r="S91" i="20"/>
  <c r="R91" i="20"/>
  <c r="P82" i="20"/>
  <c r="S82" i="20" s="1"/>
  <c r="S21" i="20"/>
  <c r="W39" i="20"/>
  <c r="T100" i="20"/>
  <c r="U39" i="20"/>
  <c r="V39" i="20"/>
  <c r="M179" i="24"/>
  <c r="N179" i="24" s="1"/>
  <c r="M173" i="24"/>
  <c r="N173" i="24" s="1"/>
  <c r="M167" i="24"/>
  <c r="N167" i="24" s="1"/>
  <c r="R37" i="22" s="1"/>
  <c r="M161" i="24"/>
  <c r="N161" i="24" s="1"/>
  <c r="M155" i="24"/>
  <c r="M149" i="24"/>
  <c r="N149" i="24" s="1"/>
  <c r="M143" i="24"/>
  <c r="M137" i="24"/>
  <c r="N137" i="24" s="1"/>
  <c r="M131" i="24"/>
  <c r="N131" i="24" s="1"/>
  <c r="P39" i="22"/>
  <c r="P37" i="22"/>
  <c r="L179" i="24"/>
  <c r="N39" i="22" s="1"/>
  <c r="L173" i="24"/>
  <c r="N38" i="22" s="1"/>
  <c r="L167" i="24"/>
  <c r="N37" i="22" s="1"/>
  <c r="L161" i="24"/>
  <c r="N36" i="22" s="1"/>
  <c r="L155" i="24"/>
  <c r="N35" i="22" s="1"/>
  <c r="L149" i="24"/>
  <c r="N34" i="22" s="1"/>
  <c r="L143" i="24"/>
  <c r="N33" i="22" s="1"/>
  <c r="L137" i="24"/>
  <c r="N32" i="22" s="1"/>
  <c r="L131" i="24"/>
  <c r="N31" i="22" s="1"/>
  <c r="K179" i="24"/>
  <c r="L39" i="22" s="1"/>
  <c r="K173" i="24"/>
  <c r="L38" i="22" s="1"/>
  <c r="K167" i="24"/>
  <c r="L37" i="22" s="1"/>
  <c r="K161" i="24"/>
  <c r="L36" i="22" s="1"/>
  <c r="K155" i="24"/>
  <c r="L35" i="22" s="1"/>
  <c r="K149" i="24"/>
  <c r="L34" i="22" s="1"/>
  <c r="K143" i="24"/>
  <c r="L33" i="22" s="1"/>
  <c r="K137" i="24"/>
  <c r="L32" i="22" s="1"/>
  <c r="K131" i="24"/>
  <c r="L31" i="22" s="1"/>
  <c r="J179" i="24"/>
  <c r="J39" i="22" s="1"/>
  <c r="J173" i="24"/>
  <c r="J38" i="22" s="1"/>
  <c r="J167" i="24"/>
  <c r="J37" i="22" s="1"/>
  <c r="J161" i="24"/>
  <c r="J36" i="22" s="1"/>
  <c r="J155" i="24"/>
  <c r="J35" i="22" s="1"/>
  <c r="J149" i="24"/>
  <c r="J34" i="22" s="1"/>
  <c r="J143" i="24"/>
  <c r="J33" i="22" s="1"/>
  <c r="J137" i="24"/>
  <c r="J32" i="22" s="1"/>
  <c r="J131" i="24"/>
  <c r="J31" i="22" s="1"/>
  <c r="I179" i="24"/>
  <c r="H39" i="22" s="1"/>
  <c r="I173" i="24"/>
  <c r="H38" i="22" s="1"/>
  <c r="I167" i="24"/>
  <c r="H37" i="22" s="1"/>
  <c r="I161" i="24"/>
  <c r="H36" i="22" s="1"/>
  <c r="I155" i="24"/>
  <c r="H35" i="22" s="1"/>
  <c r="I149" i="24"/>
  <c r="H34" i="22" s="1"/>
  <c r="I143" i="24"/>
  <c r="H33" i="22" s="1"/>
  <c r="I137" i="24"/>
  <c r="H32" i="22" s="1"/>
  <c r="I131" i="24"/>
  <c r="H31" i="22" s="1"/>
  <c r="H23" i="22"/>
  <c r="H179" i="24"/>
  <c r="G179" i="24" s="1"/>
  <c r="H173" i="24"/>
  <c r="H167" i="24"/>
  <c r="G167" i="24" s="1"/>
  <c r="H161" i="24"/>
  <c r="H155" i="24"/>
  <c r="G155" i="24" s="1"/>
  <c r="H149" i="24"/>
  <c r="G149" i="24" s="1"/>
  <c r="H143" i="24"/>
  <c r="G143" i="24" s="1"/>
  <c r="H137" i="24"/>
  <c r="H131" i="24"/>
  <c r="G131" i="24" s="1"/>
  <c r="G173" i="24"/>
  <c r="G161" i="24"/>
  <c r="X23" i="22"/>
  <c r="Z23" i="22" s="1"/>
  <c r="W23" i="22"/>
  <c r="Y23" i="22" s="1"/>
  <c r="V23" i="22"/>
  <c r="U23" i="22"/>
  <c r="T23" i="22"/>
  <c r="S23" i="22"/>
  <c r="R23" i="22"/>
  <c r="Q23" i="22"/>
  <c r="P23" i="22"/>
  <c r="O23" i="22"/>
  <c r="N23" i="22"/>
  <c r="M23" i="22"/>
  <c r="L23" i="22"/>
  <c r="K23" i="22"/>
  <c r="J23" i="22"/>
  <c r="I23" i="22"/>
  <c r="I22" i="22"/>
  <c r="H22" i="22"/>
  <c r="X22" i="22"/>
  <c r="Z22" i="22" s="1"/>
  <c r="W22" i="22"/>
  <c r="Y22" i="22" s="1"/>
  <c r="V22" i="22"/>
  <c r="U22" i="22"/>
  <c r="T22" i="22"/>
  <c r="S22" i="22"/>
  <c r="R22" i="22"/>
  <c r="Q22" i="22"/>
  <c r="P22" i="22"/>
  <c r="O22" i="22"/>
  <c r="N22" i="22"/>
  <c r="M22" i="22"/>
  <c r="L22" i="22"/>
  <c r="K22" i="22"/>
  <c r="J22" i="22"/>
  <c r="J46" i="24"/>
  <c r="J76" i="24" s="1"/>
  <c r="X52" i="24"/>
  <c r="K46" i="24"/>
  <c r="Y46" i="24" s="1"/>
  <c r="L46" i="24"/>
  <c r="Z46" i="24" s="1"/>
  <c r="M46" i="24"/>
  <c r="AA46" i="24" s="1"/>
  <c r="N46" i="24"/>
  <c r="AB46" i="24" s="1"/>
  <c r="D103" i="24"/>
  <c r="D118" i="24"/>
  <c r="E118" i="24" s="1"/>
  <c r="K20" i="22"/>
  <c r="J20" i="22"/>
  <c r="X20" i="22"/>
  <c r="Z20" i="22" s="1"/>
  <c r="W20" i="22"/>
  <c r="Y20" i="22" s="1"/>
  <c r="V20" i="22"/>
  <c r="U20" i="22"/>
  <c r="T20" i="22"/>
  <c r="S20" i="22"/>
  <c r="R20" i="22"/>
  <c r="Q20" i="22"/>
  <c r="P20" i="22"/>
  <c r="O20" i="22"/>
  <c r="N20" i="22"/>
  <c r="M20" i="22"/>
  <c r="L20" i="22"/>
  <c r="L19" i="22"/>
  <c r="K19" i="22"/>
  <c r="X19" i="22"/>
  <c r="Z19" i="22" s="1"/>
  <c r="W19" i="22"/>
  <c r="Y19" i="22" s="1"/>
  <c r="V19" i="22"/>
  <c r="U19" i="22"/>
  <c r="T19" i="22"/>
  <c r="S19" i="22"/>
  <c r="R19" i="22"/>
  <c r="Q19" i="22"/>
  <c r="P19" i="22"/>
  <c r="O19" i="22"/>
  <c r="N19" i="22"/>
  <c r="M19" i="22"/>
  <c r="D115" i="24"/>
  <c r="J45" i="24"/>
  <c r="K45" i="24"/>
  <c r="K60" i="24" s="1"/>
  <c r="Y52" i="24"/>
  <c r="L45" i="24"/>
  <c r="Z45" i="24" s="1"/>
  <c r="M45" i="24"/>
  <c r="AA45" i="24" s="1"/>
  <c r="N45" i="24"/>
  <c r="AB45" i="24" s="1"/>
  <c r="N17" i="22"/>
  <c r="M17" i="22"/>
  <c r="X17" i="22"/>
  <c r="Z17" i="22" s="1"/>
  <c r="W17" i="22"/>
  <c r="Y17" i="22" s="1"/>
  <c r="V17" i="22"/>
  <c r="U17" i="22"/>
  <c r="T17" i="22"/>
  <c r="S17" i="22"/>
  <c r="R17" i="22"/>
  <c r="Q17" i="22"/>
  <c r="P17" i="22"/>
  <c r="O17" i="22"/>
  <c r="O16" i="22"/>
  <c r="N16" i="22"/>
  <c r="X16" i="22"/>
  <c r="Z16" i="22" s="1"/>
  <c r="W16" i="22"/>
  <c r="Y16" i="22" s="1"/>
  <c r="V16" i="22"/>
  <c r="U16" i="22"/>
  <c r="T16" i="22"/>
  <c r="S16" i="22"/>
  <c r="R16" i="22"/>
  <c r="Q16" i="22"/>
  <c r="P16" i="22"/>
  <c r="J44" i="24"/>
  <c r="X44" i="24" s="1"/>
  <c r="K44" i="24"/>
  <c r="L44" i="24"/>
  <c r="L59" i="24" s="1"/>
  <c r="Z52" i="24"/>
  <c r="M44" i="24"/>
  <c r="M59" i="24" s="1"/>
  <c r="AA52" i="24"/>
  <c r="N44" i="24"/>
  <c r="AB44" i="24" s="1"/>
  <c r="D112" i="24"/>
  <c r="E112" i="24" s="1"/>
  <c r="F112" i="24" s="1"/>
  <c r="Q14" i="22"/>
  <c r="P14" i="22"/>
  <c r="X14" i="22"/>
  <c r="Z14" i="22" s="1"/>
  <c r="W14" i="22"/>
  <c r="Y14" i="22" s="1"/>
  <c r="V14" i="22"/>
  <c r="U14" i="22"/>
  <c r="T14" i="22"/>
  <c r="S14" i="22"/>
  <c r="R14" i="22"/>
  <c r="R13" i="22"/>
  <c r="Q13" i="22"/>
  <c r="X13" i="22"/>
  <c r="Z13" i="22" s="1"/>
  <c r="W13" i="22"/>
  <c r="Y13" i="22" s="1"/>
  <c r="V13" i="22"/>
  <c r="U13" i="22"/>
  <c r="T13" i="22"/>
  <c r="S13" i="22"/>
  <c r="D109" i="24"/>
  <c r="J43" i="24"/>
  <c r="X43" i="24" s="1"/>
  <c r="K43" i="24"/>
  <c r="Y43" i="24" s="1"/>
  <c r="L43" i="24"/>
  <c r="Z43" i="24" s="1"/>
  <c r="M43" i="24"/>
  <c r="M58" i="24" s="1"/>
  <c r="N43" i="24"/>
  <c r="AB43" i="24" s="1"/>
  <c r="T11" i="22"/>
  <c r="S11" i="22"/>
  <c r="X11" i="22"/>
  <c r="Z11" i="22" s="1"/>
  <c r="W11" i="22"/>
  <c r="Y11" i="22" s="1"/>
  <c r="V11" i="22"/>
  <c r="U11" i="22"/>
  <c r="U10" i="22"/>
  <c r="T10" i="22"/>
  <c r="X10" i="22"/>
  <c r="Z10" i="22" s="1"/>
  <c r="W10" i="22"/>
  <c r="Y10" i="22" s="1"/>
  <c r="D106" i="24"/>
  <c r="E106" i="24" s="1"/>
  <c r="V10" i="22"/>
  <c r="J42" i="24"/>
  <c r="X42" i="24" s="1"/>
  <c r="K42" i="24"/>
  <c r="Y42" i="24" s="1"/>
  <c r="L42" i="24"/>
  <c r="Z42" i="24" s="1"/>
  <c r="M42" i="24"/>
  <c r="AA42" i="24" s="1"/>
  <c r="N42" i="24"/>
  <c r="N72" i="24" s="1"/>
  <c r="AB52" i="24"/>
  <c r="X8" i="22"/>
  <c r="Z8" i="22" s="1"/>
  <c r="W8" i="22"/>
  <c r="Y8" i="22" s="1"/>
  <c r="V8" i="22"/>
  <c r="W7" i="22"/>
  <c r="Y7" i="22" s="1"/>
  <c r="X7" i="22"/>
  <c r="Z7" i="22" s="1"/>
  <c r="J41" i="24"/>
  <c r="X41" i="24" s="1"/>
  <c r="K41" i="24"/>
  <c r="Y41" i="24" s="1"/>
  <c r="L41" i="24"/>
  <c r="Z41" i="24" s="1"/>
  <c r="M41" i="24"/>
  <c r="AA41" i="24" s="1"/>
  <c r="N41" i="24"/>
  <c r="N56" i="24" s="1"/>
  <c r="N86" i="24" s="1"/>
  <c r="L16" i="21" s="1"/>
  <c r="N16" i="21" s="1"/>
  <c r="G23" i="22"/>
  <c r="E103" i="24"/>
  <c r="F103" i="24" s="1"/>
  <c r="V7" i="22"/>
  <c r="U8" i="22"/>
  <c r="U7" i="22"/>
  <c r="T8" i="22"/>
  <c r="T7" i="22"/>
  <c r="S10" i="22"/>
  <c r="S8" i="22"/>
  <c r="S7" i="22"/>
  <c r="R11" i="22"/>
  <c r="R10" i="22"/>
  <c r="R8" i="22"/>
  <c r="R7" i="22"/>
  <c r="Q11" i="22"/>
  <c r="Q10" i="22"/>
  <c r="Q8" i="22"/>
  <c r="Q7" i="22"/>
  <c r="P13" i="22"/>
  <c r="P11" i="22"/>
  <c r="P10" i="22"/>
  <c r="P8" i="22"/>
  <c r="P7" i="22"/>
  <c r="O14" i="22"/>
  <c r="O13" i="22"/>
  <c r="O11" i="22"/>
  <c r="O10" i="22"/>
  <c r="O8" i="22"/>
  <c r="O7" i="22"/>
  <c r="N14" i="22"/>
  <c r="N13" i="22"/>
  <c r="N11" i="22"/>
  <c r="N10" i="22"/>
  <c r="N8" i="22"/>
  <c r="N7" i="22"/>
  <c r="M16" i="22"/>
  <c r="M14" i="22"/>
  <c r="M13" i="22"/>
  <c r="M11" i="22"/>
  <c r="M10" i="22"/>
  <c r="M8" i="22"/>
  <c r="M7" i="22"/>
  <c r="L17" i="22"/>
  <c r="L16" i="22"/>
  <c r="L14" i="22"/>
  <c r="L13" i="22"/>
  <c r="L11" i="22"/>
  <c r="L10" i="22"/>
  <c r="L8" i="22"/>
  <c r="L7" i="22"/>
  <c r="K17" i="22"/>
  <c r="K16" i="22"/>
  <c r="K14" i="22"/>
  <c r="K13" i="22"/>
  <c r="K11" i="22"/>
  <c r="K10" i="22"/>
  <c r="K8" i="22"/>
  <c r="K7" i="22"/>
  <c r="J19" i="22"/>
  <c r="J17" i="22"/>
  <c r="J16" i="22"/>
  <c r="J14" i="22"/>
  <c r="J13" i="22"/>
  <c r="J11" i="22"/>
  <c r="J10" i="22"/>
  <c r="J8" i="22"/>
  <c r="J7" i="22"/>
  <c r="I20" i="22"/>
  <c r="I19" i="22"/>
  <c r="I17" i="22"/>
  <c r="I16" i="22"/>
  <c r="I14" i="22"/>
  <c r="I13" i="22"/>
  <c r="I11" i="22"/>
  <c r="I10" i="22"/>
  <c r="I8" i="22"/>
  <c r="I7" i="22"/>
  <c r="H20" i="22"/>
  <c r="H19" i="22"/>
  <c r="H17" i="22"/>
  <c r="H16" i="22"/>
  <c r="H14" i="22"/>
  <c r="H13" i="22"/>
  <c r="H11" i="22"/>
  <c r="H10" i="22"/>
  <c r="H8" i="22"/>
  <c r="H7" i="22"/>
  <c r="G22" i="22"/>
  <c r="G20" i="22"/>
  <c r="G19" i="22"/>
  <c r="G17" i="22"/>
  <c r="G16" i="22"/>
  <c r="G14" i="22"/>
  <c r="G13" i="22"/>
  <c r="G11" i="22"/>
  <c r="G10" i="22"/>
  <c r="G8" i="22"/>
  <c r="G7" i="22"/>
  <c r="J61" i="24"/>
  <c r="J60" i="24"/>
  <c r="K59" i="24"/>
  <c r="T19" i="21" s="1"/>
  <c r="U19" i="21" s="1"/>
  <c r="J75" i="24"/>
  <c r="P22" i="21" s="1"/>
  <c r="R22" i="21" s="1"/>
  <c r="M74" i="24"/>
  <c r="N71" i="24"/>
  <c r="P16" i="21" s="1"/>
  <c r="Q16" i="21" s="1"/>
  <c r="A38" i="22"/>
  <c r="C23" i="22"/>
  <c r="C191" i="14"/>
  <c r="B23" i="22" s="1"/>
  <c r="A23" i="22"/>
  <c r="C22" i="22"/>
  <c r="C190" i="14"/>
  <c r="B22" i="22" s="1"/>
  <c r="A22" i="22"/>
  <c r="C21" i="22"/>
  <c r="C189" i="14"/>
  <c r="B21" i="22" s="1"/>
  <c r="C20" i="22"/>
  <c r="C188" i="14"/>
  <c r="B20" i="22" s="1"/>
  <c r="A20" i="22"/>
  <c r="C19" i="22"/>
  <c r="C187" i="14"/>
  <c r="B19" i="22" s="1"/>
  <c r="A19" i="22"/>
  <c r="C18" i="22"/>
  <c r="C186" i="14"/>
  <c r="B18" i="22" s="1"/>
  <c r="C17" i="22"/>
  <c r="C185" i="14"/>
  <c r="B17" i="22" s="1"/>
  <c r="A17" i="22"/>
  <c r="C16" i="22"/>
  <c r="C184" i="14"/>
  <c r="B16" i="22" s="1"/>
  <c r="A16" i="22"/>
  <c r="C15" i="22"/>
  <c r="C183" i="14"/>
  <c r="B15" i="22" s="1"/>
  <c r="C14" i="22"/>
  <c r="C182" i="14"/>
  <c r="B14" i="22" s="1"/>
  <c r="A14" i="22"/>
  <c r="C13" i="22"/>
  <c r="C181" i="14"/>
  <c r="B13" i="22" s="1"/>
  <c r="A13" i="22"/>
  <c r="C12" i="22"/>
  <c r="C180" i="14"/>
  <c r="B12" i="22" s="1"/>
  <c r="C11" i="22"/>
  <c r="C179" i="14"/>
  <c r="B11" i="22" s="1"/>
  <c r="A11" i="22"/>
  <c r="C10" i="22"/>
  <c r="C178" i="14"/>
  <c r="B10" i="22" s="1"/>
  <c r="A10" i="22"/>
  <c r="C9" i="22"/>
  <c r="C177" i="14"/>
  <c r="B9" i="22" s="1"/>
  <c r="C8" i="22"/>
  <c r="C176" i="14"/>
  <c r="B8" i="22" s="1"/>
  <c r="A8" i="22"/>
  <c r="C7" i="22"/>
  <c r="C175" i="14"/>
  <c r="B7" i="22" s="1"/>
  <c r="A7" i="22"/>
  <c r="C6" i="22"/>
  <c r="C174" i="14"/>
  <c r="B6" i="22" s="1"/>
  <c r="C24" i="21"/>
  <c r="C172" i="14"/>
  <c r="A24" i="21"/>
  <c r="J24" i="21" s="1"/>
  <c r="C23" i="21"/>
  <c r="C171" i="14"/>
  <c r="A23" i="21"/>
  <c r="J23" i="21" s="1"/>
  <c r="C22" i="21"/>
  <c r="C170" i="14"/>
  <c r="A22" i="21"/>
  <c r="J22" i="21" s="1"/>
  <c r="C21" i="21"/>
  <c r="C169" i="14"/>
  <c r="A21" i="21"/>
  <c r="J21" i="21" s="1"/>
  <c r="C20" i="21"/>
  <c r="C168" i="14"/>
  <c r="A20" i="21"/>
  <c r="J20" i="21" s="1"/>
  <c r="C19" i="21"/>
  <c r="C167" i="14"/>
  <c r="A19" i="21"/>
  <c r="J19" i="21" s="1"/>
  <c r="C18" i="21"/>
  <c r="C166" i="14"/>
  <c r="A18" i="21"/>
  <c r="J18" i="21" s="1"/>
  <c r="C17" i="21"/>
  <c r="C165" i="14"/>
  <c r="A17" i="21"/>
  <c r="J17" i="21" s="1"/>
  <c r="C16" i="21"/>
  <c r="C164" i="14"/>
  <c r="C14" i="21"/>
  <c r="C162" i="14"/>
  <c r="A14" i="21"/>
  <c r="C161" i="14"/>
  <c r="A13" i="21"/>
  <c r="C12" i="21"/>
  <c r="C160" i="14"/>
  <c r="A12" i="21"/>
  <c r="C11" i="21"/>
  <c r="C159" i="14"/>
  <c r="C10" i="21"/>
  <c r="C158" i="14"/>
  <c r="A10" i="21"/>
  <c r="C157" i="14"/>
  <c r="A9" i="21"/>
  <c r="C8" i="21"/>
  <c r="C156" i="14"/>
  <c r="A8" i="21"/>
  <c r="C7" i="21"/>
  <c r="C155" i="14"/>
  <c r="C6" i="21"/>
  <c r="C154" i="14"/>
  <c r="A6" i="21"/>
  <c r="C350" i="14"/>
  <c r="C349" i="14"/>
  <c r="C348" i="14"/>
  <c r="C347" i="14"/>
  <c r="C346" i="14"/>
  <c r="C345" i="14"/>
  <c r="C344" i="14"/>
  <c r="C343" i="14"/>
  <c r="C342" i="14"/>
  <c r="C340" i="14"/>
  <c r="C339" i="14"/>
  <c r="C338" i="14"/>
  <c r="C337" i="14"/>
  <c r="C336" i="14"/>
  <c r="C335" i="14"/>
  <c r="C334" i="14"/>
  <c r="C333" i="14"/>
  <c r="C332" i="14"/>
  <c r="D24" i="11"/>
  <c r="C24" i="11"/>
  <c r="E21" i="22" s="1"/>
  <c r="D23" i="11"/>
  <c r="C23" i="11"/>
  <c r="D22" i="11"/>
  <c r="C22" i="11"/>
  <c r="E17" i="22" s="1"/>
  <c r="D21" i="11"/>
  <c r="C21" i="11"/>
  <c r="E12" i="22" s="1"/>
  <c r="D20" i="11"/>
  <c r="C20" i="11"/>
  <c r="E9" i="22" s="1"/>
  <c r="D19" i="11"/>
  <c r="C19" i="11"/>
  <c r="E8" i="22" s="1"/>
  <c r="J18" i="20"/>
  <c r="D135" i="14"/>
  <c r="C137" i="20" s="1"/>
  <c r="C135" i="14"/>
  <c r="B137" i="20" s="1"/>
  <c r="D137" i="20" s="1"/>
  <c r="A137" i="20"/>
  <c r="D134" i="14"/>
  <c r="C136" i="20" s="1"/>
  <c r="C134" i="14"/>
  <c r="B136" i="20" s="1"/>
  <c r="D136" i="20" s="1"/>
  <c r="A136" i="20"/>
  <c r="D133" i="14"/>
  <c r="C135" i="20" s="1"/>
  <c r="C133" i="14"/>
  <c r="B135" i="20" s="1"/>
  <c r="D135" i="20" s="1"/>
  <c r="A135" i="20"/>
  <c r="D132" i="14"/>
  <c r="C134" i="20" s="1"/>
  <c r="C132" i="14"/>
  <c r="B134" i="20" s="1"/>
  <c r="D134" i="20" s="1"/>
  <c r="A134" i="20"/>
  <c r="C133" i="20"/>
  <c r="C131" i="14"/>
  <c r="B133" i="20" s="1"/>
  <c r="D133" i="20" s="1"/>
  <c r="A133" i="20"/>
  <c r="D130" i="14"/>
  <c r="C132" i="20" s="1"/>
  <c r="C130" i="14"/>
  <c r="B132" i="20" s="1"/>
  <c r="D132" i="20" s="1"/>
  <c r="D129" i="14"/>
  <c r="C131" i="20" s="1"/>
  <c r="C129" i="14"/>
  <c r="B131" i="20" s="1"/>
  <c r="D131" i="20" s="1"/>
  <c r="A131" i="20"/>
  <c r="D128" i="14"/>
  <c r="C130" i="20" s="1"/>
  <c r="C128" i="14"/>
  <c r="B130" i="20" s="1"/>
  <c r="D130" i="20" s="1"/>
  <c r="A130" i="20"/>
  <c r="D127" i="14"/>
  <c r="C129" i="20" s="1"/>
  <c r="C127" i="14"/>
  <c r="B129" i="20" s="1"/>
  <c r="D129" i="20" s="1"/>
  <c r="A129" i="20"/>
  <c r="D125" i="14"/>
  <c r="C127" i="20" s="1"/>
  <c r="C125" i="14"/>
  <c r="B127" i="20" s="1"/>
  <c r="D127" i="20" s="1"/>
  <c r="D124" i="14"/>
  <c r="C126" i="20" s="1"/>
  <c r="C124" i="14"/>
  <c r="B126" i="20" s="1"/>
  <c r="D126" i="20" s="1"/>
  <c r="A126" i="20"/>
  <c r="D123" i="14"/>
  <c r="C125" i="20" s="1"/>
  <c r="C123" i="14"/>
  <c r="B125" i="20" s="1"/>
  <c r="D125" i="20" s="1"/>
  <c r="A125" i="20"/>
  <c r="D122" i="14"/>
  <c r="C124" i="20" s="1"/>
  <c r="C122" i="14"/>
  <c r="B124" i="20" s="1"/>
  <c r="D124" i="20" s="1"/>
  <c r="A124" i="20"/>
  <c r="D121" i="14"/>
  <c r="C123" i="20" s="1"/>
  <c r="C121" i="14"/>
  <c r="B123" i="20" s="1"/>
  <c r="D123" i="20" s="1"/>
  <c r="D120" i="14"/>
  <c r="C122" i="20" s="1"/>
  <c r="C120" i="14"/>
  <c r="B122" i="20" s="1"/>
  <c r="D122" i="20" s="1"/>
  <c r="A122" i="20"/>
  <c r="D119" i="14"/>
  <c r="C121" i="20" s="1"/>
  <c r="C119" i="14"/>
  <c r="B121" i="20" s="1"/>
  <c r="D121" i="20" s="1"/>
  <c r="A121" i="20"/>
  <c r="D118" i="14"/>
  <c r="C120" i="20" s="1"/>
  <c r="C118" i="14"/>
  <c r="B120" i="20" s="1"/>
  <c r="D120" i="20" s="1"/>
  <c r="A120" i="20"/>
  <c r="D117" i="14"/>
  <c r="C119" i="20" s="1"/>
  <c r="C117" i="14"/>
  <c r="B119" i="20" s="1"/>
  <c r="D119" i="20" s="1"/>
  <c r="D115" i="14"/>
  <c r="C117" i="20" s="1"/>
  <c r="C115" i="14"/>
  <c r="B117" i="20" s="1"/>
  <c r="D117" i="20" s="1"/>
  <c r="A117" i="20"/>
  <c r="D114" i="14"/>
  <c r="C116" i="20" s="1"/>
  <c r="C114" i="14"/>
  <c r="B116" i="20" s="1"/>
  <c r="D116" i="20" s="1"/>
  <c r="A116" i="20"/>
  <c r="D113" i="14"/>
  <c r="C115" i="20" s="1"/>
  <c r="C113" i="14"/>
  <c r="B115" i="20" s="1"/>
  <c r="D115" i="20" s="1"/>
  <c r="A115" i="20"/>
  <c r="D112" i="14"/>
  <c r="C114" i="20" s="1"/>
  <c r="C112" i="14"/>
  <c r="B114" i="20" s="1"/>
  <c r="D114" i="20" s="1"/>
  <c r="D111" i="14"/>
  <c r="C113" i="20" s="1"/>
  <c r="C111" i="14"/>
  <c r="B113" i="20" s="1"/>
  <c r="D113" i="20" s="1"/>
  <c r="A113" i="20"/>
  <c r="D110" i="14"/>
  <c r="C112" i="20" s="1"/>
  <c r="C110" i="14"/>
  <c r="B112" i="20" s="1"/>
  <c r="D112" i="20" s="1"/>
  <c r="A112" i="20"/>
  <c r="D109" i="14"/>
  <c r="C111" i="20" s="1"/>
  <c r="C109" i="14"/>
  <c r="B111" i="20" s="1"/>
  <c r="D111" i="20" s="1"/>
  <c r="A111" i="20"/>
  <c r="D108" i="14"/>
  <c r="C110" i="20" s="1"/>
  <c r="C108" i="14"/>
  <c r="B110" i="20" s="1"/>
  <c r="D110" i="20" s="1"/>
  <c r="D107" i="14"/>
  <c r="C109" i="20" s="1"/>
  <c r="C107" i="14"/>
  <c r="B109" i="20" s="1"/>
  <c r="D109" i="20" s="1"/>
  <c r="A109" i="20"/>
  <c r="D105" i="14"/>
  <c r="C107" i="20" s="1"/>
  <c r="C105" i="14"/>
  <c r="B107" i="20" s="1"/>
  <c r="D107" i="20" s="1"/>
  <c r="A107" i="20"/>
  <c r="D104" i="14"/>
  <c r="C106" i="20" s="1"/>
  <c r="C104" i="14"/>
  <c r="B106" i="20" s="1"/>
  <c r="D106" i="20" s="1"/>
  <c r="A106" i="20"/>
  <c r="D103" i="14"/>
  <c r="C105" i="20" s="1"/>
  <c r="C103" i="14"/>
  <c r="B105" i="20" s="1"/>
  <c r="D105" i="20" s="1"/>
  <c r="D102" i="14"/>
  <c r="C104" i="20" s="1"/>
  <c r="C102" i="14"/>
  <c r="B104" i="20" s="1"/>
  <c r="D104" i="20" s="1"/>
  <c r="A104" i="20"/>
  <c r="D101" i="14"/>
  <c r="C103" i="20" s="1"/>
  <c r="C101" i="14"/>
  <c r="B103" i="20" s="1"/>
  <c r="D103" i="20" s="1"/>
  <c r="A103" i="20"/>
  <c r="D100" i="14"/>
  <c r="C102" i="20" s="1"/>
  <c r="C100" i="14"/>
  <c r="B102" i="20" s="1"/>
  <c r="D102" i="20" s="1"/>
  <c r="A102" i="20"/>
  <c r="D99" i="14"/>
  <c r="C101" i="20" s="1"/>
  <c r="C99" i="14"/>
  <c r="B101" i="20" s="1"/>
  <c r="D101" i="20" s="1"/>
  <c r="A101" i="20"/>
  <c r="D98" i="14"/>
  <c r="C100" i="20" s="1"/>
  <c r="C98" i="14"/>
  <c r="B100" i="20" s="1"/>
  <c r="D100" i="20" s="1"/>
  <c r="A100" i="20"/>
  <c r="D97" i="14"/>
  <c r="C99" i="20" s="1"/>
  <c r="C97" i="14"/>
  <c r="B99" i="20" s="1"/>
  <c r="D99" i="20" s="1"/>
  <c r="A99" i="20"/>
  <c r="D95" i="14"/>
  <c r="C97" i="20" s="1"/>
  <c r="C95" i="14"/>
  <c r="B97" i="20" s="1"/>
  <c r="D97" i="20" s="1"/>
  <c r="A97" i="20"/>
  <c r="D94" i="14"/>
  <c r="C96" i="20" s="1"/>
  <c r="C94" i="14"/>
  <c r="B96" i="20" s="1"/>
  <c r="D96" i="20" s="1"/>
  <c r="D93" i="14"/>
  <c r="C95" i="20" s="1"/>
  <c r="C93" i="14"/>
  <c r="B95" i="20" s="1"/>
  <c r="D95" i="20" s="1"/>
  <c r="A95" i="20"/>
  <c r="D92" i="14"/>
  <c r="C94" i="20" s="1"/>
  <c r="C92" i="14"/>
  <c r="B94" i="20" s="1"/>
  <c r="D94" i="20" s="1"/>
  <c r="A94" i="20"/>
  <c r="D91" i="14"/>
  <c r="C93" i="20" s="1"/>
  <c r="C91" i="14"/>
  <c r="B93" i="20" s="1"/>
  <c r="D93" i="20" s="1"/>
  <c r="A93" i="20"/>
  <c r="D90" i="14"/>
  <c r="C92" i="20" s="1"/>
  <c r="C90" i="14"/>
  <c r="B92" i="20" s="1"/>
  <c r="D92" i="20" s="1"/>
  <c r="D89" i="14"/>
  <c r="C91" i="20" s="1"/>
  <c r="C89" i="14"/>
  <c r="B91" i="20" s="1"/>
  <c r="D91" i="20" s="1"/>
  <c r="A91" i="20"/>
  <c r="D88" i="14"/>
  <c r="C90" i="20" s="1"/>
  <c r="C88" i="14"/>
  <c r="B90" i="20" s="1"/>
  <c r="D90" i="20" s="1"/>
  <c r="A90" i="20"/>
  <c r="D87" i="14"/>
  <c r="C89" i="20" s="1"/>
  <c r="C87" i="14"/>
  <c r="B89" i="20" s="1"/>
  <c r="D89" i="20" s="1"/>
  <c r="A89" i="20"/>
  <c r="D85" i="14"/>
  <c r="C87" i="20" s="1"/>
  <c r="C85" i="14"/>
  <c r="B87" i="20" s="1"/>
  <c r="D87" i="20" s="1"/>
  <c r="D84" i="14"/>
  <c r="C86" i="20" s="1"/>
  <c r="C84" i="14"/>
  <c r="B86" i="20" s="1"/>
  <c r="D86" i="20" s="1"/>
  <c r="A86" i="20"/>
  <c r="D83" i="14"/>
  <c r="C85" i="20" s="1"/>
  <c r="C83" i="14"/>
  <c r="B85" i="20" s="1"/>
  <c r="D85" i="20" s="1"/>
  <c r="A85" i="20"/>
  <c r="D82" i="14"/>
  <c r="C84" i="20" s="1"/>
  <c r="C82" i="14"/>
  <c r="B84" i="20" s="1"/>
  <c r="D84" i="20" s="1"/>
  <c r="A84" i="20"/>
  <c r="D81" i="14"/>
  <c r="C83" i="20" s="1"/>
  <c r="C81" i="14"/>
  <c r="B83" i="20" s="1"/>
  <c r="D83" i="20" s="1"/>
  <c r="D80" i="14"/>
  <c r="C82" i="20" s="1"/>
  <c r="C80" i="14"/>
  <c r="B82" i="20" s="1"/>
  <c r="D82" i="20" s="1"/>
  <c r="A82" i="20"/>
  <c r="D79" i="14"/>
  <c r="C81" i="20" s="1"/>
  <c r="C79" i="14"/>
  <c r="B81" i="20" s="1"/>
  <c r="D81" i="20" s="1"/>
  <c r="A81" i="20"/>
  <c r="D78" i="14"/>
  <c r="C80" i="20" s="1"/>
  <c r="C78" i="14"/>
  <c r="B80" i="20" s="1"/>
  <c r="D80" i="20" s="1"/>
  <c r="A80" i="20"/>
  <c r="D77" i="14"/>
  <c r="C79" i="20" s="1"/>
  <c r="C77" i="14"/>
  <c r="B79" i="20" s="1"/>
  <c r="D79" i="20" s="1"/>
  <c r="D74" i="14"/>
  <c r="C76" i="20" s="1"/>
  <c r="C74" i="14"/>
  <c r="B76" i="20" s="1"/>
  <c r="D76" i="20" s="1"/>
  <c r="D73" i="14"/>
  <c r="C75" i="20" s="1"/>
  <c r="C73" i="14"/>
  <c r="B75" i="20" s="1"/>
  <c r="D75" i="20" s="1"/>
  <c r="A75" i="20"/>
  <c r="D72" i="14"/>
  <c r="C74" i="20" s="1"/>
  <c r="C72" i="14"/>
  <c r="B74" i="20" s="1"/>
  <c r="D74" i="20" s="1"/>
  <c r="A74" i="20"/>
  <c r="D71" i="14"/>
  <c r="C73" i="20" s="1"/>
  <c r="C71" i="14"/>
  <c r="B73" i="20" s="1"/>
  <c r="D73" i="20" s="1"/>
  <c r="D70" i="14"/>
  <c r="C72" i="20" s="1"/>
  <c r="C70" i="14"/>
  <c r="B72" i="20" s="1"/>
  <c r="D72" i="20" s="1"/>
  <c r="D69" i="14"/>
  <c r="C71" i="20" s="1"/>
  <c r="C69" i="14"/>
  <c r="B71" i="20" s="1"/>
  <c r="D71" i="20" s="1"/>
  <c r="D68" i="14"/>
  <c r="C70" i="20" s="1"/>
  <c r="C68" i="14"/>
  <c r="B70" i="20" s="1"/>
  <c r="D70" i="20" s="1"/>
  <c r="D67" i="14"/>
  <c r="C69" i="20" s="1"/>
  <c r="C67" i="14"/>
  <c r="B69" i="20" s="1"/>
  <c r="D69" i="20" s="1"/>
  <c r="D66" i="14"/>
  <c r="C68" i="20" s="1"/>
  <c r="C66" i="14"/>
  <c r="B68" i="20" s="1"/>
  <c r="D68" i="20" s="1"/>
  <c r="A68" i="20"/>
  <c r="D64" i="14"/>
  <c r="C66" i="20" s="1"/>
  <c r="C64" i="14"/>
  <c r="B66" i="20" s="1"/>
  <c r="D66" i="20" s="1"/>
  <c r="D63" i="14"/>
  <c r="C65" i="20" s="1"/>
  <c r="C63" i="14"/>
  <c r="B65" i="20" s="1"/>
  <c r="D65" i="20" s="1"/>
  <c r="D62" i="14"/>
  <c r="C64" i="20" s="1"/>
  <c r="C62" i="14"/>
  <c r="B64" i="20" s="1"/>
  <c r="D64" i="20" s="1"/>
  <c r="D61" i="14"/>
  <c r="C63" i="20" s="1"/>
  <c r="C61" i="14"/>
  <c r="B63" i="20" s="1"/>
  <c r="D63" i="20" s="1"/>
  <c r="D60" i="14"/>
  <c r="C62" i="20" s="1"/>
  <c r="C60" i="14"/>
  <c r="B62" i="20" s="1"/>
  <c r="D62" i="20" s="1"/>
  <c r="D59" i="14"/>
  <c r="C61" i="20" s="1"/>
  <c r="C59" i="14"/>
  <c r="B61" i="20" s="1"/>
  <c r="D61" i="20" s="1"/>
  <c r="D58" i="14"/>
  <c r="C60" i="20" s="1"/>
  <c r="C58" i="14"/>
  <c r="B60" i="20" s="1"/>
  <c r="D60" i="20" s="1"/>
  <c r="D57" i="14"/>
  <c r="C59" i="20" s="1"/>
  <c r="C57" i="14"/>
  <c r="B59" i="20" s="1"/>
  <c r="D59" i="20" s="1"/>
  <c r="A59" i="20"/>
  <c r="D56" i="14"/>
  <c r="C58" i="20" s="1"/>
  <c r="C56" i="14"/>
  <c r="B58" i="20" s="1"/>
  <c r="D58" i="20" s="1"/>
  <c r="A58" i="20"/>
  <c r="D54" i="14"/>
  <c r="C56" i="20" s="1"/>
  <c r="C54" i="14"/>
  <c r="B56" i="20" s="1"/>
  <c r="D56" i="20" s="1"/>
  <c r="A56" i="20"/>
  <c r="D53" i="14"/>
  <c r="C55" i="20" s="1"/>
  <c r="C53" i="14"/>
  <c r="B55" i="20" s="1"/>
  <c r="D55" i="20" s="1"/>
  <c r="A55" i="20"/>
  <c r="D52" i="14"/>
  <c r="C54" i="20" s="1"/>
  <c r="C52" i="14"/>
  <c r="B54" i="20" s="1"/>
  <c r="D54" i="20" s="1"/>
  <c r="D51" i="14"/>
  <c r="C53" i="20" s="1"/>
  <c r="C51" i="14"/>
  <c r="B53" i="20" s="1"/>
  <c r="D53" i="20" s="1"/>
  <c r="D50" i="14"/>
  <c r="C50" i="14"/>
  <c r="B52" i="20" s="1"/>
  <c r="D52" i="20" s="1"/>
  <c r="D49" i="14"/>
  <c r="C51" i="20" s="1"/>
  <c r="C49" i="14"/>
  <c r="B51" i="20" s="1"/>
  <c r="D51" i="20" s="1"/>
  <c r="D48" i="14"/>
  <c r="C50" i="20" s="1"/>
  <c r="C48" i="14"/>
  <c r="B50" i="20" s="1"/>
  <c r="D50" i="20" s="1"/>
  <c r="D47" i="14"/>
  <c r="C49" i="20" s="1"/>
  <c r="C47" i="14"/>
  <c r="B49" i="20" s="1"/>
  <c r="D49" i="20" s="1"/>
  <c r="A49" i="20"/>
  <c r="D46" i="14"/>
  <c r="C48" i="20" s="1"/>
  <c r="C46" i="14"/>
  <c r="B48" i="20" s="1"/>
  <c r="D48" i="20" s="1"/>
  <c r="A48" i="20"/>
  <c r="D44" i="14"/>
  <c r="C46" i="20" s="1"/>
  <c r="C44" i="14"/>
  <c r="B46" i="20" s="1"/>
  <c r="D46" i="20" s="1"/>
  <c r="A46" i="20"/>
  <c r="D43" i="14"/>
  <c r="C45" i="20" s="1"/>
  <c r="C43" i="14"/>
  <c r="B45" i="20" s="1"/>
  <c r="D45" i="20" s="1"/>
  <c r="D42" i="14"/>
  <c r="C44" i="20" s="1"/>
  <c r="C42" i="14"/>
  <c r="B44" i="20" s="1"/>
  <c r="D44" i="20" s="1"/>
  <c r="D41" i="14"/>
  <c r="C43" i="20" s="1"/>
  <c r="C41" i="14"/>
  <c r="B43" i="20" s="1"/>
  <c r="D43" i="20" s="1"/>
  <c r="D40" i="14"/>
  <c r="C42" i="20" s="1"/>
  <c r="C40" i="14"/>
  <c r="B42" i="20" s="1"/>
  <c r="D42" i="20" s="1"/>
  <c r="D39" i="14"/>
  <c r="C41" i="20" s="1"/>
  <c r="C39" i="14"/>
  <c r="B41" i="20" s="1"/>
  <c r="D41" i="20" s="1"/>
  <c r="D38" i="14"/>
  <c r="C40" i="20" s="1"/>
  <c r="C38" i="14"/>
  <c r="B40" i="20" s="1"/>
  <c r="D40" i="20" s="1"/>
  <c r="D37" i="14"/>
  <c r="C39" i="20" s="1"/>
  <c r="C37" i="14"/>
  <c r="B39" i="20" s="1"/>
  <c r="D39" i="20" s="1"/>
  <c r="A39" i="20"/>
  <c r="D36" i="14"/>
  <c r="C38" i="20" s="1"/>
  <c r="C36" i="14"/>
  <c r="B38" i="20" s="1"/>
  <c r="D38" i="20" s="1"/>
  <c r="A38" i="20"/>
  <c r="D34" i="14"/>
  <c r="C36" i="20" s="1"/>
  <c r="C34" i="14"/>
  <c r="B36" i="20" s="1"/>
  <c r="D36" i="20" s="1"/>
  <c r="A36" i="20"/>
  <c r="D33" i="14"/>
  <c r="C35" i="20" s="1"/>
  <c r="C33" i="14"/>
  <c r="B35" i="20" s="1"/>
  <c r="D35" i="20" s="1"/>
  <c r="D32" i="14"/>
  <c r="C34" i="20" s="1"/>
  <c r="C32" i="14"/>
  <c r="B34" i="20" s="1"/>
  <c r="D34" i="20" s="1"/>
  <c r="D31" i="14"/>
  <c r="C33" i="20" s="1"/>
  <c r="C31" i="14"/>
  <c r="B33" i="20" s="1"/>
  <c r="D33" i="20" s="1"/>
  <c r="D30" i="14"/>
  <c r="C32" i="20" s="1"/>
  <c r="C30" i="14"/>
  <c r="B32" i="20" s="1"/>
  <c r="D32" i="20" s="1"/>
  <c r="D29" i="14"/>
  <c r="C31" i="20" s="1"/>
  <c r="C29" i="14"/>
  <c r="B31" i="20" s="1"/>
  <c r="D31" i="20" s="1"/>
  <c r="D28" i="14"/>
  <c r="C30" i="20" s="1"/>
  <c r="C28" i="14"/>
  <c r="B30" i="20" s="1"/>
  <c r="D30" i="20" s="1"/>
  <c r="D27" i="14"/>
  <c r="C29" i="20" s="1"/>
  <c r="C27" i="14"/>
  <c r="B29" i="20" s="1"/>
  <c r="D29" i="20" s="1"/>
  <c r="D26" i="14"/>
  <c r="C28" i="20" s="1"/>
  <c r="C26" i="14"/>
  <c r="B28" i="20" s="1"/>
  <c r="D28" i="20" s="1"/>
  <c r="D24" i="14"/>
  <c r="C26" i="20" s="1"/>
  <c r="C24" i="14"/>
  <c r="B26" i="20" s="1"/>
  <c r="D26" i="20" s="1"/>
  <c r="D23" i="14"/>
  <c r="C25" i="20" s="1"/>
  <c r="C23" i="14"/>
  <c r="B25" i="20" s="1"/>
  <c r="D25" i="20" s="1"/>
  <c r="D22" i="14"/>
  <c r="C24" i="20" s="1"/>
  <c r="C22" i="14"/>
  <c r="B24" i="20" s="1"/>
  <c r="D24" i="20" s="1"/>
  <c r="D21" i="14"/>
  <c r="C23" i="20" s="1"/>
  <c r="C21" i="14"/>
  <c r="B23" i="20" s="1"/>
  <c r="D23" i="20" s="1"/>
  <c r="D20" i="14"/>
  <c r="C22" i="20" s="1"/>
  <c r="C20" i="14"/>
  <c r="B22" i="20" s="1"/>
  <c r="D22" i="20" s="1"/>
  <c r="D19" i="14"/>
  <c r="C21" i="20" s="1"/>
  <c r="C19" i="14"/>
  <c r="B21" i="20" s="1"/>
  <c r="D21" i="20" s="1"/>
  <c r="D18" i="14"/>
  <c r="C20" i="20" s="1"/>
  <c r="C18" i="14"/>
  <c r="B20" i="20" s="1"/>
  <c r="D20" i="20" s="1"/>
  <c r="D17" i="14"/>
  <c r="C19" i="20" s="1"/>
  <c r="C17" i="14"/>
  <c r="B19" i="20" s="1"/>
  <c r="D19" i="20" s="1"/>
  <c r="D16" i="14"/>
  <c r="C18" i="20" s="1"/>
  <c r="C16" i="14"/>
  <c r="B18" i="20" s="1"/>
  <c r="D18" i="20" s="1"/>
  <c r="A18" i="20"/>
  <c r="D330" i="14"/>
  <c r="C330" i="14"/>
  <c r="D329" i="14"/>
  <c r="C329" i="14"/>
  <c r="D328" i="14"/>
  <c r="C328" i="14"/>
  <c r="D327" i="14"/>
  <c r="C327" i="14"/>
  <c r="D326" i="14"/>
  <c r="C326" i="14"/>
  <c r="D325" i="14"/>
  <c r="C325" i="14"/>
  <c r="D324" i="14"/>
  <c r="C324" i="14"/>
  <c r="D323" i="14"/>
  <c r="C323" i="14"/>
  <c r="D322" i="14"/>
  <c r="C322" i="14"/>
  <c r="D320" i="14"/>
  <c r="C320" i="14"/>
  <c r="D319" i="14"/>
  <c r="C319" i="14"/>
  <c r="D318" i="14"/>
  <c r="C318" i="14"/>
  <c r="D317" i="14"/>
  <c r="C317" i="14"/>
  <c r="D316" i="14"/>
  <c r="C316" i="14"/>
  <c r="D315" i="14"/>
  <c r="C315" i="14"/>
  <c r="D314" i="14"/>
  <c r="C314" i="14"/>
  <c r="D313" i="14"/>
  <c r="C313" i="14"/>
  <c r="D312" i="14"/>
  <c r="C312" i="14"/>
  <c r="D310" i="14"/>
  <c r="C310" i="14"/>
  <c r="D309" i="14"/>
  <c r="C309" i="14"/>
  <c r="D308" i="14"/>
  <c r="C308" i="14"/>
  <c r="D307" i="14"/>
  <c r="C307" i="14"/>
  <c r="D306" i="14"/>
  <c r="C306" i="14"/>
  <c r="D305" i="14"/>
  <c r="C305" i="14"/>
  <c r="D304" i="14"/>
  <c r="C304" i="14"/>
  <c r="D303" i="14"/>
  <c r="C303" i="14"/>
  <c r="D302" i="14"/>
  <c r="C302" i="14"/>
  <c r="D300" i="14"/>
  <c r="C300" i="14"/>
  <c r="D299" i="14"/>
  <c r="C299" i="14"/>
  <c r="D298" i="14"/>
  <c r="C298" i="14"/>
  <c r="D297" i="14"/>
  <c r="C297" i="14"/>
  <c r="D296" i="14"/>
  <c r="C296" i="14"/>
  <c r="D295" i="14"/>
  <c r="C295" i="14"/>
  <c r="D294" i="14"/>
  <c r="C294" i="14"/>
  <c r="D293" i="14"/>
  <c r="C293" i="14"/>
  <c r="D292" i="14"/>
  <c r="C292" i="14"/>
  <c r="D290" i="14"/>
  <c r="C290" i="14"/>
  <c r="D289" i="14"/>
  <c r="C289" i="14"/>
  <c r="D288" i="14"/>
  <c r="C288" i="14"/>
  <c r="D287" i="14"/>
  <c r="C287" i="14"/>
  <c r="D286" i="14"/>
  <c r="C286" i="14"/>
  <c r="D285" i="14"/>
  <c r="C285" i="14"/>
  <c r="D284" i="14"/>
  <c r="C284" i="14"/>
  <c r="D283" i="14"/>
  <c r="C283" i="14"/>
  <c r="D282" i="14"/>
  <c r="C282" i="14"/>
  <c r="D280" i="14"/>
  <c r="C280" i="14"/>
  <c r="D279" i="14"/>
  <c r="C279" i="14"/>
  <c r="D278" i="14"/>
  <c r="C278" i="14"/>
  <c r="D277" i="14"/>
  <c r="C277" i="14"/>
  <c r="D276" i="14"/>
  <c r="C276" i="14"/>
  <c r="D275" i="14"/>
  <c r="C275" i="14"/>
  <c r="D274" i="14"/>
  <c r="C274" i="14"/>
  <c r="D273" i="14"/>
  <c r="C273" i="14"/>
  <c r="D272" i="14"/>
  <c r="C272" i="14"/>
  <c r="D268" i="14"/>
  <c r="C268" i="14"/>
  <c r="D267" i="14"/>
  <c r="C267" i="14"/>
  <c r="G267" i="14"/>
  <c r="D266" i="14"/>
  <c r="C266" i="14"/>
  <c r="F266" i="14"/>
  <c r="D265" i="14"/>
  <c r="C265" i="14"/>
  <c r="D264" i="14"/>
  <c r="C264" i="14"/>
  <c r="F264" i="14"/>
  <c r="D263" i="14"/>
  <c r="C263" i="14"/>
  <c r="G263" i="14"/>
  <c r="D262" i="14"/>
  <c r="C262" i="14"/>
  <c r="D261" i="14"/>
  <c r="C261" i="14"/>
  <c r="D260" i="14"/>
  <c r="C260" i="14"/>
  <c r="D258" i="14"/>
  <c r="C258" i="14"/>
  <c r="B258" i="14"/>
  <c r="D257" i="14"/>
  <c r="C257" i="14"/>
  <c r="D256" i="14"/>
  <c r="C256" i="14"/>
  <c r="F256" i="14"/>
  <c r="D255" i="14"/>
  <c r="C255" i="14"/>
  <c r="F255" i="14"/>
  <c r="D254" i="14"/>
  <c r="C254" i="14"/>
  <c r="D253" i="14"/>
  <c r="C253" i="14"/>
  <c r="F253" i="14"/>
  <c r="D252" i="14"/>
  <c r="C252" i="14"/>
  <c r="F252" i="14"/>
  <c r="D251" i="14"/>
  <c r="C251" i="14"/>
  <c r="D250" i="14"/>
  <c r="C250" i="14"/>
  <c r="D248" i="14"/>
  <c r="C248" i="14"/>
  <c r="F248" i="14"/>
  <c r="D247" i="14"/>
  <c r="C247" i="14"/>
  <c r="D246" i="14"/>
  <c r="C246" i="14"/>
  <c r="F246" i="14"/>
  <c r="D245" i="14"/>
  <c r="C245" i="14"/>
  <c r="G245" i="14"/>
  <c r="D244" i="14"/>
  <c r="C244" i="14"/>
  <c r="F244" i="14"/>
  <c r="D243" i="14"/>
  <c r="C243" i="14"/>
  <c r="D242" i="14"/>
  <c r="C242" i="14"/>
  <c r="F242" i="14"/>
  <c r="D241" i="14"/>
  <c r="C241" i="14"/>
  <c r="G241" i="14"/>
  <c r="D240" i="14"/>
  <c r="C240" i="14"/>
  <c r="D238" i="14"/>
  <c r="C238" i="14"/>
  <c r="D237" i="14"/>
  <c r="C237" i="14"/>
  <c r="D236" i="14"/>
  <c r="C236" i="14"/>
  <c r="D235" i="14"/>
  <c r="C235" i="14"/>
  <c r="F235" i="14"/>
  <c r="D234" i="14"/>
  <c r="C234" i="14"/>
  <c r="B234" i="14"/>
  <c r="F234" i="14" s="1"/>
  <c r="D233" i="14"/>
  <c r="C233" i="14"/>
  <c r="B233" i="14"/>
  <c r="F233" i="14" s="1"/>
  <c r="D232" i="14"/>
  <c r="C232" i="14"/>
  <c r="B232" i="14"/>
  <c r="D231" i="14"/>
  <c r="C231" i="14"/>
  <c r="B231" i="14"/>
  <c r="F231" i="14" s="1"/>
  <c r="D230" i="14"/>
  <c r="C230" i="14"/>
  <c r="D228" i="14"/>
  <c r="C228" i="14"/>
  <c r="B228" i="14"/>
  <c r="F228" i="14" s="1"/>
  <c r="D227" i="14"/>
  <c r="C227" i="14"/>
  <c r="B227" i="14"/>
  <c r="D226" i="14"/>
  <c r="C226" i="14"/>
  <c r="B226" i="14"/>
  <c r="D225" i="14"/>
  <c r="C225" i="14"/>
  <c r="B225" i="14"/>
  <c r="D224" i="14"/>
  <c r="C224" i="14"/>
  <c r="B224" i="14"/>
  <c r="G224" i="14" s="1"/>
  <c r="D223" i="14"/>
  <c r="C223" i="14"/>
  <c r="G223" i="14"/>
  <c r="D222" i="14"/>
  <c r="C222" i="14"/>
  <c r="F222" i="14"/>
  <c r="D221" i="14"/>
  <c r="C221" i="14"/>
  <c r="B221" i="14"/>
  <c r="D220" i="14"/>
  <c r="C220" i="14"/>
  <c r="F220" i="14"/>
  <c r="D218" i="14"/>
  <c r="C218" i="14"/>
  <c r="B218" i="14"/>
  <c r="D217" i="14"/>
  <c r="C217" i="14"/>
  <c r="B217" i="14"/>
  <c r="D216" i="14"/>
  <c r="C216" i="14"/>
  <c r="B216" i="14"/>
  <c r="D215" i="14"/>
  <c r="C215" i="14"/>
  <c r="D214" i="14"/>
  <c r="C214" i="14"/>
  <c r="D213" i="14"/>
  <c r="C213" i="14"/>
  <c r="F213" i="14"/>
  <c r="D212" i="14"/>
  <c r="C212" i="14"/>
  <c r="D211" i="14"/>
  <c r="C211" i="14"/>
  <c r="F211" i="14"/>
  <c r="D210" i="14"/>
  <c r="C210" i="14"/>
  <c r="B210" i="14"/>
  <c r="D17" i="11"/>
  <c r="C17" i="11"/>
  <c r="D16" i="11"/>
  <c r="C16" i="11"/>
  <c r="D15" i="11"/>
  <c r="C15" i="11"/>
  <c r="D14" i="11"/>
  <c r="C14" i="11"/>
  <c r="D13" i="11"/>
  <c r="D12" i="11"/>
  <c r="C12" i="11"/>
  <c r="D11" i="11"/>
  <c r="C11" i="11"/>
  <c r="D10" i="11"/>
  <c r="C10" i="11"/>
  <c r="D9" i="11"/>
  <c r="C9" i="11"/>
  <c r="C39" i="22"/>
  <c r="B39" i="22"/>
  <c r="C38" i="22"/>
  <c r="B38" i="22"/>
  <c r="C37" i="22"/>
  <c r="B37" i="22"/>
  <c r="C36" i="22"/>
  <c r="B36" i="22"/>
  <c r="C35" i="22"/>
  <c r="B35" i="22"/>
  <c r="C34" i="22"/>
  <c r="B34" i="22"/>
  <c r="C33" i="22"/>
  <c r="B33" i="22"/>
  <c r="C32" i="22"/>
  <c r="B32" i="22"/>
  <c r="C31" i="22"/>
  <c r="B31" i="22"/>
  <c r="A16" i="21"/>
  <c r="J16" i="21" s="1"/>
  <c r="C13" i="21"/>
  <c r="A11" i="21"/>
  <c r="C9" i="21"/>
  <c r="A7" i="21"/>
  <c r="A132" i="20"/>
  <c r="A127" i="20"/>
  <c r="A123" i="20"/>
  <c r="A119" i="20"/>
  <c r="A114" i="20"/>
  <c r="A110" i="20"/>
  <c r="A105" i="20"/>
  <c r="A96" i="20"/>
  <c r="A92" i="20"/>
  <c r="A87" i="20"/>
  <c r="A83" i="20"/>
  <c r="A79" i="20"/>
  <c r="A76" i="20"/>
  <c r="C52" i="20"/>
  <c r="A28" i="20"/>
  <c r="E39" i="22"/>
  <c r="E38" i="22"/>
  <c r="E37" i="22"/>
  <c r="E36" i="22"/>
  <c r="E35" i="22"/>
  <c r="E34" i="22"/>
  <c r="E33" i="22"/>
  <c r="E32" i="22"/>
  <c r="E31" i="22"/>
  <c r="E22" i="22"/>
  <c r="E20" i="22"/>
  <c r="E19" i="22"/>
  <c r="E18" i="22"/>
  <c r="E24" i="21"/>
  <c r="E23" i="21"/>
  <c r="E22" i="21"/>
  <c r="E21" i="21"/>
  <c r="E20" i="21"/>
  <c r="E19" i="21"/>
  <c r="E18" i="21"/>
  <c r="E17" i="21"/>
  <c r="E16" i="21"/>
  <c r="E14" i="21"/>
  <c r="E13" i="21"/>
  <c r="E12" i="21"/>
  <c r="E11" i="21"/>
  <c r="E10" i="21"/>
  <c r="E9" i="21"/>
  <c r="E8" i="21"/>
  <c r="E7" i="21"/>
  <c r="E6" i="21"/>
  <c r="E137" i="20"/>
  <c r="E136" i="20"/>
  <c r="E135" i="20"/>
  <c r="E134" i="20"/>
  <c r="E133" i="20"/>
  <c r="E132" i="20"/>
  <c r="E131" i="20"/>
  <c r="E130" i="20"/>
  <c r="E129" i="20"/>
  <c r="E127" i="20"/>
  <c r="E126" i="20"/>
  <c r="E125" i="20"/>
  <c r="E124" i="20"/>
  <c r="E123" i="20"/>
  <c r="E122" i="20"/>
  <c r="E121" i="20"/>
  <c r="E120" i="20"/>
  <c r="E119" i="20"/>
  <c r="E117" i="20"/>
  <c r="E116" i="20"/>
  <c r="E115" i="20"/>
  <c r="E114" i="20"/>
  <c r="E113" i="20"/>
  <c r="E112" i="20"/>
  <c r="E111" i="20"/>
  <c r="E110" i="20"/>
  <c r="E109" i="20"/>
  <c r="E107" i="20"/>
  <c r="E106" i="20"/>
  <c r="E105" i="20"/>
  <c r="E104" i="20"/>
  <c r="E103" i="20"/>
  <c r="E102" i="20"/>
  <c r="E101" i="20"/>
  <c r="E100" i="20"/>
  <c r="E99" i="20"/>
  <c r="E97" i="20"/>
  <c r="E96" i="20"/>
  <c r="E95" i="20"/>
  <c r="E94" i="20"/>
  <c r="E93" i="20"/>
  <c r="E92" i="20"/>
  <c r="E91" i="20"/>
  <c r="E90" i="20"/>
  <c r="E89" i="20"/>
  <c r="E87" i="20"/>
  <c r="E86" i="20"/>
  <c r="E85" i="20"/>
  <c r="E84" i="20"/>
  <c r="E83" i="20"/>
  <c r="E82" i="20"/>
  <c r="E81" i="20"/>
  <c r="E80" i="20"/>
  <c r="E79" i="20"/>
  <c r="E76" i="20"/>
  <c r="E75" i="20"/>
  <c r="E74" i="20"/>
  <c r="E73" i="20"/>
  <c r="E72" i="20"/>
  <c r="E71" i="20"/>
  <c r="E70" i="20"/>
  <c r="E69" i="20"/>
  <c r="E68" i="20"/>
  <c r="E66" i="20"/>
  <c r="E65" i="20"/>
  <c r="E64" i="20"/>
  <c r="E63" i="20"/>
  <c r="E62" i="20"/>
  <c r="E61" i="20"/>
  <c r="E60" i="20"/>
  <c r="E59" i="20"/>
  <c r="E58" i="20"/>
  <c r="E56" i="20"/>
  <c r="E55" i="20"/>
  <c r="E54" i="20"/>
  <c r="E53" i="20"/>
  <c r="E52" i="20"/>
  <c r="E51" i="20"/>
  <c r="E50" i="20"/>
  <c r="E49" i="20"/>
  <c r="E48" i="20"/>
  <c r="E46" i="20"/>
  <c r="E45" i="20"/>
  <c r="E44" i="20"/>
  <c r="E43" i="20"/>
  <c r="E42" i="20"/>
  <c r="E41" i="20"/>
  <c r="E40" i="20"/>
  <c r="E39" i="20"/>
  <c r="E38" i="20"/>
  <c r="E36" i="20"/>
  <c r="E35" i="20"/>
  <c r="E34" i="20"/>
  <c r="E33" i="20"/>
  <c r="E32" i="20"/>
  <c r="E31" i="20"/>
  <c r="E30" i="20"/>
  <c r="E29" i="20"/>
  <c r="E28" i="20"/>
  <c r="E26" i="20"/>
  <c r="E25" i="20"/>
  <c r="E24" i="20"/>
  <c r="E23" i="20"/>
  <c r="E22" i="20"/>
  <c r="E21" i="20"/>
  <c r="E20" i="20"/>
  <c r="E19" i="20"/>
  <c r="E18" i="20"/>
  <c r="D21" i="24"/>
  <c r="E21" i="24"/>
  <c r="F21" i="24"/>
  <c r="G21" i="24"/>
  <c r="H21" i="24"/>
  <c r="I21" i="24"/>
  <c r="J21" i="24"/>
  <c r="K21" i="24"/>
  <c r="L21" i="24"/>
  <c r="M21" i="24"/>
  <c r="N21" i="24"/>
  <c r="D22" i="24"/>
  <c r="E22" i="24"/>
  <c r="F22" i="24"/>
  <c r="G22" i="24"/>
  <c r="H22" i="24"/>
  <c r="I22" i="24"/>
  <c r="J22" i="24"/>
  <c r="K22" i="24"/>
  <c r="L22" i="24"/>
  <c r="M22" i="24"/>
  <c r="N22" i="24"/>
  <c r="B23" i="24"/>
  <c r="C23" i="24"/>
  <c r="B24" i="24"/>
  <c r="C24" i="24"/>
  <c r="B25" i="24"/>
  <c r="C25" i="24"/>
  <c r="B26" i="24"/>
  <c r="C26" i="24"/>
  <c r="B27" i="24"/>
  <c r="C27" i="24"/>
  <c r="B28" i="24"/>
  <c r="C28" i="24"/>
  <c r="B29" i="24"/>
  <c r="C29" i="24"/>
  <c r="B30" i="24"/>
  <c r="C30" i="24"/>
  <c r="B31" i="24"/>
  <c r="C31" i="24"/>
  <c r="B32" i="24"/>
  <c r="C32" i="24"/>
  <c r="B33" i="24"/>
  <c r="C33" i="24"/>
  <c r="D39" i="24"/>
  <c r="R39" i="24" s="1"/>
  <c r="E39" i="24"/>
  <c r="S39" i="24" s="1"/>
  <c r="F39" i="24"/>
  <c r="T39" i="24" s="1"/>
  <c r="G39" i="24"/>
  <c r="U39" i="24" s="1"/>
  <c r="H39" i="24"/>
  <c r="V39" i="24" s="1"/>
  <c r="I39" i="24"/>
  <c r="W39" i="24" s="1"/>
  <c r="J39" i="24"/>
  <c r="X39" i="24" s="1"/>
  <c r="K39" i="24"/>
  <c r="Y39" i="24" s="1"/>
  <c r="L39" i="24"/>
  <c r="Z39" i="24" s="1"/>
  <c r="M39" i="24"/>
  <c r="AA39" i="24" s="1"/>
  <c r="N39" i="24"/>
  <c r="AB39" i="24" s="1"/>
  <c r="D40" i="24"/>
  <c r="R40" i="24" s="1"/>
  <c r="E40" i="24"/>
  <c r="S40" i="24" s="1"/>
  <c r="F40" i="24"/>
  <c r="T40" i="24" s="1"/>
  <c r="G40" i="24"/>
  <c r="U40" i="24" s="1"/>
  <c r="H40" i="24"/>
  <c r="V40" i="24" s="1"/>
  <c r="I40" i="24"/>
  <c r="W40" i="24" s="1"/>
  <c r="J40" i="24"/>
  <c r="X40" i="24" s="1"/>
  <c r="K40" i="24"/>
  <c r="Y40" i="24" s="1"/>
  <c r="L40" i="24"/>
  <c r="Z40" i="24" s="1"/>
  <c r="M40" i="24"/>
  <c r="N40" i="24"/>
  <c r="AB40" i="24" s="1"/>
  <c r="AA40" i="24"/>
  <c r="B41" i="24"/>
  <c r="P41" i="24" s="1"/>
  <c r="C41" i="24"/>
  <c r="Q41" i="24" s="1"/>
  <c r="D41" i="24"/>
  <c r="E41" i="24"/>
  <c r="F41" i="24"/>
  <c r="G41" i="24"/>
  <c r="U41" i="24" s="1"/>
  <c r="H41" i="24"/>
  <c r="V41" i="24" s="1"/>
  <c r="I41" i="24"/>
  <c r="W41" i="24" s="1"/>
  <c r="R41" i="24"/>
  <c r="S41" i="24"/>
  <c r="T41" i="24"/>
  <c r="B42" i="24"/>
  <c r="P42" i="24" s="1"/>
  <c r="C42" i="24"/>
  <c r="Q42" i="24" s="1"/>
  <c r="D42" i="24"/>
  <c r="R42" i="24" s="1"/>
  <c r="E42" i="24"/>
  <c r="S42" i="24" s="1"/>
  <c r="F42" i="24"/>
  <c r="T42" i="24" s="1"/>
  <c r="G42" i="24"/>
  <c r="U42" i="24" s="1"/>
  <c r="H42" i="24"/>
  <c r="I42" i="24"/>
  <c r="W42" i="24" s="1"/>
  <c r="V42" i="24"/>
  <c r="B43" i="24"/>
  <c r="C43" i="24"/>
  <c r="D43" i="24"/>
  <c r="R43" i="24" s="1"/>
  <c r="E43" i="24"/>
  <c r="F43" i="24"/>
  <c r="G43" i="24"/>
  <c r="U43" i="24" s="1"/>
  <c r="H43" i="24"/>
  <c r="V43" i="24" s="1"/>
  <c r="I43" i="24"/>
  <c r="W43" i="24" s="1"/>
  <c r="P43" i="24"/>
  <c r="Q43" i="24"/>
  <c r="S43" i="24"/>
  <c r="T43" i="24"/>
  <c r="B44" i="24"/>
  <c r="P44" i="24" s="1"/>
  <c r="C44" i="24"/>
  <c r="Q44" i="24" s="1"/>
  <c r="D44" i="24"/>
  <c r="R44" i="24" s="1"/>
  <c r="E44" i="24"/>
  <c r="F44" i="24"/>
  <c r="G44" i="24"/>
  <c r="H44" i="24"/>
  <c r="I44" i="24"/>
  <c r="S44" i="24"/>
  <c r="T44" i="24"/>
  <c r="U44" i="24"/>
  <c r="V44" i="24"/>
  <c r="W44" i="24"/>
  <c r="B45" i="24"/>
  <c r="P45" i="24" s="1"/>
  <c r="C45" i="24"/>
  <c r="Q45" i="24" s="1"/>
  <c r="D45" i="24"/>
  <c r="E45" i="24"/>
  <c r="F45" i="24"/>
  <c r="G45" i="24"/>
  <c r="U45" i="24" s="1"/>
  <c r="H45" i="24"/>
  <c r="V45" i="24" s="1"/>
  <c r="I45" i="24"/>
  <c r="R45" i="24"/>
  <c r="S45" i="24"/>
  <c r="T45" i="24"/>
  <c r="W45" i="24"/>
  <c r="B46" i="24"/>
  <c r="P46" i="24" s="1"/>
  <c r="C46" i="24"/>
  <c r="Q46" i="24" s="1"/>
  <c r="D46" i="24"/>
  <c r="R46" i="24" s="1"/>
  <c r="E46" i="24"/>
  <c r="S46" i="24" s="1"/>
  <c r="F46" i="24"/>
  <c r="T46" i="24" s="1"/>
  <c r="G46" i="24"/>
  <c r="U46" i="24" s="1"/>
  <c r="H46" i="24"/>
  <c r="I46" i="24"/>
  <c r="V46" i="24"/>
  <c r="W46" i="24"/>
  <c r="B47" i="24"/>
  <c r="P47" i="24" s="1"/>
  <c r="C47" i="24"/>
  <c r="D47" i="24"/>
  <c r="E47" i="24"/>
  <c r="F47" i="24"/>
  <c r="G47" i="24"/>
  <c r="H47" i="24"/>
  <c r="I47" i="24"/>
  <c r="I62" i="24" s="1"/>
  <c r="J47" i="24"/>
  <c r="X47" i="24" s="1"/>
  <c r="K47" i="24"/>
  <c r="Y47" i="24" s="1"/>
  <c r="L47" i="24"/>
  <c r="Z47" i="24" s="1"/>
  <c r="M47" i="24"/>
  <c r="AA47" i="24" s="1"/>
  <c r="N47" i="24"/>
  <c r="AB47" i="24" s="1"/>
  <c r="Q47" i="24"/>
  <c r="B48" i="24"/>
  <c r="P48" i="24" s="1"/>
  <c r="C48" i="24"/>
  <c r="D48" i="24"/>
  <c r="E48" i="24"/>
  <c r="F48" i="24"/>
  <c r="G48" i="24"/>
  <c r="G63" i="24" s="1"/>
  <c r="H48" i="24"/>
  <c r="H63" i="24" s="1"/>
  <c r="I48" i="24"/>
  <c r="J48" i="24"/>
  <c r="X48" i="24" s="1"/>
  <c r="K48" i="24"/>
  <c r="Y48" i="24" s="1"/>
  <c r="L48" i="24"/>
  <c r="Z48" i="24" s="1"/>
  <c r="M48" i="24"/>
  <c r="AA48" i="24" s="1"/>
  <c r="N48" i="24"/>
  <c r="AB48" i="24" s="1"/>
  <c r="Q48" i="24"/>
  <c r="B49" i="24"/>
  <c r="P49" i="24" s="1"/>
  <c r="C49" i="24"/>
  <c r="Q49" i="24" s="1"/>
  <c r="D49" i="24"/>
  <c r="E49" i="24"/>
  <c r="F49" i="24"/>
  <c r="G49" i="24"/>
  <c r="G64" i="24" s="1"/>
  <c r="H49" i="24"/>
  <c r="I49" i="24"/>
  <c r="J49" i="24"/>
  <c r="X49" i="24" s="1"/>
  <c r="K49" i="24"/>
  <c r="Y49" i="24" s="1"/>
  <c r="L49" i="24"/>
  <c r="Z49" i="24" s="1"/>
  <c r="M49" i="24"/>
  <c r="AA49" i="24" s="1"/>
  <c r="N49" i="24"/>
  <c r="AB49" i="24" s="1"/>
  <c r="B50" i="24"/>
  <c r="P50" i="24" s="1"/>
  <c r="C50" i="24"/>
  <c r="Q50" i="24" s="1"/>
  <c r="D50" i="24"/>
  <c r="E50" i="24"/>
  <c r="F50" i="24"/>
  <c r="F80" i="24" s="1"/>
  <c r="G50" i="24"/>
  <c r="G65" i="24" s="1"/>
  <c r="H50" i="24"/>
  <c r="I50" i="24"/>
  <c r="J50" i="24"/>
  <c r="X50" i="24" s="1"/>
  <c r="K50" i="24"/>
  <c r="Y50" i="24" s="1"/>
  <c r="L50" i="24"/>
  <c r="Z50" i="24" s="1"/>
  <c r="M50" i="24"/>
  <c r="AA50" i="24" s="1"/>
  <c r="N50" i="24"/>
  <c r="AB50" i="24" s="1"/>
  <c r="B51" i="24"/>
  <c r="P51" i="24" s="1"/>
  <c r="C51" i="24"/>
  <c r="Q51" i="24" s="1"/>
  <c r="D51" i="24"/>
  <c r="D66" i="24" s="1"/>
  <c r="D96" i="24" s="1"/>
  <c r="E51" i="24"/>
  <c r="E66" i="24" s="1"/>
  <c r="F51" i="24"/>
  <c r="G51" i="24"/>
  <c r="H51" i="24"/>
  <c r="I51" i="24"/>
  <c r="J51" i="24"/>
  <c r="X51" i="24" s="1"/>
  <c r="K51" i="24"/>
  <c r="Y51" i="24" s="1"/>
  <c r="L51" i="24"/>
  <c r="Z51" i="24" s="1"/>
  <c r="M51" i="24"/>
  <c r="AA51" i="24" s="1"/>
  <c r="N51" i="24"/>
  <c r="AB51" i="24" s="1"/>
  <c r="D54" i="24"/>
  <c r="E54" i="24"/>
  <c r="F54" i="24"/>
  <c r="G54" i="24"/>
  <c r="H54" i="24"/>
  <c r="I54" i="24"/>
  <c r="J54" i="24"/>
  <c r="K54" i="24"/>
  <c r="L54" i="24"/>
  <c r="M54" i="24"/>
  <c r="N54" i="24"/>
  <c r="D55" i="24"/>
  <c r="E55" i="24"/>
  <c r="F55" i="24"/>
  <c r="G55" i="24"/>
  <c r="H55" i="24"/>
  <c r="I55" i="24"/>
  <c r="J55" i="24"/>
  <c r="K55" i="24"/>
  <c r="L55" i="24"/>
  <c r="M55" i="24"/>
  <c r="N55" i="24"/>
  <c r="B56" i="24"/>
  <c r="C56" i="24"/>
  <c r="D56" i="24"/>
  <c r="E56" i="24"/>
  <c r="F56" i="24"/>
  <c r="G56" i="24"/>
  <c r="H56" i="24"/>
  <c r="I56" i="24"/>
  <c r="J56" i="24"/>
  <c r="K56" i="24"/>
  <c r="L56" i="24"/>
  <c r="M56" i="24"/>
  <c r="B57" i="24"/>
  <c r="C57" i="24"/>
  <c r="D57" i="24"/>
  <c r="E57" i="24"/>
  <c r="F57" i="24"/>
  <c r="G57" i="24"/>
  <c r="H57" i="24"/>
  <c r="I57" i="24"/>
  <c r="J57" i="24"/>
  <c r="K57" i="24"/>
  <c r="L57" i="24"/>
  <c r="M57" i="24"/>
  <c r="B58" i="24"/>
  <c r="C58" i="24"/>
  <c r="D58" i="24"/>
  <c r="E58" i="24"/>
  <c r="F58" i="24"/>
  <c r="G58" i="24"/>
  <c r="H58" i="24"/>
  <c r="I58" i="24"/>
  <c r="J58" i="24"/>
  <c r="K58" i="24"/>
  <c r="L58" i="24"/>
  <c r="N58" i="24"/>
  <c r="B59" i="24"/>
  <c r="C59" i="24"/>
  <c r="D59" i="24"/>
  <c r="E59" i="24"/>
  <c r="F59" i="24"/>
  <c r="G59" i="24"/>
  <c r="H59" i="24"/>
  <c r="I59" i="24"/>
  <c r="J59" i="24"/>
  <c r="N59" i="24"/>
  <c r="B60" i="24"/>
  <c r="C60" i="24"/>
  <c r="D60" i="24"/>
  <c r="E60" i="24"/>
  <c r="F60" i="24"/>
  <c r="G60" i="24"/>
  <c r="H60" i="24"/>
  <c r="I60" i="24"/>
  <c r="L60" i="24"/>
  <c r="M60" i="24"/>
  <c r="N60" i="24"/>
  <c r="B61" i="24"/>
  <c r="C61" i="24"/>
  <c r="D61" i="24"/>
  <c r="E61" i="24"/>
  <c r="F61" i="24"/>
  <c r="G61" i="24"/>
  <c r="H61" i="24"/>
  <c r="I61" i="24"/>
  <c r="K61" i="24"/>
  <c r="L61" i="24"/>
  <c r="M61" i="24"/>
  <c r="N61" i="24"/>
  <c r="B62" i="24"/>
  <c r="C62" i="24"/>
  <c r="D62" i="24"/>
  <c r="E62" i="24"/>
  <c r="F62" i="24"/>
  <c r="G62" i="24"/>
  <c r="J62" i="24"/>
  <c r="K62" i="24"/>
  <c r="L62" i="24"/>
  <c r="M62" i="24"/>
  <c r="N62" i="24"/>
  <c r="B63" i="24"/>
  <c r="C63" i="24"/>
  <c r="D63" i="24"/>
  <c r="E63" i="24"/>
  <c r="F63" i="24"/>
  <c r="I63" i="24"/>
  <c r="J63" i="24"/>
  <c r="K63" i="24"/>
  <c r="L63" i="24"/>
  <c r="M63" i="24"/>
  <c r="N63" i="24"/>
  <c r="B64" i="24"/>
  <c r="C64" i="24"/>
  <c r="D64" i="24"/>
  <c r="E64" i="24"/>
  <c r="F64" i="24"/>
  <c r="H64" i="24"/>
  <c r="I64" i="24"/>
  <c r="J64" i="24"/>
  <c r="K64" i="24"/>
  <c r="L64" i="24"/>
  <c r="M64" i="24"/>
  <c r="N64" i="24"/>
  <c r="B65" i="24"/>
  <c r="C65" i="24"/>
  <c r="D65" i="24"/>
  <c r="E65" i="24"/>
  <c r="H65" i="24"/>
  <c r="I65" i="24"/>
  <c r="J65" i="24"/>
  <c r="K65" i="24"/>
  <c r="L65" i="24"/>
  <c r="M65" i="24"/>
  <c r="N65" i="24"/>
  <c r="B66" i="24"/>
  <c r="C66" i="24"/>
  <c r="F66" i="24"/>
  <c r="G66" i="24"/>
  <c r="H66" i="24"/>
  <c r="I66" i="24"/>
  <c r="J66" i="24"/>
  <c r="K66" i="24"/>
  <c r="L66" i="24"/>
  <c r="M66" i="24"/>
  <c r="N66" i="24"/>
  <c r="D69" i="24"/>
  <c r="E69" i="24"/>
  <c r="F69" i="24"/>
  <c r="G69" i="24"/>
  <c r="H69" i="24"/>
  <c r="I69" i="24"/>
  <c r="J69" i="24"/>
  <c r="K69" i="24"/>
  <c r="L69" i="24"/>
  <c r="M69" i="24"/>
  <c r="N69" i="24"/>
  <c r="D70" i="24"/>
  <c r="E70" i="24"/>
  <c r="F70" i="24"/>
  <c r="G70" i="24"/>
  <c r="H70" i="24"/>
  <c r="I70" i="24"/>
  <c r="J70" i="24"/>
  <c r="K70" i="24"/>
  <c r="L70" i="24"/>
  <c r="M70" i="24"/>
  <c r="N70" i="24"/>
  <c r="B71" i="24"/>
  <c r="C71" i="24"/>
  <c r="D71" i="24"/>
  <c r="E71" i="24"/>
  <c r="F71" i="24"/>
  <c r="G71" i="24"/>
  <c r="H71" i="24"/>
  <c r="I71" i="24"/>
  <c r="J71" i="24"/>
  <c r="K71" i="24"/>
  <c r="L71" i="24"/>
  <c r="M71" i="24"/>
  <c r="B72" i="24"/>
  <c r="C72" i="24"/>
  <c r="D72" i="24"/>
  <c r="E72" i="24"/>
  <c r="F72" i="24"/>
  <c r="G72" i="24"/>
  <c r="H72" i="24"/>
  <c r="I72" i="24"/>
  <c r="J72" i="24"/>
  <c r="K72" i="24"/>
  <c r="L72" i="24"/>
  <c r="M72" i="24"/>
  <c r="B73" i="24"/>
  <c r="C73" i="24"/>
  <c r="D73" i="24"/>
  <c r="E73" i="24"/>
  <c r="F73" i="24"/>
  <c r="G73" i="24"/>
  <c r="H73" i="24"/>
  <c r="I73" i="24"/>
  <c r="J73" i="24"/>
  <c r="K73" i="24"/>
  <c r="L73" i="24"/>
  <c r="N73" i="24"/>
  <c r="B74" i="24"/>
  <c r="C74" i="24"/>
  <c r="D74" i="24"/>
  <c r="E74" i="24"/>
  <c r="F74" i="24"/>
  <c r="G74" i="24"/>
  <c r="H74" i="24"/>
  <c r="I74" i="24"/>
  <c r="J74" i="24"/>
  <c r="N74" i="24"/>
  <c r="B75" i="24"/>
  <c r="C75" i="24"/>
  <c r="D75" i="24"/>
  <c r="E75" i="24"/>
  <c r="F75" i="24"/>
  <c r="G75" i="24"/>
  <c r="H75" i="24"/>
  <c r="I75" i="24"/>
  <c r="L75" i="24"/>
  <c r="M75" i="24"/>
  <c r="N75" i="24"/>
  <c r="B76" i="24"/>
  <c r="C76" i="24"/>
  <c r="D76" i="24"/>
  <c r="E76" i="24"/>
  <c r="F76" i="24"/>
  <c r="G76" i="24"/>
  <c r="H76" i="24"/>
  <c r="I76" i="24"/>
  <c r="K76" i="24"/>
  <c r="L76" i="24"/>
  <c r="M76" i="24"/>
  <c r="N76" i="24"/>
  <c r="B77" i="24"/>
  <c r="C77" i="24"/>
  <c r="D77" i="24"/>
  <c r="E77" i="24"/>
  <c r="F77" i="24"/>
  <c r="G77" i="24"/>
  <c r="J77" i="24"/>
  <c r="K77" i="24"/>
  <c r="L77" i="24"/>
  <c r="M77" i="24"/>
  <c r="N77" i="24"/>
  <c r="B78" i="24"/>
  <c r="C78" i="24"/>
  <c r="D78" i="24"/>
  <c r="E78" i="24"/>
  <c r="F78" i="24"/>
  <c r="H78" i="24"/>
  <c r="I78" i="24"/>
  <c r="J78" i="24"/>
  <c r="K78" i="24"/>
  <c r="L78" i="24"/>
  <c r="M78" i="24"/>
  <c r="N78" i="24"/>
  <c r="B79" i="24"/>
  <c r="C79" i="24"/>
  <c r="D79" i="24"/>
  <c r="E79" i="24"/>
  <c r="F79" i="24"/>
  <c r="H79" i="24"/>
  <c r="I79" i="24"/>
  <c r="J79" i="24"/>
  <c r="K79" i="24"/>
  <c r="L79" i="24"/>
  <c r="M79" i="24"/>
  <c r="N79" i="24"/>
  <c r="B80" i="24"/>
  <c r="C80" i="24"/>
  <c r="D80" i="24"/>
  <c r="E80" i="24"/>
  <c r="H80" i="24"/>
  <c r="I80" i="24"/>
  <c r="J80" i="24"/>
  <c r="K80" i="24"/>
  <c r="L80" i="24"/>
  <c r="M80" i="24"/>
  <c r="N80" i="24"/>
  <c r="B81" i="24"/>
  <c r="C81" i="24"/>
  <c r="F81" i="24"/>
  <c r="G81" i="24"/>
  <c r="H81" i="24"/>
  <c r="I81" i="24"/>
  <c r="J81" i="24"/>
  <c r="K81" i="24"/>
  <c r="L81" i="24"/>
  <c r="M81" i="24"/>
  <c r="N81" i="24"/>
  <c r="D84" i="24"/>
  <c r="E84" i="24"/>
  <c r="F84" i="24"/>
  <c r="G84" i="24"/>
  <c r="H84" i="24"/>
  <c r="I84" i="24"/>
  <c r="J84" i="24"/>
  <c r="K84" i="24"/>
  <c r="L84" i="24"/>
  <c r="M84" i="24"/>
  <c r="N84" i="24"/>
  <c r="D85" i="24"/>
  <c r="E85" i="24"/>
  <c r="F85" i="24"/>
  <c r="G85" i="24"/>
  <c r="H85" i="24"/>
  <c r="I85" i="24"/>
  <c r="J85" i="24"/>
  <c r="K85" i="24"/>
  <c r="L85" i="24"/>
  <c r="M85" i="24"/>
  <c r="N85" i="24"/>
  <c r="B86" i="24"/>
  <c r="C86" i="24"/>
  <c r="D86" i="24"/>
  <c r="E86" i="24"/>
  <c r="F86" i="24"/>
  <c r="G86" i="24"/>
  <c r="H86" i="24"/>
  <c r="I86" i="24"/>
  <c r="J86" i="24"/>
  <c r="K86" i="24"/>
  <c r="L86" i="24"/>
  <c r="M86" i="24"/>
  <c r="B87" i="24"/>
  <c r="C87" i="24"/>
  <c r="D87" i="24"/>
  <c r="E87" i="24"/>
  <c r="F87" i="24"/>
  <c r="G87" i="24"/>
  <c r="H87" i="24"/>
  <c r="I87" i="24"/>
  <c r="J87" i="24"/>
  <c r="K87" i="24"/>
  <c r="L87" i="24"/>
  <c r="M87" i="24"/>
  <c r="B88" i="24"/>
  <c r="C88" i="24"/>
  <c r="D88" i="24"/>
  <c r="E88" i="24"/>
  <c r="F88" i="24"/>
  <c r="G88" i="24"/>
  <c r="H88" i="24"/>
  <c r="I88" i="24"/>
  <c r="J88" i="24"/>
  <c r="K88" i="24"/>
  <c r="L88" i="24"/>
  <c r="N88" i="24"/>
  <c r="B89" i="24"/>
  <c r="C89" i="24"/>
  <c r="D89" i="24"/>
  <c r="E89" i="24"/>
  <c r="F89" i="24"/>
  <c r="G89" i="24"/>
  <c r="H89" i="24"/>
  <c r="I89" i="24"/>
  <c r="J89" i="24"/>
  <c r="N89" i="24"/>
  <c r="B90" i="24"/>
  <c r="C90" i="24"/>
  <c r="D90" i="24"/>
  <c r="E90" i="24"/>
  <c r="F90" i="24"/>
  <c r="G90" i="24"/>
  <c r="H90" i="24"/>
  <c r="I90" i="24"/>
  <c r="L90" i="24"/>
  <c r="M90" i="24"/>
  <c r="N90" i="24"/>
  <c r="B91" i="24"/>
  <c r="C91" i="24"/>
  <c r="D91" i="24"/>
  <c r="E91" i="24"/>
  <c r="F91" i="24"/>
  <c r="G91" i="24"/>
  <c r="H91" i="24"/>
  <c r="I91" i="24"/>
  <c r="K91" i="24"/>
  <c r="L91" i="24"/>
  <c r="M91" i="24"/>
  <c r="N91" i="24"/>
  <c r="B92" i="24"/>
  <c r="C92" i="24"/>
  <c r="D92" i="24"/>
  <c r="E92" i="24"/>
  <c r="F92" i="24"/>
  <c r="G92" i="24"/>
  <c r="J92" i="24"/>
  <c r="K92" i="24"/>
  <c r="L92" i="24"/>
  <c r="M92" i="24"/>
  <c r="N92" i="24"/>
  <c r="B93" i="24"/>
  <c r="C93" i="24"/>
  <c r="D93" i="24"/>
  <c r="E93" i="24"/>
  <c r="F93" i="24"/>
  <c r="I93" i="24"/>
  <c r="J93" i="24"/>
  <c r="K93" i="24"/>
  <c r="L93" i="24"/>
  <c r="M93" i="24"/>
  <c r="N93" i="24"/>
  <c r="B94" i="24"/>
  <c r="C94" i="24"/>
  <c r="D94" i="24"/>
  <c r="E94" i="24"/>
  <c r="F94" i="24"/>
  <c r="H94" i="24"/>
  <c r="I94" i="24"/>
  <c r="J94" i="24"/>
  <c r="K94" i="24"/>
  <c r="L94" i="24"/>
  <c r="M94" i="24"/>
  <c r="N94" i="24"/>
  <c r="B95" i="24"/>
  <c r="C95" i="24"/>
  <c r="D95" i="24"/>
  <c r="E95" i="24"/>
  <c r="H95" i="24"/>
  <c r="I95" i="24"/>
  <c r="J95" i="24"/>
  <c r="K95" i="24"/>
  <c r="L95" i="24"/>
  <c r="M95" i="24"/>
  <c r="N95" i="24"/>
  <c r="B96" i="24"/>
  <c r="C96" i="24"/>
  <c r="F96" i="24"/>
  <c r="G96" i="24"/>
  <c r="H96" i="24"/>
  <c r="I96" i="24"/>
  <c r="J96" i="24"/>
  <c r="K96" i="24"/>
  <c r="L96" i="24"/>
  <c r="M96" i="24"/>
  <c r="N96" i="24"/>
  <c r="F185" i="24"/>
  <c r="G185" i="24"/>
  <c r="F186" i="24"/>
  <c r="G186" i="24"/>
  <c r="F187" i="24"/>
  <c r="G187" i="24"/>
  <c r="F188" i="24"/>
  <c r="G188" i="24"/>
  <c r="F189" i="24"/>
  <c r="G189" i="24"/>
  <c r="F190" i="24"/>
  <c r="G190" i="24"/>
  <c r="E128" i="20"/>
  <c r="E118" i="20"/>
  <c r="E108" i="20"/>
  <c r="E98" i="20"/>
  <c r="E88" i="20"/>
  <c r="E67" i="20"/>
  <c r="E57" i="20"/>
  <c r="E47" i="20"/>
  <c r="E37" i="20"/>
  <c r="E27" i="20"/>
  <c r="G268" i="14"/>
  <c r="E268" i="14"/>
  <c r="F267" i="14"/>
  <c r="G266" i="14"/>
  <c r="E266" i="14"/>
  <c r="G265" i="14"/>
  <c r="E265" i="14"/>
  <c r="G264" i="14"/>
  <c r="E264" i="14"/>
  <c r="F263" i="14"/>
  <c r="G262" i="14"/>
  <c r="E262" i="14"/>
  <c r="G261" i="14"/>
  <c r="E261" i="14"/>
  <c r="G260" i="14"/>
  <c r="E260" i="14"/>
  <c r="G257" i="14"/>
  <c r="E257" i="14"/>
  <c r="G256" i="14"/>
  <c r="E256" i="14"/>
  <c r="G255" i="14"/>
  <c r="E255" i="14"/>
  <c r="F254" i="14"/>
  <c r="G253" i="14"/>
  <c r="E253" i="14"/>
  <c r="G252" i="14"/>
  <c r="E252" i="14"/>
  <c r="G251" i="14"/>
  <c r="E251" i="14"/>
  <c r="F250" i="14"/>
  <c r="G248" i="14"/>
  <c r="E248" i="14"/>
  <c r="G247" i="14"/>
  <c r="E247" i="14"/>
  <c r="G246" i="14"/>
  <c r="E246" i="14"/>
  <c r="F245" i="14"/>
  <c r="G244" i="14"/>
  <c r="E244" i="14"/>
  <c r="G243" i="14"/>
  <c r="E243" i="14"/>
  <c r="G242" i="14"/>
  <c r="E242" i="14"/>
  <c r="F241" i="14"/>
  <c r="G240" i="14"/>
  <c r="E240" i="14"/>
  <c r="G238" i="14"/>
  <c r="E238" i="14"/>
  <c r="G237" i="14"/>
  <c r="E237" i="14"/>
  <c r="F236" i="14"/>
  <c r="G235" i="14"/>
  <c r="E235" i="14"/>
  <c r="G230" i="14"/>
  <c r="E230" i="14"/>
  <c r="F223" i="14"/>
  <c r="G222" i="14"/>
  <c r="E222" i="14"/>
  <c r="G220" i="14"/>
  <c r="E220" i="14"/>
  <c r="G215" i="14"/>
  <c r="E215" i="14"/>
  <c r="F214" i="14"/>
  <c r="G213" i="14"/>
  <c r="E213" i="14"/>
  <c r="G212" i="14"/>
  <c r="E212" i="14"/>
  <c r="G211" i="14"/>
  <c r="E211" i="14"/>
  <c r="L18" i="20" l="1"/>
  <c r="A26" i="20"/>
  <c r="H80" i="20"/>
  <c r="H129" i="20"/>
  <c r="H119" i="20"/>
  <c r="H81" i="20"/>
  <c r="H110" i="20"/>
  <c r="H91" i="20"/>
  <c r="H120" i="20"/>
  <c r="H109" i="20"/>
  <c r="H82" i="20"/>
  <c r="H121" i="20"/>
  <c r="H133" i="20"/>
  <c r="H83" i="20"/>
  <c r="H102" i="20"/>
  <c r="H93" i="20"/>
  <c r="H92" i="20"/>
  <c r="H89" i="20"/>
  <c r="H84" i="20"/>
  <c r="H103" i="20"/>
  <c r="B6" i="21"/>
  <c r="D6" i="21" s="1"/>
  <c r="B11" i="21"/>
  <c r="D11" i="21" s="1"/>
  <c r="B17" i="21"/>
  <c r="D17" i="21" s="1"/>
  <c r="B21" i="21"/>
  <c r="D21" i="21" s="1"/>
  <c r="B7" i="21"/>
  <c r="D7" i="21" s="1"/>
  <c r="B12" i="21"/>
  <c r="D12" i="21" s="1"/>
  <c r="B18" i="21"/>
  <c r="D18" i="21" s="1"/>
  <c r="B22" i="21"/>
  <c r="D22" i="21" s="1"/>
  <c r="B8" i="21"/>
  <c r="D8" i="21" s="1"/>
  <c r="B13" i="21"/>
  <c r="D13" i="21" s="1"/>
  <c r="B19" i="21"/>
  <c r="D19" i="21" s="1"/>
  <c r="B23" i="21"/>
  <c r="D23" i="21" s="1"/>
  <c r="B9" i="21"/>
  <c r="D9" i="21" s="1"/>
  <c r="B14" i="21"/>
  <c r="D14" i="21" s="1"/>
  <c r="B10" i="21"/>
  <c r="D10" i="21" s="1"/>
  <c r="B16" i="21"/>
  <c r="D16" i="21" s="1"/>
  <c r="B20" i="21"/>
  <c r="D20" i="21" s="1"/>
  <c r="B24" i="21"/>
  <c r="D24" i="21" s="1"/>
  <c r="E10" i="22"/>
  <c r="E13" i="22"/>
  <c r="E14" i="22"/>
  <c r="V19" i="21"/>
  <c r="W19" i="21"/>
  <c r="F227" i="14"/>
  <c r="E228" i="14"/>
  <c r="P24" i="21"/>
  <c r="P14" i="21"/>
  <c r="W100" i="20"/>
  <c r="V100" i="20"/>
  <c r="U100" i="20"/>
  <c r="AD58" i="20"/>
  <c r="S20" i="20"/>
  <c r="P81" i="20"/>
  <c r="S81" i="20" s="1"/>
  <c r="AD63" i="20"/>
  <c r="AD72" i="20"/>
  <c r="AD59" i="20"/>
  <c r="I6" i="21"/>
  <c r="P34" i="22"/>
  <c r="F65" i="24"/>
  <c r="Q80" i="20"/>
  <c r="S80" i="20"/>
  <c r="R80" i="20"/>
  <c r="AD60" i="20"/>
  <c r="AD31" i="20"/>
  <c r="AD39" i="20"/>
  <c r="S100" i="20"/>
  <c r="Q100" i="20"/>
  <c r="R100" i="20"/>
  <c r="AD38" i="20"/>
  <c r="K75" i="24"/>
  <c r="J91" i="24"/>
  <c r="L24" i="21" s="1"/>
  <c r="N24" i="21" s="1"/>
  <c r="P84" i="20"/>
  <c r="S84" i="20" s="1"/>
  <c r="S23" i="20"/>
  <c r="Q102" i="20"/>
  <c r="S102" i="20"/>
  <c r="R102" i="20"/>
  <c r="R16" i="21"/>
  <c r="E6" i="22"/>
  <c r="AD32" i="20"/>
  <c r="U102" i="20"/>
  <c r="W102" i="20"/>
  <c r="V102" i="20"/>
  <c r="AD42" i="20"/>
  <c r="AD30" i="20"/>
  <c r="S16" i="21"/>
  <c r="E7" i="22"/>
  <c r="AD48" i="20"/>
  <c r="Y44" i="24"/>
  <c r="AD28" i="20"/>
  <c r="U80" i="20"/>
  <c r="W80" i="20"/>
  <c r="V80" i="20"/>
  <c r="AD19" i="20"/>
  <c r="H19" i="20" s="1"/>
  <c r="AD22" i="20"/>
  <c r="H22" i="20" s="1"/>
  <c r="G216" i="14"/>
  <c r="AD41" i="20"/>
  <c r="AD68" i="20"/>
  <c r="AD50" i="20"/>
  <c r="AD49" i="20"/>
  <c r="E15" i="22"/>
  <c r="Q22" i="21"/>
  <c r="I77" i="24"/>
  <c r="M16" i="21"/>
  <c r="G79" i="24"/>
  <c r="E16" i="22"/>
  <c r="AB42" i="24"/>
  <c r="AC42" i="24" s="1"/>
  <c r="P106" i="24" s="1"/>
  <c r="E11" i="22"/>
  <c r="E23" i="22"/>
  <c r="S22" i="21"/>
  <c r="E226" i="14"/>
  <c r="O16" i="21"/>
  <c r="T9" i="21"/>
  <c r="J90" i="24"/>
  <c r="L22" i="21" s="1"/>
  <c r="M22" i="21" s="1"/>
  <c r="AB41" i="24"/>
  <c r="AC41" i="24" s="1"/>
  <c r="P103" i="24" s="1"/>
  <c r="G228" i="14"/>
  <c r="F258" i="14"/>
  <c r="E216" i="14"/>
  <c r="E221" i="14"/>
  <c r="G217" i="14"/>
  <c r="G221" i="14"/>
  <c r="E225" i="14"/>
  <c r="E234" i="14"/>
  <c r="G225" i="14"/>
  <c r="G234" i="14"/>
  <c r="F218" i="14"/>
  <c r="E231" i="14"/>
  <c r="G231" i="14"/>
  <c r="E217" i="14"/>
  <c r="F210" i="14"/>
  <c r="E233" i="14"/>
  <c r="F232" i="14"/>
  <c r="E224" i="14"/>
  <c r="G233" i="14"/>
  <c r="G226" i="14"/>
  <c r="A34" i="22"/>
  <c r="E81" i="24"/>
  <c r="E96" i="24" s="1"/>
  <c r="P38" i="22"/>
  <c r="O167" i="24"/>
  <c r="P167" i="24" s="1"/>
  <c r="V37" i="22" s="1"/>
  <c r="X45" i="24"/>
  <c r="AC45" i="24" s="1"/>
  <c r="P115" i="24" s="1"/>
  <c r="P6" i="21"/>
  <c r="I9" i="21"/>
  <c r="K74" i="24"/>
  <c r="K89" i="24" s="1"/>
  <c r="P12" i="21"/>
  <c r="X46" i="24"/>
  <c r="AC46" i="24" s="1"/>
  <c r="P118" i="24" s="1"/>
  <c r="O179" i="24"/>
  <c r="R39" i="22"/>
  <c r="T21" i="21"/>
  <c r="M89" i="24"/>
  <c r="T11" i="21"/>
  <c r="T23" i="21"/>
  <c r="K90" i="24"/>
  <c r="T13" i="21"/>
  <c r="P17" i="21"/>
  <c r="P7" i="21"/>
  <c r="P21" i="21"/>
  <c r="P11" i="21"/>
  <c r="P23" i="21"/>
  <c r="P13" i="21"/>
  <c r="T16" i="21"/>
  <c r="T6" i="21"/>
  <c r="T18" i="21"/>
  <c r="T8" i="21"/>
  <c r="T20" i="21"/>
  <c r="T10" i="21"/>
  <c r="T22" i="21"/>
  <c r="T12" i="21"/>
  <c r="T24" i="21"/>
  <c r="T14" i="21"/>
  <c r="AA43" i="24"/>
  <c r="AC43" i="24" s="1"/>
  <c r="P109" i="24" s="1"/>
  <c r="I8" i="21"/>
  <c r="E109" i="24"/>
  <c r="Z44" i="24"/>
  <c r="I10" i="21"/>
  <c r="E115" i="24"/>
  <c r="F115" i="24" s="1"/>
  <c r="N155" i="24"/>
  <c r="P35" i="22"/>
  <c r="G78" i="24"/>
  <c r="G93" i="24" s="1"/>
  <c r="H93" i="24"/>
  <c r="L6" i="21"/>
  <c r="I7" i="21"/>
  <c r="I11" i="21"/>
  <c r="I13" i="21"/>
  <c r="L14" i="21"/>
  <c r="M73" i="24"/>
  <c r="L74" i="24"/>
  <c r="N57" i="24"/>
  <c r="G137" i="24"/>
  <c r="A36" i="22"/>
  <c r="P31" i="22"/>
  <c r="N143" i="24"/>
  <c r="P33" i="22"/>
  <c r="AA44" i="24"/>
  <c r="AC44" i="24" s="1"/>
  <c r="P112" i="24" s="1"/>
  <c r="Y45" i="24"/>
  <c r="AF18" i="20"/>
  <c r="AC18" i="20"/>
  <c r="E210" i="14"/>
  <c r="G210" i="14"/>
  <c r="F212" i="14"/>
  <c r="E214" i="14"/>
  <c r="G214" i="14"/>
  <c r="F216" i="14"/>
  <c r="E218" i="14"/>
  <c r="G218" i="14"/>
  <c r="F221" i="14"/>
  <c r="E223" i="14"/>
  <c r="F225" i="14"/>
  <c r="E227" i="14"/>
  <c r="G227" i="14"/>
  <c r="F230" i="14"/>
  <c r="E232" i="14"/>
  <c r="G232" i="14"/>
  <c r="E236" i="14"/>
  <c r="G236" i="14"/>
  <c r="F238" i="14"/>
  <c r="E241" i="14"/>
  <c r="F243" i="14"/>
  <c r="E245" i="14"/>
  <c r="F247" i="14"/>
  <c r="E250" i="14"/>
  <c r="G250" i="14"/>
  <c r="E254" i="14"/>
  <c r="G254" i="14"/>
  <c r="E258" i="14"/>
  <c r="G258" i="14"/>
  <c r="F261" i="14"/>
  <c r="E263" i="14"/>
  <c r="F265" i="14"/>
  <c r="E267" i="14"/>
  <c r="AD18" i="20"/>
  <c r="F215" i="14"/>
  <c r="F217" i="14"/>
  <c r="F224" i="14"/>
  <c r="F226" i="14"/>
  <c r="F237" i="14"/>
  <c r="F240" i="14"/>
  <c r="F251" i="14"/>
  <c r="F257" i="14"/>
  <c r="F260" i="14"/>
  <c r="F262" i="14"/>
  <c r="F268" i="14"/>
  <c r="F106" i="24"/>
  <c r="F109" i="24"/>
  <c r="P18" i="20"/>
  <c r="R18" i="20"/>
  <c r="Q18" i="20"/>
  <c r="V18" i="20"/>
  <c r="U18" i="20"/>
  <c r="T18" i="20"/>
  <c r="X18" i="20"/>
  <c r="Z18" i="20"/>
  <c r="Y18" i="20"/>
  <c r="A35" i="22"/>
  <c r="O131" i="24"/>
  <c r="R31" i="22"/>
  <c r="F95" i="24"/>
  <c r="G94" i="24"/>
  <c r="I92" i="24"/>
  <c r="H62" i="24"/>
  <c r="H77" i="24"/>
  <c r="A37" i="22"/>
  <c r="G80" i="24"/>
  <c r="G95" i="24" s="1"/>
  <c r="Q106" i="24"/>
  <c r="A9" i="22"/>
  <c r="G15" i="22"/>
  <c r="G112" i="24"/>
  <c r="F118" i="24"/>
  <c r="B193" i="14"/>
  <c r="A31" i="22" s="1"/>
  <c r="A39" i="22"/>
  <c r="Q167" i="24"/>
  <c r="X37" i="22" s="1"/>
  <c r="Z37" i="22" s="1"/>
  <c r="G103" i="24"/>
  <c r="G6" i="22"/>
  <c r="A33" i="22"/>
  <c r="R32" i="22"/>
  <c r="O137" i="24"/>
  <c r="R34" i="22"/>
  <c r="O149" i="24"/>
  <c r="R36" i="22"/>
  <c r="O161" i="24"/>
  <c r="R38" i="22"/>
  <c r="O173" i="24"/>
  <c r="P32" i="22"/>
  <c r="P36" i="22"/>
  <c r="AD21" i="20" l="1"/>
  <c r="AD23" i="20"/>
  <c r="H23" i="20" s="1"/>
  <c r="AD20" i="20"/>
  <c r="H30" i="20"/>
  <c r="H28" i="20"/>
  <c r="H48" i="20"/>
  <c r="H68" i="20"/>
  <c r="H63" i="20"/>
  <c r="H20" i="20"/>
  <c r="H42" i="20"/>
  <c r="H21" i="20"/>
  <c r="H38" i="20"/>
  <c r="H39" i="20"/>
  <c r="H58" i="20"/>
  <c r="H49" i="20"/>
  <c r="H59" i="20"/>
  <c r="H31" i="20"/>
  <c r="H32" i="20"/>
  <c r="H60" i="20"/>
  <c r="H72" i="20"/>
  <c r="H41" i="20"/>
  <c r="H50" i="20"/>
  <c r="O24" i="21"/>
  <c r="M24" i="21"/>
  <c r="P9" i="21"/>
  <c r="Q9" i="21" s="1"/>
  <c r="P19" i="21"/>
  <c r="Q19" i="21" s="1"/>
  <c r="L12" i="21"/>
  <c r="N12" i="21" s="1"/>
  <c r="R14" i="21"/>
  <c r="S14" i="21"/>
  <c r="Q14" i="21"/>
  <c r="S24" i="21"/>
  <c r="R24" i="21"/>
  <c r="Q24" i="21"/>
  <c r="W9" i="21"/>
  <c r="V9" i="21"/>
  <c r="T37" i="22"/>
  <c r="U9" i="21"/>
  <c r="R6" i="21"/>
  <c r="S6" i="21"/>
  <c r="Q6" i="21"/>
  <c r="O22" i="21"/>
  <c r="N22" i="21"/>
  <c r="R12" i="21"/>
  <c r="Q12" i="21"/>
  <c r="S12" i="21"/>
  <c r="T17" i="21"/>
  <c r="N87" i="24"/>
  <c r="T7" i="21"/>
  <c r="P18" i="21"/>
  <c r="P8" i="21"/>
  <c r="M88" i="24"/>
  <c r="O14" i="21"/>
  <c r="M14" i="21"/>
  <c r="N14" i="21"/>
  <c r="O6" i="21"/>
  <c r="M6" i="21"/>
  <c r="N6" i="21"/>
  <c r="W14" i="21"/>
  <c r="U14" i="21"/>
  <c r="V14" i="21"/>
  <c r="U12" i="21"/>
  <c r="W12" i="21"/>
  <c r="V12" i="21"/>
  <c r="V10" i="21"/>
  <c r="U10" i="21"/>
  <c r="W10" i="21"/>
  <c r="U8" i="21"/>
  <c r="V8" i="21"/>
  <c r="W8" i="21"/>
  <c r="W6" i="21"/>
  <c r="U6" i="21"/>
  <c r="V6" i="21"/>
  <c r="S13" i="21"/>
  <c r="R13" i="21"/>
  <c r="Q13" i="21"/>
  <c r="R11" i="21"/>
  <c r="S11" i="21"/>
  <c r="Q11" i="21"/>
  <c r="S7" i="21"/>
  <c r="Q7" i="21"/>
  <c r="R7" i="21"/>
  <c r="V13" i="21"/>
  <c r="W13" i="21"/>
  <c r="U13" i="21"/>
  <c r="V23" i="21"/>
  <c r="U23" i="21"/>
  <c r="W23" i="21"/>
  <c r="L21" i="21"/>
  <c r="L11" i="21"/>
  <c r="P179" i="24"/>
  <c r="T39" i="22"/>
  <c r="R33" i="22"/>
  <c r="O143" i="24"/>
  <c r="A32" i="22"/>
  <c r="P20" i="21"/>
  <c r="L89" i="24"/>
  <c r="P10" i="21"/>
  <c r="L19" i="21"/>
  <c r="L9" i="21"/>
  <c r="O155" i="24"/>
  <c r="R35" i="22"/>
  <c r="V24" i="21"/>
  <c r="W24" i="21"/>
  <c r="U24" i="21"/>
  <c r="V22" i="21"/>
  <c r="W22" i="21"/>
  <c r="U22" i="21"/>
  <c r="V20" i="21"/>
  <c r="W20" i="21"/>
  <c r="U20" i="21"/>
  <c r="W18" i="21"/>
  <c r="U18" i="21"/>
  <c r="V18" i="21"/>
  <c r="W16" i="21"/>
  <c r="U16" i="21"/>
  <c r="V16" i="21"/>
  <c r="R23" i="21"/>
  <c r="S23" i="21"/>
  <c r="Q23" i="21"/>
  <c r="R21" i="21"/>
  <c r="S21" i="21"/>
  <c r="Q21" i="21"/>
  <c r="R17" i="21"/>
  <c r="S17" i="21"/>
  <c r="Q17" i="21"/>
  <c r="L23" i="21"/>
  <c r="L13" i="21"/>
  <c r="W11" i="21"/>
  <c r="U11" i="21"/>
  <c r="V11" i="21"/>
  <c r="U21" i="21"/>
  <c r="V21" i="21"/>
  <c r="W21" i="21"/>
  <c r="A15" i="22"/>
  <c r="Q112" i="24"/>
  <c r="G109" i="24"/>
  <c r="G12" i="22"/>
  <c r="I6" i="22"/>
  <c r="H103" i="24"/>
  <c r="R106" i="24"/>
  <c r="Q103" i="24"/>
  <c r="A6" i="22"/>
  <c r="G106" i="24"/>
  <c r="G9" i="22"/>
  <c r="G118" i="24"/>
  <c r="G21" i="22"/>
  <c r="A12" i="22"/>
  <c r="Q109" i="24"/>
  <c r="Q118" i="24"/>
  <c r="A21" i="22"/>
  <c r="A18" i="22"/>
  <c r="Q115" i="24"/>
  <c r="P131" i="24"/>
  <c r="T31" i="22"/>
  <c r="G115" i="24"/>
  <c r="G18" i="22"/>
  <c r="AA18" i="20"/>
  <c r="T36" i="22"/>
  <c r="P161" i="24"/>
  <c r="T32" i="22"/>
  <c r="P137" i="24"/>
  <c r="W18" i="20"/>
  <c r="P173" i="24"/>
  <c r="T38" i="22"/>
  <c r="P149" i="24"/>
  <c r="T34" i="22"/>
  <c r="H112" i="24"/>
  <c r="I15" i="22"/>
  <c r="H92" i="24"/>
  <c r="S19" i="21" l="1"/>
  <c r="M12" i="21"/>
  <c r="S9" i="21"/>
  <c r="O12" i="21"/>
  <c r="R19" i="21"/>
  <c r="R9" i="21"/>
  <c r="N13" i="21"/>
  <c r="O13" i="21"/>
  <c r="M13" i="21"/>
  <c r="P155" i="24"/>
  <c r="T35" i="22"/>
  <c r="O19" i="21"/>
  <c r="N19" i="21"/>
  <c r="M19" i="21"/>
  <c r="L20" i="21"/>
  <c r="L10" i="21"/>
  <c r="P143" i="24"/>
  <c r="T33" i="22"/>
  <c r="O11" i="21"/>
  <c r="M11" i="21"/>
  <c r="N11" i="21"/>
  <c r="R8" i="21"/>
  <c r="S8" i="21"/>
  <c r="Q8" i="21"/>
  <c r="V7" i="21"/>
  <c r="U7" i="21"/>
  <c r="W7" i="21"/>
  <c r="W17" i="21"/>
  <c r="U17" i="21"/>
  <c r="V17" i="21"/>
  <c r="O23" i="21"/>
  <c r="M23" i="21"/>
  <c r="N23" i="21"/>
  <c r="N9" i="21"/>
  <c r="M9" i="21"/>
  <c r="O9" i="21"/>
  <c r="S10" i="21"/>
  <c r="Q10" i="21"/>
  <c r="R10" i="21"/>
  <c r="R20" i="21"/>
  <c r="S20" i="21"/>
  <c r="Q20" i="21"/>
  <c r="V39" i="22"/>
  <c r="Q179" i="24"/>
  <c r="X39" i="22" s="1"/>
  <c r="Z39" i="22" s="1"/>
  <c r="O21" i="21"/>
  <c r="N21" i="21"/>
  <c r="M21" i="21"/>
  <c r="L18" i="21"/>
  <c r="L8" i="21"/>
  <c r="Q18" i="21"/>
  <c r="R18" i="21"/>
  <c r="S18" i="21"/>
  <c r="L17" i="21"/>
  <c r="L7" i="21"/>
  <c r="V38" i="22"/>
  <c r="Q173" i="24"/>
  <c r="X38" i="22" s="1"/>
  <c r="Z38" i="22" s="1"/>
  <c r="Q137" i="24"/>
  <c r="X32" i="22" s="1"/>
  <c r="Z32" i="22" s="1"/>
  <c r="V32" i="22"/>
  <c r="R115" i="24"/>
  <c r="R109" i="24"/>
  <c r="R112" i="24"/>
  <c r="V31" i="22"/>
  <c r="Q131" i="24"/>
  <c r="X31" i="22" s="1"/>
  <c r="Z31" i="22" s="1"/>
  <c r="I12" i="22"/>
  <c r="H109" i="24"/>
  <c r="Q161" i="24"/>
  <c r="X36" i="22" s="1"/>
  <c r="Z36" i="22" s="1"/>
  <c r="V36" i="22"/>
  <c r="R118" i="24"/>
  <c r="R103" i="24"/>
  <c r="K15" i="22"/>
  <c r="I112" i="24"/>
  <c r="H118" i="24"/>
  <c r="I21" i="22"/>
  <c r="H106" i="24"/>
  <c r="I9" i="22"/>
  <c r="S106" i="24"/>
  <c r="H9" i="22"/>
  <c r="V34" i="22"/>
  <c r="Q149" i="24"/>
  <c r="X34" i="22" s="1"/>
  <c r="Z34" i="22" s="1"/>
  <c r="I18" i="22"/>
  <c r="H115" i="24"/>
  <c r="I103" i="24"/>
  <c r="K6" i="22"/>
  <c r="N17" i="21" l="1"/>
  <c r="O17" i="21"/>
  <c r="M17" i="21"/>
  <c r="O8" i="21"/>
  <c r="M8" i="21"/>
  <c r="N8" i="21"/>
  <c r="Q143" i="24"/>
  <c r="X33" i="22" s="1"/>
  <c r="Z33" i="22" s="1"/>
  <c r="V33" i="22"/>
  <c r="O20" i="21"/>
  <c r="M20" i="21"/>
  <c r="N20" i="21"/>
  <c r="N7" i="21"/>
  <c r="O7" i="21"/>
  <c r="M7" i="21"/>
  <c r="N18" i="21"/>
  <c r="O18" i="21"/>
  <c r="M18" i="21"/>
  <c r="N10" i="21"/>
  <c r="O10" i="21"/>
  <c r="M10" i="21"/>
  <c r="V35" i="22"/>
  <c r="Q155" i="24"/>
  <c r="X35" i="22" s="1"/>
  <c r="Z35" i="22" s="1"/>
  <c r="J103" i="24"/>
  <c r="M6" i="22"/>
  <c r="T106" i="24"/>
  <c r="J9" i="22"/>
  <c r="K21" i="22"/>
  <c r="I118" i="24"/>
  <c r="S118" i="24"/>
  <c r="H21" i="22"/>
  <c r="I109" i="24"/>
  <c r="K12" i="22"/>
  <c r="S112" i="24"/>
  <c r="H15" i="22"/>
  <c r="H12" i="22"/>
  <c r="S109" i="24"/>
  <c r="K18" i="22"/>
  <c r="I115" i="24"/>
  <c r="I106" i="24"/>
  <c r="K9" i="22"/>
  <c r="H6" i="22"/>
  <c r="S103" i="24"/>
  <c r="H18" i="22"/>
  <c r="S115" i="24"/>
  <c r="J112" i="24"/>
  <c r="M15" i="22"/>
  <c r="M12" i="22" l="1"/>
  <c r="J109" i="24"/>
  <c r="J118" i="24"/>
  <c r="M21" i="22"/>
  <c r="T115" i="24"/>
  <c r="J18" i="22"/>
  <c r="K103" i="24"/>
  <c r="O6" i="22"/>
  <c r="O15" i="22"/>
  <c r="K112" i="24"/>
  <c r="T103" i="24"/>
  <c r="J6" i="22"/>
  <c r="M9" i="22"/>
  <c r="J106" i="24"/>
  <c r="M18" i="22"/>
  <c r="J115" i="24"/>
  <c r="J12" i="22"/>
  <c r="T109" i="24"/>
  <c r="T112" i="24"/>
  <c r="J15" i="22"/>
  <c r="T118" i="24"/>
  <c r="J21" i="22"/>
  <c r="L9" i="22"/>
  <c r="U106" i="24"/>
  <c r="K106" i="24" l="1"/>
  <c r="O9" i="22"/>
  <c r="L21" i="22"/>
  <c r="U118" i="24"/>
  <c r="U115" i="24"/>
  <c r="L18" i="22"/>
  <c r="Q15" i="22"/>
  <c r="L112" i="24"/>
  <c r="U103" i="24"/>
  <c r="L6" i="22"/>
  <c r="Q6" i="22"/>
  <c r="L103" i="24"/>
  <c r="K118" i="24"/>
  <c r="O21" i="22"/>
  <c r="L12" i="22"/>
  <c r="U109" i="24"/>
  <c r="K109" i="24"/>
  <c r="O12" i="22"/>
  <c r="U112" i="24"/>
  <c r="L15" i="22"/>
  <c r="N9" i="22"/>
  <c r="V106" i="24"/>
  <c r="K115" i="24"/>
  <c r="O18" i="22"/>
  <c r="V103" i="24" l="1"/>
  <c r="N6" i="22"/>
  <c r="Q12" i="22"/>
  <c r="L109" i="24"/>
  <c r="L118" i="24"/>
  <c r="Q21" i="22"/>
  <c r="V115" i="24"/>
  <c r="N18" i="22"/>
  <c r="L106" i="24"/>
  <c r="Q9" i="22"/>
  <c r="W106" i="24"/>
  <c r="P9" i="22"/>
  <c r="Q18" i="22"/>
  <c r="L115" i="24"/>
  <c r="V112" i="24"/>
  <c r="N15" i="22"/>
  <c r="V109" i="24"/>
  <c r="N12" i="22"/>
  <c r="M103" i="24"/>
  <c r="S6" i="22"/>
  <c r="M112" i="24"/>
  <c r="S15" i="22"/>
  <c r="N21" i="22"/>
  <c r="V118" i="24"/>
  <c r="M115" i="24" l="1"/>
  <c r="S18" i="22"/>
  <c r="W112" i="24"/>
  <c r="P15" i="22"/>
  <c r="X106" i="24"/>
  <c r="R9" i="22"/>
  <c r="W118" i="24"/>
  <c r="P21" i="22"/>
  <c r="N112" i="24"/>
  <c r="W15" i="22" s="1"/>
  <c r="Y15" i="22" s="1"/>
  <c r="U15" i="22"/>
  <c r="P12" i="22"/>
  <c r="W109" i="24"/>
  <c r="M106" i="24"/>
  <c r="S9" i="22"/>
  <c r="S21" i="22"/>
  <c r="M118" i="24"/>
  <c r="P6" i="22"/>
  <c r="W103" i="24"/>
  <c r="N103" i="24"/>
  <c r="W6" i="22" s="1"/>
  <c r="Y6" i="22" s="1"/>
  <c r="U6" i="22"/>
  <c r="W115" i="24"/>
  <c r="P18" i="22"/>
  <c r="M109" i="24"/>
  <c r="S12" i="22"/>
  <c r="N109" i="24" l="1"/>
  <c r="W12" i="22" s="1"/>
  <c r="Y12" i="22" s="1"/>
  <c r="U12" i="22"/>
  <c r="X118" i="24"/>
  <c r="R21" i="22"/>
  <c r="R15" i="22"/>
  <c r="X112" i="24"/>
  <c r="N118" i="24"/>
  <c r="W21" i="22" s="1"/>
  <c r="Y21" i="22" s="1"/>
  <c r="U21" i="22"/>
  <c r="X109" i="24"/>
  <c r="R12" i="22"/>
  <c r="R18" i="22"/>
  <c r="X115" i="24"/>
  <c r="U9" i="22"/>
  <c r="N106" i="24"/>
  <c r="W9" i="22" s="1"/>
  <c r="Y9" i="22" s="1"/>
  <c r="T9" i="22"/>
  <c r="Y106" i="24"/>
  <c r="U18" i="22"/>
  <c r="N115" i="24"/>
  <c r="W18" i="22" s="1"/>
  <c r="Y18" i="22" s="1"/>
  <c r="X103" i="24"/>
  <c r="R6" i="22"/>
  <c r="T15" i="22" l="1"/>
  <c r="Y112" i="24"/>
  <c r="Y103" i="24"/>
  <c r="T6" i="22"/>
  <c r="T21" i="22"/>
  <c r="Y118" i="24"/>
  <c r="Z106" i="24"/>
  <c r="X9" i="22" s="1"/>
  <c r="Z9" i="22" s="1"/>
  <c r="V9" i="22"/>
  <c r="Y115" i="24"/>
  <c r="T18" i="22"/>
  <c r="Y109" i="24"/>
  <c r="T12" i="22"/>
  <c r="Z103" i="24" l="1"/>
  <c r="X6" i="22" s="1"/>
  <c r="Z6" i="22" s="1"/>
  <c r="V6" i="22"/>
  <c r="Z115" i="24"/>
  <c r="X18" i="22" s="1"/>
  <c r="Z18" i="22" s="1"/>
  <c r="V18" i="22"/>
  <c r="V21" i="22"/>
  <c r="Z118" i="24"/>
  <c r="X21" i="22" s="1"/>
  <c r="Z21" i="22" s="1"/>
  <c r="Z112" i="24"/>
  <c r="X15" i="22" s="1"/>
  <c r="Z15" i="22" s="1"/>
  <c r="V15" i="22"/>
  <c r="V12" i="22"/>
  <c r="Z109" i="24"/>
  <c r="X12" i="22" s="1"/>
  <c r="Z12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esmia</author>
  </authors>
  <commentList>
    <comment ref="K89" authorId="0" shapeId="0" xr:uid="{09BD109C-8F54-48AC-BD3F-B234D8FDE2AA}">
      <text>
        <r>
          <rPr>
            <b/>
            <sz val="9"/>
            <color indexed="81"/>
            <rFont val="Tahoma"/>
            <family val="2"/>
          </rPr>
          <t>esmia:</t>
        </r>
        <r>
          <rPr>
            <sz val="9"/>
            <color indexed="81"/>
            <rFont val="Tahoma"/>
            <family val="2"/>
          </rPr>
          <t xml:space="preserve">
Based on CHPE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 DeLaquil</author>
    <author>Gary Goldstein</author>
  </authors>
  <commentList>
    <comment ref="P101" authorId="0" shapeId="0" xr:uid="{00000000-0006-0000-1400-000001000000}">
      <text>
        <r>
          <rPr>
            <b/>
            <sz val="8"/>
            <color indexed="81"/>
            <rFont val="Tahoma"/>
            <family val="2"/>
          </rPr>
          <t>Pat DeLaquil:</t>
        </r>
        <r>
          <rPr>
            <sz val="8"/>
            <color indexed="81"/>
            <rFont val="Tahoma"/>
            <family val="2"/>
          </rPr>
          <t xml:space="preserve">
Bounds were calculated based on the max of  imports to all supplied regions over time.</t>
        </r>
      </text>
    </comment>
    <comment ref="P102" authorId="1" shapeId="0" xr:uid="{00000000-0006-0000-1400-000002000000}">
      <text>
        <r>
          <rPr>
            <b/>
            <sz val="8"/>
            <color indexed="81"/>
            <rFont val="Tahoma"/>
            <family val="2"/>
          </rPr>
          <t>Gary Goldstein:</t>
        </r>
        <r>
          <rPr>
            <sz val="8"/>
            <color indexed="81"/>
            <rFont val="Tahoma"/>
            <family val="2"/>
          </rPr>
          <t xml:space="preserve">
Currently the key to whether a Step is avialable.</t>
        </r>
      </text>
    </comment>
    <comment ref="D103" authorId="0" shapeId="0" xr:uid="{00000000-0006-0000-1400-000003000000}">
      <text>
        <r>
          <rPr>
            <b/>
            <sz val="8"/>
            <color indexed="81"/>
            <rFont val="Tahoma"/>
            <family val="2"/>
          </rPr>
          <t>Pat DeLaquil:</t>
        </r>
        <r>
          <rPr>
            <sz val="8"/>
            <color indexed="81"/>
            <rFont val="Tahoma"/>
            <family val="2"/>
          </rPr>
          <t xml:space="preserve">
M$/BkWh/3.6=M$/PJ
</t>
        </r>
      </text>
    </comment>
    <comment ref="G130" authorId="1" shapeId="0" xr:uid="{00000000-0006-0000-1400-000004000000}">
      <text>
        <r>
          <rPr>
            <b/>
            <sz val="8"/>
            <color indexed="81"/>
            <rFont val="Tahoma"/>
            <family val="2"/>
          </rPr>
          <t>Gary Goldstein:</t>
        </r>
        <r>
          <rPr>
            <sz val="8"/>
            <color indexed="81"/>
            <rFont val="Tahoma"/>
            <family val="2"/>
          </rPr>
          <t xml:space="preserve">
Key field for export option.</t>
        </r>
      </text>
    </comment>
  </commentList>
</comments>
</file>

<file path=xl/sharedStrings.xml><?xml version="1.0" encoding="utf-8"?>
<sst xmlns="http://schemas.openxmlformats.org/spreadsheetml/2006/main" count="3294" uniqueCount="408">
  <si>
    <t>CommUnit</t>
  </si>
  <si>
    <t>Comment</t>
  </si>
  <si>
    <t>TACTUnit</t>
  </si>
  <si>
    <t>TCAPUnit</t>
  </si>
  <si>
    <t>Set Memberships</t>
  </si>
  <si>
    <t>CommName</t>
  </si>
  <si>
    <t>CommDesc</t>
  </si>
  <si>
    <t>TechName</t>
  </si>
  <si>
    <t>TechDesc</t>
  </si>
  <si>
    <t>Units</t>
  </si>
  <si>
    <t>CommIN</t>
  </si>
  <si>
    <t>CommOUT</t>
  </si>
  <si>
    <t>ConstrName</t>
  </si>
  <si>
    <t>ConstrDesc</t>
  </si>
  <si>
    <t>ANSWER-Commodities</t>
  </si>
  <si>
    <t>ANSWER-Technologies</t>
  </si>
  <si>
    <t>ANSWER-Constraints</t>
  </si>
  <si>
    <t>ANSWER-CommData</t>
  </si>
  <si>
    <t>ANSWER-TechData</t>
  </si>
  <si>
    <t>ANSWER-ConstrData</t>
  </si>
  <si>
    <t>ANSv6.1-Home</t>
  </si>
  <si>
    <t>Commodities</t>
  </si>
  <si>
    <t>* Domestic Exchanges</t>
  </si>
  <si>
    <t>ELC</t>
  </si>
  <si>
    <t>Electricity</t>
  </si>
  <si>
    <t>PJ</t>
  </si>
  <si>
    <t>ENT,ELC</t>
  </si>
  <si>
    <t>R2</t>
  </si>
  <si>
    <t>R8</t>
  </si>
  <si>
    <t>* International Exchanges</t>
  </si>
  <si>
    <t>R0,R1,R2</t>
  </si>
  <si>
    <t>R0,R1</t>
  </si>
  <si>
    <t>Technologies</t>
  </si>
  <si>
    <t>* Region R1</t>
  </si>
  <si>
    <t>* Region R2</t>
  </si>
  <si>
    <t>* Region R3</t>
  </si>
  <si>
    <t>* Region R4</t>
  </si>
  <si>
    <t>* Region R5</t>
  </si>
  <si>
    <t>* Region R6</t>
  </si>
  <si>
    <t>* Domestic Imports</t>
  </si>
  <si>
    <t>PJ/a</t>
  </si>
  <si>
    <t>TCH,SRCENCP,SEP_IMP</t>
  </si>
  <si>
    <t>* Domestic Imports Infastructure</t>
  </si>
  <si>
    <t>GW</t>
  </si>
  <si>
    <t>* Domestic Imports Infastructure - New</t>
  </si>
  <si>
    <r>
      <t xml:space="preserve">* International Exchanges </t>
    </r>
    <r>
      <rPr>
        <i/>
        <sz val="10"/>
        <rFont val="Arial"/>
        <family val="2"/>
      </rPr>
      <t>{note that only those with entries on the International sheet constructed here, not dynamic at this time}</t>
    </r>
  </si>
  <si>
    <t>R0</t>
  </si>
  <si>
    <t>TCH,SRCENCP,SEP_EXP</t>
  </si>
  <si>
    <r>
      <t xml:space="preserve">* International Imports Infastructure - Existing </t>
    </r>
    <r>
      <rPr>
        <i/>
        <sz val="10"/>
        <rFont val="Arial"/>
        <family val="2"/>
      </rPr>
      <t>{note that only those with entries on the International sheet constructed here, not dynamic at this time}</t>
    </r>
  </si>
  <si>
    <r>
      <t xml:space="preserve">* International Imports Infastructure - New </t>
    </r>
    <r>
      <rPr>
        <i/>
        <sz val="10"/>
        <rFont val="Arial"/>
        <family val="2"/>
      </rPr>
      <t>{note that only those with entries on the International sheet constructed here, not dynamic at this time}</t>
    </r>
  </si>
  <si>
    <r>
      <t xml:space="preserve">* International Exports - Exogenous </t>
    </r>
    <r>
      <rPr>
        <i/>
        <sz val="10"/>
        <rFont val="Arial"/>
        <family val="2"/>
      </rPr>
      <t>{note that only those with entries on the International sheet constructed here, not dynamic at this time}</t>
    </r>
  </si>
  <si>
    <t>EXPELC0</t>
  </si>
  <si>
    <t>Exported Electricity International - R1</t>
  </si>
  <si>
    <t>Exported Electricity International - R2</t>
  </si>
  <si>
    <t>Exported Electricity International - R3</t>
  </si>
  <si>
    <t>Exported Electricity International - R4</t>
  </si>
  <si>
    <t>Exported Electricity International - R5</t>
  </si>
  <si>
    <t>Exported Electricity International - R6</t>
  </si>
  <si>
    <t>Exported Electricity International - R7</t>
  </si>
  <si>
    <t>Exported Electricity International - R8</t>
  </si>
  <si>
    <t>Exported Electricity International - R9</t>
  </si>
  <si>
    <t>TechData</t>
  </si>
  <si>
    <t>PJ, PJ/a</t>
  </si>
  <si>
    <t>R1</t>
  </si>
  <si>
    <t>R3</t>
  </si>
  <si>
    <t>R4</t>
  </si>
  <si>
    <t>R5</t>
  </si>
  <si>
    <t>R6</t>
  </si>
  <si>
    <t>R7</t>
  </si>
  <si>
    <t>R9</t>
  </si>
  <si>
    <t>* Domestic Trade Processes, Infastructure - Existing</t>
  </si>
  <si>
    <t>*** R1</t>
  </si>
  <si>
    <t>*** R2</t>
  </si>
  <si>
    <t>*** R3</t>
  </si>
  <si>
    <t>*** R4</t>
  </si>
  <si>
    <t>*** R5</t>
  </si>
  <si>
    <t>*** R6</t>
  </si>
  <si>
    <t>* Domestic Trade Processes, Infastructure - New</t>
  </si>
  <si>
    <t>* International Trade Processes, Infrastructure - Existing</t>
  </si>
  <si>
    <t>* International Trade Processes, Infrastructure - New</t>
  </si>
  <si>
    <t>* International production</t>
  </si>
  <si>
    <t>* US Exports</t>
  </si>
  <si>
    <t>*</t>
  </si>
  <si>
    <t xml:space="preserve">Proposed Seasonal Transmission Flow Limits between Census Divisions (GW) </t>
  </si>
  <si>
    <t>Winter (GW)</t>
  </si>
  <si>
    <t>Import Region</t>
  </si>
  <si>
    <t>Export Region</t>
  </si>
  <si>
    <t>NE</t>
  </si>
  <si>
    <t>MA</t>
  </si>
  <si>
    <t>SA</t>
  </si>
  <si>
    <t>ENC</t>
  </si>
  <si>
    <t>ESC</t>
  </si>
  <si>
    <t>WNC</t>
  </si>
  <si>
    <t>WSC</t>
  </si>
  <si>
    <t>MTN</t>
  </si>
  <si>
    <t>PAC</t>
  </si>
  <si>
    <t/>
  </si>
  <si>
    <t>Summer (GW)</t>
  </si>
  <si>
    <t>[Note that it is assumed that all transfers can be bi-directional always according to the Winter table! So explicit 0 where cant?]</t>
  </si>
  <si>
    <t>Table with the RESID/BOUND(UP) = Max of Summer/Winter</t>
  </si>
  <si>
    <t>Max (GW)</t>
  </si>
  <si>
    <t>Winter AF</t>
  </si>
  <si>
    <t>Summer AF</t>
  </si>
  <si>
    <t>Intermediate AF</t>
  </si>
  <si>
    <t>Intermediate = average of AF (Summer + Winter)</t>
  </si>
  <si>
    <t>Proposed Seasonal Transmission Flow Limits (GW) between Census Divisions And International Neighbors</t>
  </si>
  <si>
    <t>Source Data: NEMS AEO 2006 Electricity Market Module</t>
  </si>
  <si>
    <t>{Original tables from Less. Re-ordered and transposed}</t>
  </si>
  <si>
    <t>Transfer Limit Winter</t>
  </si>
  <si>
    <t>Mexico</t>
  </si>
  <si>
    <t>British Columbia</t>
  </si>
  <si>
    <t>Manitoba</t>
  </si>
  <si>
    <t>Ontario</t>
  </si>
  <si>
    <t>Quebec</t>
  </si>
  <si>
    <t>New Brunswick</t>
  </si>
  <si>
    <t>MX</t>
  </si>
  <si>
    <t>BC</t>
  </si>
  <si>
    <t>ON</t>
  </si>
  <si>
    <t>QU</t>
  </si>
  <si>
    <t>NB</t>
  </si>
  <si>
    <t>Transfer Limit Summer</t>
  </si>
  <si>
    <t>Table with the RESID = Max of Summer/Winter</t>
  </si>
  <si>
    <t>Table with the BOUND(UP) = Max of Imports to all regions</t>
  </si>
  <si>
    <t xml:space="preserve">Total </t>
  </si>
  <si>
    <t>Tier</t>
  </si>
  <si>
    <t>Imported Electricity Production Bound</t>
  </si>
  <si>
    <t>Mexico (MX)</t>
  </si>
  <si>
    <t>British Columbia (BC)</t>
  </si>
  <si>
    <t>Manitoba (MA)</t>
  </si>
  <si>
    <t>Ontario (ON)</t>
  </si>
  <si>
    <t>Quebec (QU)</t>
  </si>
  <si>
    <t>New Brunswick (NB)</t>
  </si>
  <si>
    <t>Source Data: NEMS AEO 2006 Reference Case</t>
  </si>
  <si>
    <t>Compiled from Regional Supplemental Tables for Electricity</t>
  </si>
  <si>
    <t>Compiled By OnLocation, Inc.</t>
  </si>
  <si>
    <t>International Electricity Trade - Gross Total</t>
  </si>
  <si>
    <t>Billion Kilowatthours</t>
  </si>
  <si>
    <t>Petajoules = *</t>
  </si>
  <si>
    <t>LABEL</t>
  </si>
  <si>
    <t>Region</t>
  </si>
  <si>
    <t>US International Export Levels</t>
  </si>
  <si>
    <t>CENSUS</t>
  </si>
  <si>
    <t>Data</t>
  </si>
  <si>
    <t>Exports</t>
  </si>
  <si>
    <t>Imports</t>
  </si>
  <si>
    <t>1.NE</t>
  </si>
  <si>
    <t>2.MA</t>
  </si>
  <si>
    <t>3.ENC</t>
  </si>
  <si>
    <t>4.WNC</t>
  </si>
  <si>
    <t>5.SA</t>
  </si>
  <si>
    <t>6.ESC</t>
  </si>
  <si>
    <t>7.WSC</t>
  </si>
  <si>
    <t>8.MTN</t>
  </si>
  <si>
    <t>9.PAC</t>
  </si>
  <si>
    <t>Total Sum of 2005</t>
  </si>
  <si>
    <t>Total Sum of 2010</t>
  </si>
  <si>
    <t>Total Sum of 2015</t>
  </si>
  <si>
    <t>Total Sum of 2020</t>
  </si>
  <si>
    <t>Total Sum of 2025</t>
  </si>
  <si>
    <t>Total Sum of 2030</t>
  </si>
  <si>
    <r>
      <t>Imported Electricity Production Price</t>
    </r>
    <r>
      <rPr>
        <i/>
        <sz val="10"/>
        <color indexed="10"/>
        <rFont val="Arial"/>
        <family val="2"/>
      </rPr>
      <t xml:space="preserve"> {Pending}</t>
    </r>
  </si>
  <si>
    <t>Fixed</t>
  </si>
  <si>
    <t>R0,R1,R2,R3,R4,R5,R6</t>
  </si>
  <si>
    <t>R1,R2,R3,R4,R5,R6</t>
  </si>
  <si>
    <t>*R4,R7,R9</t>
  </si>
  <si>
    <t>*R8</t>
  </si>
  <si>
    <t>*R0,R9</t>
  </si>
  <si>
    <t>*R0,R4</t>
  </si>
  <si>
    <t>R0,R2</t>
  </si>
  <si>
    <t>* Not Allowed</t>
  </si>
  <si>
    <t>* Not Available</t>
  </si>
  <si>
    <t>Electricity Exports from R0 (Manitoba) to R4</t>
  </si>
  <si>
    <t>Electricity Exports from R0 (Ontario) to R2</t>
  </si>
  <si>
    <t>Electricity Exports from R0 (Ontario) to R3</t>
  </si>
  <si>
    <t>Electricity Exports from R0 (Ontario) to R4</t>
  </si>
  <si>
    <t>Electricity Exports from R0 (Quebec) to R1</t>
  </si>
  <si>
    <t>Electricity Exports from R0 (Quebec) to R2</t>
  </si>
  <si>
    <t>Electricity Exports from R0 (New Brunswick) to R1</t>
  </si>
  <si>
    <t>Electricity Imports from R0 (Manitoba) to R4</t>
  </si>
  <si>
    <t>Electricity Imports from R0 (Ontario) to R2</t>
  </si>
  <si>
    <t>Electricity Imports from R0 (Ontario) to R3</t>
  </si>
  <si>
    <t>Electricity Imports from R0 (Ontario) to R4</t>
  </si>
  <si>
    <t>Electricity Imports from R0 (Quebec) to R1</t>
  </si>
  <si>
    <t>Electricity Imports from R0 (Quebec) to R2</t>
  </si>
  <si>
    <t>Electricity Imports from R0 (New Brunswick) to R1</t>
  </si>
  <si>
    <t>Imported Electricity Price Step 1 - MX</t>
  </si>
  <si>
    <t>Imported Electricity Price Step 2 - MX</t>
  </si>
  <si>
    <t>Imported Electricity Price Step 3 - MX</t>
  </si>
  <si>
    <t>Imported Electricity Price Step 1 - BC</t>
  </si>
  <si>
    <t>Imported Electricity Price Step 2 - BC</t>
  </si>
  <si>
    <t>Imported Electricity Price Step 3 - BC</t>
  </si>
  <si>
    <t>Imported Electricity Price Step 1 - MA</t>
  </si>
  <si>
    <t>Imported Electricity Price Step 2 - MA</t>
  </si>
  <si>
    <t>Imported Electricity Price Step 3 - MA</t>
  </si>
  <si>
    <t>Imported Electricity Price Step 1 - ON</t>
  </si>
  <si>
    <t>Imported Electricity Price Step 2 - ON</t>
  </si>
  <si>
    <t>Imported Electricity Price Step 3 - ON</t>
  </si>
  <si>
    <t>Imported Electricity Price Step 1 - QU</t>
  </si>
  <si>
    <t>Imported Electricity Price Step 2 - QU</t>
  </si>
  <si>
    <t>Imported Electricity Price Step 3 - QU</t>
  </si>
  <si>
    <t>Imported Electricity Price Step 1 - NB</t>
  </si>
  <si>
    <t>Imported Electricity Price Step 2 - NB</t>
  </si>
  <si>
    <t>Imported Electricity Price Step 3 - NB</t>
  </si>
  <si>
    <t>Electricity Exports from R0  to R9</t>
  </si>
  <si>
    <t>Electricity Imports from R0  to R9</t>
  </si>
  <si>
    <t xml:space="preserve">Proposed Seasonal Transmission Flow Limits Between NYC Boroughs Divisions (GW) </t>
  </si>
  <si>
    <t>New York City's 17 Transmission Load Areas (TLA)</t>
  </si>
  <si>
    <t>NYC Transmission Capacity Values</t>
  </si>
  <si>
    <t>TLA Name</t>
  </si>
  <si>
    <t>Borough</t>
  </si>
  <si>
    <t>Regions</t>
  </si>
  <si>
    <t>Line kV</t>
  </si>
  <si>
    <t>MW</t>
  </si>
  <si>
    <t>NYC 345kV</t>
  </si>
  <si>
    <t>BK,BX,MH,SI,QN</t>
  </si>
  <si>
    <t>R3,R4,R5,R6,R7</t>
  </si>
  <si>
    <t>BK</t>
  </si>
  <si>
    <t>BX</t>
  </si>
  <si>
    <t>MH</t>
  </si>
  <si>
    <t>SI</t>
  </si>
  <si>
    <t>QN</t>
  </si>
  <si>
    <t>West 49th Street</t>
  </si>
  <si>
    <t>Manhattan</t>
  </si>
  <si>
    <t>NYC 138kV</t>
  </si>
  <si>
    <t>MH,QN</t>
  </si>
  <si>
    <t>R5,R7</t>
  </si>
  <si>
    <t>Astoria 138kV</t>
  </si>
  <si>
    <t>East 13th Street</t>
  </si>
  <si>
    <t>Astoria East/Corona</t>
  </si>
  <si>
    <t>Queens</t>
  </si>
  <si>
    <t>Astoria West/Queensbridge</t>
  </si>
  <si>
    <t>Vernon</t>
  </si>
  <si>
    <t>East River</t>
  </si>
  <si>
    <t>Greenwood/Staten Island</t>
  </si>
  <si>
    <t>BK,SI</t>
  </si>
  <si>
    <t>R3,R6</t>
  </si>
  <si>
    <t>Corona/Jamaica</t>
  </si>
  <si>
    <t>Bronx</t>
  </si>
  <si>
    <t>BX,MH</t>
  </si>
  <si>
    <t>R4,R5</t>
  </si>
  <si>
    <t>Eastview</t>
  </si>
  <si>
    <t>Westchester</t>
  </si>
  <si>
    <t>Staten Island</t>
  </si>
  <si>
    <t>Dunwoodie North/Sherman Creek</t>
  </si>
  <si>
    <t>BK,MH</t>
  </si>
  <si>
    <t>R3,R5</t>
  </si>
  <si>
    <t>Dunwoodie South</t>
  </si>
  <si>
    <t>Millwood/Buchanon</t>
  </si>
  <si>
    <t>Source: ConEdison 2014 Transmission Plan</t>
  </si>
  <si>
    <t>New York City Substations</t>
  </si>
  <si>
    <t>Source</t>
  </si>
  <si>
    <t>Brownsville</t>
  </si>
  <si>
    <t>ConEd/DPS</t>
  </si>
  <si>
    <t>Goethels</t>
  </si>
  <si>
    <t>Anbaric</t>
  </si>
  <si>
    <t>Academy</t>
  </si>
  <si>
    <t>???</t>
  </si>
  <si>
    <t>Greenwood</t>
  </si>
  <si>
    <t>Avenue A</t>
  </si>
  <si>
    <t>Matt Koenig Email: koenigm@coned.com</t>
  </si>
  <si>
    <t>East 15th Street</t>
  </si>
  <si>
    <t>East 36th Street</t>
  </si>
  <si>
    <t>East 75th Street</t>
  </si>
  <si>
    <t>East 179th Street</t>
  </si>
  <si>
    <t>Fresh Kills</t>
  </si>
  <si>
    <t>Fox Hills</t>
  </si>
  <si>
    <t>Parkchester</t>
  </si>
  <si>
    <t>Queensbridge</t>
  </si>
  <si>
    <t>Gowanus</t>
  </si>
  <si>
    <t>Trade Center</t>
  </si>
  <si>
    <t>Seaport</t>
  </si>
  <si>
    <t>Sherman Creek</t>
  </si>
  <si>
    <t>Rainey</t>
  </si>
  <si>
    <t>Hellgate</t>
  </si>
  <si>
    <t>ELE</t>
  </si>
  <si>
    <t>IMP</t>
  </si>
  <si>
    <t>EXP</t>
  </si>
  <si>
    <t>~FI_Comm</t>
  </si>
  <si>
    <t>Unit</t>
  </si>
  <si>
    <t>Csets</t>
  </si>
  <si>
    <t>LimType</t>
  </si>
  <si>
    <t>CTSLvl</t>
  </si>
  <si>
    <t>PeakTS</t>
  </si>
  <si>
    <t>Ctype</t>
  </si>
  <si>
    <t>~FI_Process</t>
  </si>
  <si>
    <t>Tact</t>
  </si>
  <si>
    <t>Tcap</t>
  </si>
  <si>
    <t>Sets</t>
  </si>
  <si>
    <t>PrimaryCG</t>
  </si>
  <si>
    <t>Vintage</t>
  </si>
  <si>
    <t>NCAP_START</t>
  </si>
  <si>
    <t>Input</t>
  </si>
  <si>
    <t>Output</t>
  </si>
  <si>
    <t>PRC_RESID</t>
  </si>
  <si>
    <t>NCAP_COST</t>
  </si>
  <si>
    <t>ACT_COST</t>
  </si>
  <si>
    <t>ACT_BND~2010</t>
  </si>
  <si>
    <t>ACT_BND~2055</t>
  </si>
  <si>
    <t>*TechDesc</t>
  </si>
  <si>
    <t>~FI_T</t>
  </si>
  <si>
    <t>EFF</t>
  </si>
  <si>
    <t>NRG</t>
  </si>
  <si>
    <t>COST~2010</t>
  </si>
  <si>
    <t>ACT_BND~2015</t>
  </si>
  <si>
    <t>COST~2015</t>
  </si>
  <si>
    <t>ACT_BND~2020</t>
  </si>
  <si>
    <t>ACT_BND~2025</t>
  </si>
  <si>
    <t>ACT_BND~2030</t>
  </si>
  <si>
    <t>ACT_BND~2035</t>
  </si>
  <si>
    <t>ACT_BND~2040</t>
  </si>
  <si>
    <t>ACT_BND~2045</t>
  </si>
  <si>
    <t>COST~2020</t>
  </si>
  <si>
    <t>COST~2025</t>
  </si>
  <si>
    <t>COST~2030</t>
  </si>
  <si>
    <t>COST~2035</t>
  </si>
  <si>
    <t>COST~2040</t>
  </si>
  <si>
    <t>COST~2045</t>
  </si>
  <si>
    <t>COST~2050</t>
  </si>
  <si>
    <t>ACT_BND~2050</t>
  </si>
  <si>
    <t>COST~2055</t>
  </si>
  <si>
    <t>ELCR1</t>
  </si>
  <si>
    <t>ELCR2</t>
  </si>
  <si>
    <t>ELCR3</t>
  </si>
  <si>
    <t>ELCR4</t>
  </si>
  <si>
    <t>ELCR5</t>
  </si>
  <si>
    <t>ELCR6</t>
  </si>
  <si>
    <t>* Domestic trade</t>
  </si>
  <si>
    <t>Domestic Trade from R1</t>
  </si>
  <si>
    <t>Domestic Trade from R2</t>
  </si>
  <si>
    <t>Domestic Trade from R3</t>
  </si>
  <si>
    <t>Domestic Trade from R4</t>
  </si>
  <si>
    <t>Domestic Trade from R5</t>
  </si>
  <si>
    <t>Domestic Trade from R6</t>
  </si>
  <si>
    <t>XELCR1</t>
  </si>
  <si>
    <t>XELCR2</t>
  </si>
  <si>
    <t>XELCR3</t>
  </si>
  <si>
    <t>XELCR4</t>
  </si>
  <si>
    <t>XELCR5</t>
  </si>
  <si>
    <t>XELCR6</t>
  </si>
  <si>
    <t>NCAP_AF~IDAM</t>
  </si>
  <si>
    <t>NCAP_AF~IDPM</t>
  </si>
  <si>
    <t>NCAP_AF~IP</t>
  </si>
  <si>
    <t>NCAP_AF~IN</t>
  </si>
  <si>
    <t>NCAP_AF~SDAM</t>
  </si>
  <si>
    <t>NCAP_AF~SDPM</t>
  </si>
  <si>
    <t>NCAP_AF~SP</t>
  </si>
  <si>
    <t>NCAP_AF~SN</t>
  </si>
  <si>
    <t>NCAP_AF~WDAM</t>
  </si>
  <si>
    <t>NCAP_AF~WDPM</t>
  </si>
  <si>
    <t>NCAP_AF~WP</t>
  </si>
  <si>
    <t>NCAP_AF~WN</t>
  </si>
  <si>
    <t>NCAP_TLIFE</t>
  </si>
  <si>
    <t>NCAP_BND~UP</t>
  </si>
  <si>
    <t>DAYNITE</t>
  </si>
  <si>
    <t>ANNUAL</t>
  </si>
  <si>
    <t>Tslvl</t>
  </si>
  <si>
    <t>PRC_RESID~2010</t>
  </si>
  <si>
    <t>PRC_RESID~2055</t>
  </si>
  <si>
    <t>NCAP_BND</t>
  </si>
  <si>
    <t>PRC_CAPACT</t>
  </si>
  <si>
    <t>CAP_BND~2010</t>
  </si>
  <si>
    <t>CAP_BND~2055</t>
  </si>
  <si>
    <t>https://www.eia.gov/electricity/gridmonitor/dashboard/electric_overview/balancing_authority/PJM</t>
  </si>
  <si>
    <t>Maximum net export</t>
  </si>
  <si>
    <t>Maximum net import</t>
  </si>
  <si>
    <t>PJM</t>
  </si>
  <si>
    <t>CA</t>
  </si>
  <si>
    <t>Annual export</t>
  </si>
  <si>
    <t>Annual import</t>
  </si>
  <si>
    <t>Annual net trade</t>
  </si>
  <si>
    <t>TWh</t>
  </si>
  <si>
    <t>https://www.eia.gov/electricity/wholesale/</t>
  </si>
  <si>
    <t>Wholesale price</t>
  </si>
  <si>
    <t>Electricity Imports from PJM  to R1</t>
  </si>
  <si>
    <t>Electricity Imports from New England  to R1</t>
  </si>
  <si>
    <t>Electricity Imports from Canada  to R1</t>
  </si>
  <si>
    <t>XELCIMPPJM</t>
  </si>
  <si>
    <t>XELCIMPNE</t>
  </si>
  <si>
    <t>XELCIMPCA</t>
  </si>
  <si>
    <t>XELCEXPPJM</t>
  </si>
  <si>
    <t>XELCEXPNE</t>
  </si>
  <si>
    <t>XELCEXPCA</t>
  </si>
  <si>
    <t>Electricity Exports from R1 to PJM</t>
  </si>
  <si>
    <t>Electricity Exports from R1 to New England</t>
  </si>
  <si>
    <t>Electricity Exports from R1 to Canada</t>
  </si>
  <si>
    <t>ACT_COST~UP~2010</t>
  </si>
  <si>
    <t>ACT_COST~UP~2015</t>
  </si>
  <si>
    <t>ACT_COST~UP~2020</t>
  </si>
  <si>
    <t>ACT_COST~UP~2050</t>
  </si>
  <si>
    <t>$ 2010 / MWh</t>
  </si>
  <si>
    <t>CAP_BND~UP</t>
  </si>
  <si>
    <t>NCAP_AF</t>
  </si>
  <si>
    <t>ACT_BND~UP~2010</t>
  </si>
  <si>
    <t>ACT_BND~UP~2015</t>
  </si>
  <si>
    <t>ACT_BND~UP~2020</t>
  </si>
  <si>
    <t>ACT_BND~LO~2010</t>
  </si>
  <si>
    <t>ACT_BND~LO~2015</t>
  </si>
  <si>
    <t>ACT_BND~LO~2020</t>
  </si>
  <si>
    <t>XELCIMPPSEG</t>
  </si>
  <si>
    <t>PSEG</t>
  </si>
  <si>
    <t>ACT_COST~UP~2025</t>
  </si>
  <si>
    <t>ACT_BND~LO~2025</t>
  </si>
  <si>
    <t>Electricity consumption per borrow (from COMET)</t>
  </si>
  <si>
    <t>Electricity generation (or import PSEG/Linden/Bayonne) per borrow (from COMET)</t>
  </si>
  <si>
    <t>Share</t>
  </si>
  <si>
    <t>Net-Load per borrow (from COMET)</t>
  </si>
  <si>
    <t>Electricity Imports from PSEG  to R4</t>
  </si>
  <si>
    <t>Peak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</si>
</sst>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1">
    <numFmt numFmtId="43" formatCode="_(* #,##0.00_);_(* \(#,##0.00\);_(* &quot;-&quot;??_);_(@_)"/>
    <numFmt numFmtId="164" formatCode="_-* #,##0.00_-;\-* #,##0.00_-;_-* &quot;-&quot;??_-;_-@_-"/>
    <numFmt numFmtId="165" formatCode="0.0000"/>
    <numFmt numFmtId="166" formatCode="_-* #,##0_-;\-* #,##0_-;_-* &quot;-&quot;??_-;_-@_-"/>
    <numFmt numFmtId="167" formatCode="0.000"/>
    <numFmt numFmtId="168" formatCode="0.0%"/>
    <numFmt numFmtId="169" formatCode="\Te\x\t"/>
    <numFmt numFmtId="170" formatCode="_-* #,##0_-;\-* #,##0_-;_-* &quot;-&quot;_-;_-@_-"/>
    <numFmt numFmtId="171" formatCode="_-&quot;$&quot;* #,##0.00_-;\-&quot;$&quot;* #,##0.00_-;_-&quot;$&quot;* &quot;-&quot;??_-;_-@_-"/>
    <numFmt numFmtId="172" formatCode="_ * #,##0.00_)\ _$_ ;_ * \(#,##0.00\)\ _$_ ;_ * &quot;-&quot;??_)\ _$_ ;_ @_ "/>
    <numFmt numFmtId="173" formatCode="#,##0.0_);\(#,##0.0\);&quot;-&quot;_);@"/>
    <numFmt numFmtId="174" formatCode="_-* #,##0.00\ _€_-;\-* #,##0.00\ _€_-;_-* &quot;-&quot;??\ _€_-;_-@_-"/>
    <numFmt numFmtId="175" formatCode="General_)"/>
    <numFmt numFmtId="176" formatCode="_(* #,##0.00_);_(* \(#,##0.00\);_(* \-??_);_(@_)"/>
    <numFmt numFmtId="177" formatCode="_-* #,##0.00_-;\-* #,##0.00_-;_-* \-??_-;_-@_-"/>
    <numFmt numFmtId="178" formatCode="_-* #,##0.00\ _€_-;\-* #,##0.00\ _€_-;_-* \-??\ _€_-;_-@_-"/>
    <numFmt numFmtId="179" formatCode="_ * #,##0.00_)\ _$_ ;_ * \(#,##0.00&quot;) &quot;_$_ ;_ * \-??_)\ _$_ ;_ @_ "/>
    <numFmt numFmtId="180" formatCode="yyyy"/>
    <numFmt numFmtId="181" formatCode="mmm\ dd\,\ yyyy"/>
    <numFmt numFmtId="182" formatCode="_(* #,##0_);_(* \(#,##0\);_(* &quot;-&quot;??_);_(@_)"/>
    <numFmt numFmtId="183" formatCode="0.0"/>
  </numFmts>
  <fonts count="7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b/>
      <sz val="10"/>
      <color indexed="2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i/>
      <sz val="10"/>
      <color indexed="10"/>
      <name val="Arial"/>
      <family val="2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10"/>
      <color theme="1"/>
      <name val="Calibri"/>
      <family val="1"/>
      <scheme val="minor"/>
    </font>
    <font>
      <sz val="10"/>
      <name val="Helv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sz val="12"/>
      <name val="Arial MT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 MT"/>
      <family val="2"/>
    </font>
    <font>
      <u/>
      <sz val="7.5"/>
      <color indexed="12"/>
      <name val="Arial"/>
      <family val="2"/>
    </font>
    <font>
      <sz val="9"/>
      <color theme="1"/>
      <name val="Calibri"/>
      <family val="2"/>
      <scheme val="minor"/>
    </font>
    <font>
      <u/>
      <sz val="11"/>
      <color theme="6"/>
      <name val="Calibri"/>
      <family val="2"/>
    </font>
    <font>
      <b/>
      <sz val="9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medium">
        <color theme="4"/>
      </top>
      <bottom/>
      <diagonal/>
    </border>
    <border>
      <left style="thick">
        <color theme="0"/>
      </left>
      <right style="thick">
        <color theme="0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4"/>
      </top>
      <bottom style="dashed">
        <color theme="0" tint="-0.24994659260841701"/>
      </bottom>
      <diagonal/>
    </border>
    <border>
      <left/>
      <right/>
      <top style="thin">
        <color theme="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1492">
    <xf numFmtId="0" fontId="0" fillId="0" borderId="0"/>
    <xf numFmtId="164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21" fillId="0" borderId="26" applyNumberFormat="0" applyFill="0" applyAlignment="0" applyProtection="0"/>
    <xf numFmtId="0" fontId="22" fillId="0" borderId="27" applyNumberFormat="0" applyFill="0" applyAlignment="0" applyProtection="0"/>
    <xf numFmtId="0" fontId="23" fillId="0" borderId="28" applyNumberFormat="0" applyFill="0" applyAlignment="0" applyProtection="0"/>
    <xf numFmtId="0" fontId="23" fillId="0" borderId="0" applyNumberFormat="0" applyFill="0" applyBorder="0" applyAlignment="0" applyProtection="0"/>
    <xf numFmtId="0" fontId="24" fillId="8" borderId="0" applyNumberFormat="0" applyBorder="0" applyAlignment="0" applyProtection="0"/>
    <xf numFmtId="0" fontId="25" fillId="9" borderId="0" applyNumberFormat="0" applyBorder="0" applyAlignment="0" applyProtection="0"/>
    <xf numFmtId="0" fontId="26" fillId="11" borderId="29" applyNumberFormat="0" applyAlignment="0" applyProtection="0"/>
    <xf numFmtId="0" fontId="27" fillId="12" borderId="30" applyNumberFormat="0" applyAlignment="0" applyProtection="0"/>
    <xf numFmtId="0" fontId="28" fillId="12" borderId="29" applyNumberFormat="0" applyAlignment="0" applyProtection="0"/>
    <xf numFmtId="0" fontId="29" fillId="0" borderId="31" applyNumberFormat="0" applyFill="0" applyAlignment="0" applyProtection="0"/>
    <xf numFmtId="0" fontId="30" fillId="13" borderId="32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34" applyNumberFormat="0" applyFill="0" applyAlignment="0" applyProtection="0"/>
    <xf numFmtId="0" fontId="34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4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4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4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4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4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5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2" fontId="38" fillId="0" borderId="0" applyFont="0" applyFill="0" applyBorder="0" applyAlignment="0" applyProtection="0"/>
    <xf numFmtId="17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72" fontId="3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6" fillId="0" borderId="0"/>
    <xf numFmtId="0" fontId="3" fillId="14" borderId="3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14" borderId="33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14" borderId="33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14" borderId="33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75" fontId="40" fillId="0" borderId="0"/>
    <xf numFmtId="0" fontId="3" fillId="0" borderId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14" borderId="33" applyNumberFormat="0" applyFont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14" borderId="3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14" borderId="33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14" borderId="33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5" borderId="0" applyNumberFormat="0" applyBorder="0" applyAlignment="0" applyProtection="0"/>
    <xf numFmtId="0" fontId="38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2" borderId="0" applyNumberFormat="0" applyBorder="0" applyAlignment="0" applyProtection="0"/>
    <xf numFmtId="0" fontId="38" fillId="45" borderId="0" applyNumberFormat="0" applyBorder="0" applyAlignment="0" applyProtection="0"/>
    <xf numFmtId="0" fontId="38" fillId="48" borderId="0" applyNumberFormat="0" applyBorder="0" applyAlignment="0" applyProtection="0"/>
    <xf numFmtId="0" fontId="34" fillId="18" borderId="0" applyNumberFormat="0" applyBorder="0" applyAlignment="0" applyProtection="0"/>
    <xf numFmtId="0" fontId="44" fillId="49" borderId="0" applyNumberFormat="0" applyBorder="0" applyAlignment="0" applyProtection="0"/>
    <xf numFmtId="0" fontId="34" fillId="22" borderId="0" applyNumberFormat="0" applyBorder="0" applyAlignment="0" applyProtection="0"/>
    <xf numFmtId="0" fontId="44" fillId="46" borderId="0" applyNumberFormat="0" applyBorder="0" applyAlignment="0" applyProtection="0"/>
    <xf numFmtId="0" fontId="34" fillId="26" borderId="0" applyNumberFormat="0" applyBorder="0" applyAlignment="0" applyProtection="0"/>
    <xf numFmtId="0" fontId="44" fillId="47" borderId="0" applyNumberFormat="0" applyBorder="0" applyAlignment="0" applyProtection="0"/>
    <xf numFmtId="0" fontId="34" fillId="30" borderId="0" applyNumberFormat="0" applyBorder="0" applyAlignment="0" applyProtection="0"/>
    <xf numFmtId="0" fontId="44" fillId="50" borderId="0" applyNumberFormat="0" applyBorder="0" applyAlignment="0" applyProtection="0"/>
    <xf numFmtId="0" fontId="34" fillId="34" borderId="0" applyNumberFormat="0" applyBorder="0" applyAlignment="0" applyProtection="0"/>
    <xf numFmtId="0" fontId="44" fillId="51" borderId="0" applyNumberFormat="0" applyBorder="0" applyAlignment="0" applyProtection="0"/>
    <xf numFmtId="0" fontId="34" fillId="38" borderId="0" applyNumberFormat="0" applyBorder="0" applyAlignment="0" applyProtection="0"/>
    <xf numFmtId="0" fontId="44" fillId="52" borderId="0" applyNumberFormat="0" applyBorder="0" applyAlignment="0" applyProtection="0"/>
    <xf numFmtId="0" fontId="44" fillId="53" borderId="0" applyNumberFormat="0" applyBorder="0" applyAlignment="0" applyProtection="0"/>
    <xf numFmtId="0" fontId="44" fillId="54" borderId="0" applyNumberFormat="0" applyBorder="0" applyAlignment="0" applyProtection="0"/>
    <xf numFmtId="0" fontId="44" fillId="55" borderId="0" applyNumberFormat="0" applyBorder="0" applyAlignment="0" applyProtection="0"/>
    <xf numFmtId="0" fontId="44" fillId="50" borderId="0" applyNumberFormat="0" applyBorder="0" applyAlignment="0" applyProtection="0"/>
    <xf numFmtId="0" fontId="44" fillId="51" borderId="0" applyNumberFormat="0" applyBorder="0" applyAlignment="0" applyProtection="0"/>
    <xf numFmtId="0" fontId="44" fillId="56" borderId="0" applyNumberFormat="0" applyBorder="0" applyAlignment="0" applyProtection="0"/>
    <xf numFmtId="0" fontId="45" fillId="40" borderId="0" applyNumberFormat="0" applyBorder="0" applyAlignment="0" applyProtection="0"/>
    <xf numFmtId="0" fontId="63" fillId="0" borderId="44" applyNumberFormat="0" applyFont="0" applyProtection="0">
      <alignment wrapText="1"/>
    </xf>
    <xf numFmtId="0" fontId="46" fillId="57" borderId="35" applyNumberFormat="0" applyAlignment="0" applyProtection="0"/>
    <xf numFmtId="0" fontId="47" fillId="58" borderId="36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3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7" fontId="3" fillId="0" borderId="0" applyFill="0" applyBorder="0" applyAlignment="0" applyProtection="0"/>
    <xf numFmtId="17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8" fontId="3" fillId="0" borderId="0" applyFill="0" applyBorder="0" applyAlignment="0" applyProtection="0"/>
    <xf numFmtId="164" fontId="3" fillId="0" borderId="0" applyFont="0" applyFill="0" applyBorder="0" applyAlignment="0" applyProtection="0"/>
    <xf numFmtId="17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6" fontId="3" fillId="0" borderId="0" applyFill="0" applyBorder="0" applyAlignment="0" applyProtection="0"/>
    <xf numFmtId="164" fontId="1" fillId="0" borderId="0" applyFont="0" applyFill="0" applyBorder="0" applyAlignment="0" applyProtection="0"/>
    <xf numFmtId="178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2" fontId="38" fillId="0" borderId="0" applyFont="0" applyFill="0" applyBorder="0" applyAlignment="0" applyProtection="0"/>
    <xf numFmtId="164" fontId="1" fillId="0" borderId="0" applyFont="0" applyFill="0" applyBorder="0" applyAlignment="0" applyProtection="0"/>
    <xf numFmtId="179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77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6" fontId="3" fillId="0" borderId="0" applyFill="0" applyBorder="0" applyAlignment="0" applyProtection="0"/>
    <xf numFmtId="17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/>
    <xf numFmtId="0" fontId="63" fillId="0" borderId="0" applyNumberFormat="0" applyProtection="0">
      <alignment vertical="top" wrapText="1"/>
    </xf>
    <xf numFmtId="0" fontId="63" fillId="0" borderId="45" applyNumberFormat="0" applyProtection="0">
      <alignment vertical="top" wrapText="1"/>
    </xf>
    <xf numFmtId="0" fontId="49" fillId="41" borderId="0" applyNumberFormat="0" applyBorder="0" applyAlignment="0" applyProtection="0"/>
    <xf numFmtId="0" fontId="65" fillId="0" borderId="26" applyNumberFormat="0" applyProtection="0">
      <alignment wrapText="1"/>
    </xf>
    <xf numFmtId="0" fontId="65" fillId="0" borderId="46" applyNumberFormat="0" applyProtection="0">
      <alignment horizontal="left" wrapText="1"/>
    </xf>
    <xf numFmtId="0" fontId="50" fillId="0" borderId="37" applyNumberFormat="0" applyFill="0" applyAlignment="0" applyProtection="0"/>
    <xf numFmtId="0" fontId="51" fillId="0" borderId="38" applyNumberFormat="0" applyFill="0" applyAlignment="0" applyProtection="0"/>
    <xf numFmtId="0" fontId="52" fillId="0" borderId="39" applyNumberFormat="0" applyFill="0" applyAlignment="0" applyProtection="0"/>
    <xf numFmtId="0" fontId="5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54" fillId="44" borderId="35" applyNumberFormat="0" applyAlignment="0" applyProtection="0"/>
    <xf numFmtId="0" fontId="55" fillId="0" borderId="40" applyNumberFormat="0" applyFill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7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7" fillId="10" borderId="0" applyNumberFormat="0" applyBorder="0" applyAlignment="0" applyProtection="0"/>
    <xf numFmtId="0" fontId="56" fillId="60" borderId="0" applyNumberFormat="0" applyBorder="0" applyAlignment="0" applyProtection="0"/>
    <xf numFmtId="0" fontId="56" fillId="60" borderId="0" applyNumberFormat="0" applyBorder="0" applyAlignment="0" applyProtection="0"/>
    <xf numFmtId="0" fontId="56" fillId="59" borderId="0" applyNumberFormat="0" applyBorder="0" applyAlignment="0" applyProtection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5" fillId="0" borderId="0"/>
    <xf numFmtId="0" fontId="38" fillId="0" borderId="0"/>
    <xf numFmtId="0" fontId="3" fillId="0" borderId="0"/>
    <xf numFmtId="0" fontId="35" fillId="0" borderId="0"/>
    <xf numFmtId="0" fontId="3" fillId="0" borderId="0"/>
    <xf numFmtId="0" fontId="1" fillId="0" borderId="0"/>
    <xf numFmtId="0" fontId="1" fillId="0" borderId="0"/>
    <xf numFmtId="0" fontId="43" fillId="0" borderId="0"/>
    <xf numFmtId="0" fontId="61" fillId="0" borderId="0"/>
    <xf numFmtId="0" fontId="3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61" borderId="41" applyNumberFormat="0" applyAlignment="0" applyProtection="0"/>
    <xf numFmtId="0" fontId="57" fillId="57" borderId="42" applyNumberFormat="0" applyAlignment="0" applyProtection="0"/>
    <xf numFmtId="0" fontId="65" fillId="0" borderId="47" applyNumberFormat="0" applyProtection="0">
      <alignment wrapText="1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3" fillId="0" borderId="48" applyNumberFormat="0" applyFont="0" applyFill="0" applyProtection="0">
      <alignment wrapText="1"/>
    </xf>
    <xf numFmtId="0" fontId="65" fillId="0" borderId="49" applyNumberFormat="0" applyFill="0" applyProtection="0">
      <alignment wrapText="1"/>
    </xf>
    <xf numFmtId="181" fontId="3" fillId="0" borderId="0" applyFill="0" applyBorder="0" applyAlignment="0" applyProtection="0">
      <alignment wrapText="1"/>
    </xf>
    <xf numFmtId="181" fontId="3" fillId="0" borderId="0" applyFill="0" applyBorder="0" applyAlignment="0" applyProtection="0">
      <alignment wrapText="1"/>
    </xf>
    <xf numFmtId="180" fontId="3" fillId="0" borderId="0" applyFill="0" applyBorder="0" applyAlignment="0" applyProtection="0">
      <alignment wrapText="1"/>
    </xf>
    <xf numFmtId="0" fontId="4" fillId="0" borderId="0" applyNumberFormat="0" applyFill="0" applyBorder="0">
      <alignment horizontal="center" wrapText="1"/>
    </xf>
    <xf numFmtId="0" fontId="4" fillId="0" borderId="0" applyNumberFormat="0" applyFill="0" applyBorder="0">
      <alignment horizontal="center" wrapText="1"/>
    </xf>
    <xf numFmtId="0" fontId="4" fillId="0" borderId="0" applyNumberFormat="0" applyFill="0" applyBorder="0">
      <alignment horizontal="center" wrapText="1"/>
    </xf>
    <xf numFmtId="0" fontId="68" fillId="0" borderId="0" applyNumberFormat="0" applyProtection="0">
      <alignment horizontal="left"/>
    </xf>
    <xf numFmtId="0" fontId="6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43" applyNumberFormat="0" applyFill="0" applyAlignment="0" applyProtection="0"/>
    <xf numFmtId="0" fontId="6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32" borderId="0" applyNumberFormat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7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14" borderId="33" applyNumberFormat="0" applyFont="0" applyAlignment="0" applyProtection="0"/>
    <xf numFmtId="0" fontId="3" fillId="14" borderId="33" applyNumberFormat="0" applyFont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14" borderId="33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" fillId="32" borderId="0" applyNumberFormat="0" applyBorder="0" applyAlignment="0" applyProtection="0"/>
    <xf numFmtId="17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14" borderId="33" applyNumberFormat="0" applyFont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14" borderId="33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14" borderId="33" applyNumberFormat="0" applyFont="0" applyAlignment="0" applyProtection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14" borderId="33" applyNumberFormat="0" applyFont="0" applyAlignment="0" applyProtection="0"/>
    <xf numFmtId="175" fontId="40" fillId="0" borderId="0"/>
    <xf numFmtId="0" fontId="3" fillId="0" borderId="0"/>
    <xf numFmtId="164" fontId="1" fillId="0" borderId="0" applyFont="0" applyFill="0" applyBorder="0" applyAlignment="0" applyProtection="0"/>
    <xf numFmtId="0" fontId="1" fillId="0" borderId="0"/>
    <xf numFmtId="0" fontId="1" fillId="14" borderId="33" applyNumberFormat="0" applyFont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5" fillId="0" borderId="0" applyFont="0" applyFill="0" applyBorder="0" applyAlignment="0" applyProtection="0"/>
    <xf numFmtId="173" fontId="3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72" fontId="3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14" borderId="33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14" borderId="33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5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2" borderId="0" xfId="0" applyFill="1"/>
    <xf numFmtId="0" fontId="8" fillId="0" borderId="0" xfId="0" applyFont="1"/>
    <xf numFmtId="49" fontId="6" fillId="0" borderId="0" xfId="0" applyNumberFormat="1" applyFont="1"/>
    <xf numFmtId="11" fontId="6" fillId="0" borderId="0" xfId="0" applyNumberFormat="1" applyFont="1"/>
    <xf numFmtId="0" fontId="9" fillId="0" borderId="0" xfId="0" applyFont="1"/>
    <xf numFmtId="0" fontId="10" fillId="0" borderId="0" xfId="0" applyFont="1"/>
    <xf numFmtId="49" fontId="9" fillId="0" borderId="0" xfId="0" applyNumberFormat="1" applyFont="1"/>
    <xf numFmtId="0" fontId="11" fillId="0" borderId="0" xfId="0" applyFont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4" fillId="4" borderId="0" xfId="0" applyFont="1" applyFill="1"/>
    <xf numFmtId="0" fontId="0" fillId="4" borderId="0" xfId="0" applyFill="1"/>
    <xf numFmtId="0" fontId="0" fillId="4" borderId="0" xfId="0" applyFill="1" applyAlignment="1">
      <alignment horizontal="center"/>
    </xf>
    <xf numFmtId="0" fontId="3" fillId="4" borderId="0" xfId="0" applyFont="1" applyFill="1"/>
    <xf numFmtId="0" fontId="4" fillId="4" borderId="0" xfId="0" applyFont="1" applyFill="1" applyAlignment="1">
      <alignment horizontal="center"/>
    </xf>
    <xf numFmtId="165" fontId="0" fillId="4" borderId="0" xfId="0" applyNumberFormat="1" applyFill="1"/>
    <xf numFmtId="0" fontId="14" fillId="4" borderId="0" xfId="0" applyFont="1" applyFill="1"/>
    <xf numFmtId="0" fontId="3" fillId="4" borderId="0" xfId="0" applyFont="1" applyFill="1" applyAlignment="1">
      <alignment horizontal="center" wrapText="1"/>
    </xf>
    <xf numFmtId="0" fontId="3" fillId="4" borderId="0" xfId="0" applyFont="1" applyFill="1" applyAlignment="1">
      <alignment horizontal="center"/>
    </xf>
    <xf numFmtId="164" fontId="3" fillId="4" borderId="0" xfId="0" applyNumberFormat="1" applyFont="1" applyFill="1"/>
    <xf numFmtId="2" fontId="3" fillId="4" borderId="0" xfId="0" applyNumberFormat="1" applyFont="1" applyFill="1"/>
    <xf numFmtId="0" fontId="16" fillId="4" borderId="0" xfId="0" applyFont="1" applyFill="1"/>
    <xf numFmtId="0" fontId="16" fillId="4" borderId="0" xfId="0" applyFont="1" applyFill="1" applyAlignment="1">
      <alignment horizontal="center"/>
    </xf>
    <xf numFmtId="165" fontId="3" fillId="4" borderId="0" xfId="0" applyNumberFormat="1" applyFont="1" applyFill="1" applyAlignment="1">
      <alignment horizontal="center" wrapText="1"/>
    </xf>
    <xf numFmtId="165" fontId="3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right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4" fillId="0" borderId="9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7" fontId="4" fillId="0" borderId="2" xfId="0" applyNumberFormat="1" applyFont="1" applyBorder="1" applyAlignment="1">
      <alignment horizontal="center" vertical="center"/>
    </xf>
    <xf numFmtId="167" fontId="4" fillId="0" borderId="4" xfId="0" applyNumberFormat="1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67" fontId="4" fillId="0" borderId="5" xfId="0" applyNumberFormat="1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167" fontId="4" fillId="0" borderId="6" xfId="0" applyNumberFormat="1" applyFont="1" applyBorder="1" applyAlignment="1">
      <alignment horizontal="center" vertical="center"/>
    </xf>
    <xf numFmtId="167" fontId="4" fillId="0" borderId="7" xfId="0" applyNumberFormat="1" applyFont="1" applyBorder="1" applyAlignment="1">
      <alignment horizontal="center" vertical="center"/>
    </xf>
    <xf numFmtId="167" fontId="4" fillId="0" borderId="8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20" fillId="0" borderId="9" xfId="3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0" fillId="0" borderId="0" xfId="3" applyAlignment="1">
      <alignment horizontal="center" vertical="center"/>
    </xf>
    <xf numFmtId="168" fontId="4" fillId="0" borderId="1" xfId="2" applyNumberFormat="1" applyFont="1" applyBorder="1" applyAlignment="1">
      <alignment horizontal="center" vertical="center"/>
    </xf>
    <xf numFmtId="168" fontId="4" fillId="0" borderId="2" xfId="2" applyNumberFormat="1" applyFont="1" applyBorder="1" applyAlignment="1">
      <alignment horizontal="center" vertical="center"/>
    </xf>
    <xf numFmtId="168" fontId="4" fillId="0" borderId="3" xfId="2" applyNumberFormat="1" applyFont="1" applyBorder="1" applyAlignment="1">
      <alignment horizontal="center" vertical="center"/>
    </xf>
    <xf numFmtId="168" fontId="4" fillId="0" borderId="4" xfId="2" applyNumberFormat="1" applyFont="1" applyBorder="1" applyAlignment="1">
      <alignment horizontal="center" vertical="center"/>
    </xf>
    <xf numFmtId="168" fontId="4" fillId="0" borderId="0" xfId="2" applyNumberFormat="1" applyFont="1" applyBorder="1" applyAlignment="1">
      <alignment horizontal="center" vertical="center"/>
    </xf>
    <xf numFmtId="168" fontId="4" fillId="0" borderId="5" xfId="2" applyNumberFormat="1" applyFont="1" applyBorder="1" applyAlignment="1">
      <alignment horizontal="center" vertical="center"/>
    </xf>
    <xf numFmtId="168" fontId="4" fillId="0" borderId="6" xfId="2" applyNumberFormat="1" applyFont="1" applyBorder="1" applyAlignment="1">
      <alignment horizontal="center" vertical="center"/>
    </xf>
    <xf numFmtId="168" fontId="4" fillId="0" borderId="7" xfId="2" applyNumberFormat="1" applyFont="1" applyBorder="1" applyAlignment="1">
      <alignment horizontal="center" vertical="center"/>
    </xf>
    <xf numFmtId="168" fontId="4" fillId="0" borderId="8" xfId="2" applyNumberFormat="1" applyFont="1" applyBorder="1" applyAlignment="1">
      <alignment horizontal="center" vertical="center"/>
    </xf>
    <xf numFmtId="169" fontId="10" fillId="0" borderId="0" xfId="0" applyNumberFormat="1" applyFont="1"/>
    <xf numFmtId="169" fontId="4" fillId="5" borderId="25" xfId="0" applyNumberFormat="1" applyFont="1" applyFill="1" applyBorder="1" applyAlignment="1">
      <alignment horizontal="left"/>
    </xf>
    <xf numFmtId="0" fontId="12" fillId="0" borderId="0" xfId="0" applyFont="1"/>
    <xf numFmtId="169" fontId="4" fillId="6" borderId="10" xfId="0" applyNumberFormat="1" applyFont="1" applyFill="1" applyBorder="1"/>
    <xf numFmtId="0" fontId="5" fillId="7" borderId="0" xfId="0" applyFont="1" applyFill="1"/>
    <xf numFmtId="0" fontId="0" fillId="7" borderId="0" xfId="0" applyFill="1"/>
    <xf numFmtId="0" fontId="8" fillId="7" borderId="0" xfId="0" applyFont="1" applyFill="1"/>
    <xf numFmtId="0" fontId="12" fillId="7" borderId="0" xfId="0" applyFont="1" applyFill="1"/>
    <xf numFmtId="0" fontId="6" fillId="7" borderId="0" xfId="0" applyFont="1" applyFill="1"/>
    <xf numFmtId="0" fontId="4" fillId="7" borderId="0" xfId="0" applyFont="1" applyFill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7" borderId="0" xfId="0" applyFont="1" applyFill="1" applyAlignment="1">
      <alignment horizontal="center"/>
    </xf>
    <xf numFmtId="166" fontId="5" fillId="7" borderId="0" xfId="1" applyNumberFormat="1" applyFont="1" applyFill="1" applyAlignment="1">
      <alignment horizontal="center"/>
    </xf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12" fillId="5" borderId="0" xfId="0" applyFont="1" applyFill="1"/>
    <xf numFmtId="0" fontId="10" fillId="0" borderId="0" xfId="4" applyFont="1" applyAlignment="1">
      <alignment horizontal="left"/>
    </xf>
    <xf numFmtId="0" fontId="13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/>
    <xf numFmtId="169" fontId="4" fillId="0" borderId="0" xfId="0" applyNumberFormat="1" applyFont="1" applyAlignment="1">
      <alignment horizontal="left"/>
    </xf>
    <xf numFmtId="164" fontId="5" fillId="7" borderId="0" xfId="0" applyNumberFormat="1" applyFont="1" applyFill="1" applyAlignment="1">
      <alignment horizontal="center"/>
    </xf>
    <xf numFmtId="0" fontId="3" fillId="7" borderId="0" xfId="0" applyFont="1" applyFill="1"/>
    <xf numFmtId="164" fontId="3" fillId="7" borderId="0" xfId="1" applyFont="1" applyFill="1" applyBorder="1"/>
    <xf numFmtId="164" fontId="3" fillId="7" borderId="0" xfId="0" applyNumberFormat="1" applyFont="1" applyFill="1"/>
    <xf numFmtId="164" fontId="3" fillId="0" borderId="0" xfId="0" applyNumberFormat="1" applyFont="1"/>
    <xf numFmtId="0" fontId="3" fillId="5" borderId="0" xfId="0" applyFont="1" applyFill="1"/>
    <xf numFmtId="0" fontId="4" fillId="5" borderId="0" xfId="0" applyFont="1" applyFill="1"/>
    <xf numFmtId="164" fontId="3" fillId="5" borderId="0" xfId="0" applyNumberFormat="1" applyFont="1" applyFill="1"/>
    <xf numFmtId="169" fontId="37" fillId="7" borderId="0" xfId="0" applyNumberFormat="1" applyFont="1" applyFill="1"/>
    <xf numFmtId="169" fontId="4" fillId="6" borderId="10" xfId="123" applyNumberFormat="1" applyFont="1" applyFill="1" applyBorder="1"/>
    <xf numFmtId="169" fontId="3" fillId="7" borderId="0" xfId="123" applyNumberFormat="1" applyFill="1"/>
    <xf numFmtId="0" fontId="20" fillId="0" borderId="0" xfId="3"/>
    <xf numFmtId="169" fontId="4" fillId="5" borderId="2" xfId="0" applyNumberFormat="1" applyFont="1" applyFill="1" applyBorder="1" applyAlignment="1">
      <alignment horizontal="left"/>
    </xf>
    <xf numFmtId="2" fontId="5" fillId="7" borderId="0" xfId="0" applyNumberFormat="1" applyFont="1" applyFill="1" applyAlignment="1">
      <alignment horizontal="center"/>
    </xf>
    <xf numFmtId="1" fontId="5" fillId="7" borderId="0" xfId="0" applyNumberFormat="1" applyFont="1" applyFill="1" applyAlignment="1">
      <alignment horizontal="center"/>
    </xf>
    <xf numFmtId="1" fontId="0" fillId="0" borderId="0" xfId="0" applyNumberFormat="1"/>
    <xf numFmtId="182" fontId="5" fillId="7" borderId="0" xfId="0" applyNumberFormat="1" applyFont="1" applyFill="1" applyAlignment="1">
      <alignment horizontal="center"/>
    </xf>
    <xf numFmtId="43" fontId="5" fillId="7" borderId="0" xfId="0" applyNumberFormat="1" applyFont="1" applyFill="1" applyAlignment="1">
      <alignment horizontal="center"/>
    </xf>
    <xf numFmtId="9" fontId="5" fillId="7" borderId="0" xfId="2" applyFont="1" applyFill="1" applyAlignment="1">
      <alignment horizontal="center"/>
    </xf>
    <xf numFmtId="43" fontId="5" fillId="0" borderId="0" xfId="0" applyNumberFormat="1" applyFont="1"/>
    <xf numFmtId="183" fontId="3" fillId="0" borderId="0" xfId="0" applyNumberFormat="1" applyFont="1"/>
    <xf numFmtId="183" fontId="0" fillId="0" borderId="0" xfId="0" applyNumberFormat="1"/>
    <xf numFmtId="0" fontId="0" fillId="0" borderId="5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9" fontId="0" fillId="0" borderId="0" xfId="2" applyFont="1" applyAlignment="1">
      <alignment horizontal="center" vertical="center"/>
    </xf>
    <xf numFmtId="167" fontId="5" fillId="7" borderId="0" xfId="0" applyNumberFormat="1" applyFont="1" applyFill="1" applyAlignment="1">
      <alignment horizontal="center"/>
    </xf>
    <xf numFmtId="167" fontId="5" fillId="5" borderId="0" xfId="0" applyNumberFormat="1" applyFont="1" applyFill="1"/>
    <xf numFmtId="166" fontId="5" fillId="7" borderId="0" xfId="0" applyNumberFormat="1" applyFont="1" applyFill="1" applyAlignment="1">
      <alignment horizontal="center"/>
    </xf>
    <xf numFmtId="2" fontId="5" fillId="5" borderId="0" xfId="0" applyNumberFormat="1" applyFont="1" applyFill="1"/>
    <xf numFmtId="0" fontId="3" fillId="4" borderId="0" xfId="0" applyFont="1" applyFill="1" applyAlignment="1">
      <alignment horizontal="center"/>
    </xf>
  </cellXfs>
  <cellStyles count="1492">
    <cellStyle name="20% - Accent1" xfId="20" builtinId="30" customBuiltin="1"/>
    <cellStyle name="20% - Accent1 2" xfId="339" xr:uid="{23CAB49C-BBBA-4625-B5CD-13AC903003F1}"/>
    <cellStyle name="20% - Accent2" xfId="23" builtinId="34" customBuiltin="1"/>
    <cellStyle name="20% - Accent2 2" xfId="340" xr:uid="{6FEFD083-FFED-410D-A1A2-F6C88E0AB7AD}"/>
    <cellStyle name="20% - Accent3" xfId="26" builtinId="38" customBuiltin="1"/>
    <cellStyle name="20% - Accent3 2" xfId="341" xr:uid="{230AAF93-13BE-485B-9C2C-ABB82336AF67}"/>
    <cellStyle name="20% - Accent4" xfId="29" builtinId="42" customBuiltin="1"/>
    <cellStyle name="20% - Accent4 2" xfId="342" xr:uid="{B854ED56-9BA9-4E31-8A30-0323AC93FB0F}"/>
    <cellStyle name="20% - Accent5" xfId="32" builtinId="46" customBuiltin="1"/>
    <cellStyle name="20% - Accent5 2" xfId="343" xr:uid="{2E6EFF33-9811-4856-9F81-BD1F5265EA21}"/>
    <cellStyle name="20% - Accent5 3" xfId="1271" xr:uid="{1B60BF20-16FB-4D09-AA61-94DE059F18D5}"/>
    <cellStyle name="20% - Accent5 4" xfId="1301" xr:uid="{7B50467F-8289-4CDD-9DBA-1AEF58E9E6E3}"/>
    <cellStyle name="20% - Accent6" xfId="35" builtinId="50" customBuiltin="1"/>
    <cellStyle name="20% - Accent6 2" xfId="344" xr:uid="{CF62CB33-1776-4154-80B9-D94E697F701E}"/>
    <cellStyle name="40% - Accent1" xfId="21" builtinId="31" customBuiltin="1"/>
    <cellStyle name="40% - Accent1 2" xfId="345" xr:uid="{33D159D9-25FD-412B-9F0E-01200E7FF350}"/>
    <cellStyle name="40% - Accent2" xfId="24" builtinId="35" customBuiltin="1"/>
    <cellStyle name="40% - Accent2 2" xfId="346" xr:uid="{28D502EE-A267-44B7-B958-33F50A020D5E}"/>
    <cellStyle name="40% - Accent3" xfId="27" builtinId="39" customBuiltin="1"/>
    <cellStyle name="40% - Accent3 2" xfId="347" xr:uid="{0C217FED-7B16-407A-A4DC-8469E75CF104}"/>
    <cellStyle name="40% - Accent4" xfId="30" builtinId="43" customBuiltin="1"/>
    <cellStyle name="40% - Accent4 2" xfId="348" xr:uid="{9C90DD3B-056F-4B7B-A4D3-5C2C94477B63}"/>
    <cellStyle name="40% - Accent5" xfId="33" builtinId="47" customBuiltin="1"/>
    <cellStyle name="40% - Accent5 2" xfId="349" xr:uid="{FD4B2D57-E2A6-4234-ACDD-43FB0EFB7FEA}"/>
    <cellStyle name="40% - Accent6" xfId="36" builtinId="51" customBuiltin="1"/>
    <cellStyle name="40% - Accent6 2" xfId="350" xr:uid="{6D2F4FA3-11BC-4BA3-A774-7214FD5D8E2A}"/>
    <cellStyle name="60% - Accent1 2" xfId="352" xr:uid="{C62E150A-B5EA-4D04-958E-604BCBA24C50}"/>
    <cellStyle name="60% - Accent1 3" xfId="351" xr:uid="{126E3742-DF76-4279-B03C-A7B07E195E26}"/>
    <cellStyle name="60% - Accent2 2" xfId="354" xr:uid="{0806429D-FC4A-4E17-83FE-CA5AA9964A00}"/>
    <cellStyle name="60% - Accent2 3" xfId="353" xr:uid="{E1F5089E-8CB7-42CB-98AB-AA06B52C6C64}"/>
    <cellStyle name="60% - Accent3 2" xfId="356" xr:uid="{B7F73ACD-1038-4669-B072-079A314FEAB3}"/>
    <cellStyle name="60% - Accent3 3" xfId="355" xr:uid="{6EDBDF15-D6CB-470E-9633-684430DD1ECB}"/>
    <cellStyle name="60% - Accent4 2" xfId="358" xr:uid="{887886C7-B1C1-42A0-AB82-C6846CD05753}"/>
    <cellStyle name="60% - Accent4 3" xfId="357" xr:uid="{52376BFB-AA36-452A-9548-B34D8F2D482B}"/>
    <cellStyle name="60% - Accent5 2" xfId="360" xr:uid="{5459F616-F3EE-4D31-9473-84913DAD04DD}"/>
    <cellStyle name="60% - Accent5 3" xfId="359" xr:uid="{67FB8B96-3F5A-4B6E-B1A0-E84A22F5780E}"/>
    <cellStyle name="60% - Accent6 2" xfId="362" xr:uid="{EF969FA8-970F-4734-9EF4-47F171EBB52A}"/>
    <cellStyle name="60% - Accent6 3" xfId="361" xr:uid="{BBB86E94-AFFC-4F90-B349-B810F2BDB74D}"/>
    <cellStyle name="Accent1" xfId="19" builtinId="29" customBuiltin="1"/>
    <cellStyle name="Accent1 2" xfId="363" xr:uid="{594850CC-0E7A-4585-8E8A-B9163B2F7B4D}"/>
    <cellStyle name="Accent2" xfId="22" builtinId="33" customBuiltin="1"/>
    <cellStyle name="Accent2 2" xfId="364" xr:uid="{4FC311E2-676A-4607-88CF-60DF0F929BCB}"/>
    <cellStyle name="Accent3" xfId="25" builtinId="37" customBuiltin="1"/>
    <cellStyle name="Accent3 2" xfId="365" xr:uid="{CA8380FA-84E0-4A55-B064-FBA64D5182F2}"/>
    <cellStyle name="Accent4" xfId="28" builtinId="41" customBuiltin="1"/>
    <cellStyle name="Accent4 2" xfId="366" xr:uid="{4609339B-D634-435A-9591-C7899D2CADE0}"/>
    <cellStyle name="Accent5" xfId="31" builtinId="45" customBuiltin="1"/>
    <cellStyle name="Accent5 2" xfId="367" xr:uid="{9405759A-F8D9-4057-B6B5-E82B0EBF73E1}"/>
    <cellStyle name="Accent6" xfId="34" builtinId="49" customBuiltin="1"/>
    <cellStyle name="Accent6 2" xfId="368" xr:uid="{C48D52D8-F490-47A7-9B67-EC64366D6BC8}"/>
    <cellStyle name="Bad" xfId="10" builtinId="27" customBuiltin="1"/>
    <cellStyle name="Bad 2" xfId="369" xr:uid="{DE8FDEF2-66EF-421B-9212-679C2EC8B23E}"/>
    <cellStyle name="Body: normal cell" xfId="370" xr:uid="{3C7C3E22-CCC5-4FBB-A1A0-97FE4ECAB527}"/>
    <cellStyle name="Calculation" xfId="13" builtinId="22" customBuiltin="1"/>
    <cellStyle name="Calculation 2" xfId="371" xr:uid="{695CDC83-88B9-405D-9BD4-B019D5D5FFE0}"/>
    <cellStyle name="Check Cell" xfId="15" builtinId="23" customBuiltin="1"/>
    <cellStyle name="Check Cell 2" xfId="372" xr:uid="{7D52B16D-CA52-4663-B3B5-82DFBFC692F9}"/>
    <cellStyle name="Comma" xfId="1" builtinId="3"/>
    <cellStyle name="Comma [0] 2" xfId="1477" xr:uid="{BB4FCB31-68B4-4AAE-B7F4-8AA3476D3720}"/>
    <cellStyle name="Comma 10" xfId="38" xr:uid="{38E8ADE5-86B5-4E69-833B-3DD1B1E211CF}"/>
    <cellStyle name="Comma 10 2" xfId="39" xr:uid="{F116924A-4D38-44B0-8C3F-1E876B1177D2}"/>
    <cellStyle name="Comma 10 2 2" xfId="40" xr:uid="{D1D78224-2E38-44C2-A06E-2083DC21773F}"/>
    <cellStyle name="Comma 10 2 2 2" xfId="374" xr:uid="{58DA5539-4CD3-4F5D-8948-1B82A70A369F}"/>
    <cellStyle name="Comma 10 2 2 2 2" xfId="375" xr:uid="{C56A758E-B581-42EB-8D10-11016B70CF1D}"/>
    <cellStyle name="Comma 10 2 2 2 3" xfId="376" xr:uid="{A15BD456-12EE-4DFB-82E4-B76DA6031AA9}"/>
    <cellStyle name="Comma 10 2 2 3" xfId="377" xr:uid="{B1779642-7146-4AA4-A5C0-9192019452B7}"/>
    <cellStyle name="Comma 10 2 2 4" xfId="378" xr:uid="{93B6E51C-5A13-42EB-B4C6-84F2D1593992}"/>
    <cellStyle name="Comma 10 2 2 5" xfId="1347" xr:uid="{E23598A0-4E62-4771-A42B-8442DEA51E26}"/>
    <cellStyle name="Comma 10 2 2 6" xfId="373" xr:uid="{71082649-605A-4233-A85E-304111DAE199}"/>
    <cellStyle name="Comma 10 2 2 7" xfId="204" xr:uid="{A79AF1E1-869E-4A88-8A07-65AEDAB73F0C}"/>
    <cellStyle name="Comma 10 2 3" xfId="176" xr:uid="{2265D935-BAB3-4D85-B9D3-10724238AFAE}"/>
    <cellStyle name="Comma 10 2 3 2" xfId="1467" xr:uid="{CA94058A-5B4B-4206-BA1B-4F280DFF1967}"/>
    <cellStyle name="Comma 10 2 3 3" xfId="379" xr:uid="{E077EC53-BDF6-42A3-B78C-1C792AF5E311}"/>
    <cellStyle name="Comma 10 2 3 4" xfId="327" xr:uid="{8A05940E-B423-4681-95DF-AC60ABDF55C9}"/>
    <cellStyle name="Comma 10 2 4" xfId="380" xr:uid="{30C90F87-4358-4347-B4C3-DB78E34B0BE3}"/>
    <cellStyle name="Comma 10 2 5" xfId="1265" xr:uid="{561FFC27-F433-4186-BF4E-39C26A57E84B}"/>
    <cellStyle name="Comma 10 2 6" xfId="1346" xr:uid="{B05B34F0-2065-4125-AF5C-7EA22690C755}"/>
    <cellStyle name="Comma 10 2 7" xfId="203" xr:uid="{915D5D2D-D1A1-4BF8-B7B3-710D53423830}"/>
    <cellStyle name="Comma 10 3" xfId="41" xr:uid="{8466C8E2-3BBA-4A62-9025-4C3E3935B3F8}"/>
    <cellStyle name="Comma 10 3 2" xfId="382" xr:uid="{A020FC92-B303-4C99-8AA1-2CD49C804D82}"/>
    <cellStyle name="Comma 10 3 2 2" xfId="383" xr:uid="{E7A903BA-BAE0-4386-A497-670AA889314A}"/>
    <cellStyle name="Comma 10 3 2 3" xfId="384" xr:uid="{7456BF65-3176-48F0-A8B0-28E166425011}"/>
    <cellStyle name="Comma 10 3 3" xfId="385" xr:uid="{7EC755C4-DEE3-4205-9DF9-31C68A92914A}"/>
    <cellStyle name="Comma 10 3 4" xfId="386" xr:uid="{55AE2528-FD5A-4DBE-8973-96A905F4091A}"/>
    <cellStyle name="Comma 10 3 5" xfId="1348" xr:uid="{B9EC57D2-24B1-46FE-9E65-F2D8BA0A3970}"/>
    <cellStyle name="Comma 10 3 6" xfId="381" xr:uid="{3E3A9F4B-EBFC-4DC4-BEF7-571A772635DD}"/>
    <cellStyle name="Comma 10 3 7" xfId="205" xr:uid="{04970406-1CF6-45B6-869B-74D853C6736C}"/>
    <cellStyle name="Comma 10 4" xfId="172" xr:uid="{5A42082A-CAA2-4B32-8973-362115AF1DF8}"/>
    <cellStyle name="Comma 10 4 2" xfId="1464" xr:uid="{61C19AC0-AC08-4139-B3B1-9B4DB9901A33}"/>
    <cellStyle name="Comma 10 4 3" xfId="387" xr:uid="{0B0D210B-A839-4BCF-9BE8-3D6EC2BD7E27}"/>
    <cellStyle name="Comma 10 4 4" xfId="324" xr:uid="{AEEAD59B-881D-4899-B523-CC3ECE502553}"/>
    <cellStyle name="Comma 10 5" xfId="202" xr:uid="{DD5BF37E-E3DD-46D6-808E-1BDFD0031A8F}"/>
    <cellStyle name="Comma 10 5 2" xfId="1345" xr:uid="{AA00A0A0-F768-414A-87EC-599815E6006A}"/>
    <cellStyle name="Comma 10 5 3" xfId="388" xr:uid="{B69499DA-176F-4A84-AAC9-229C16D02144}"/>
    <cellStyle name="Comma 10 6" xfId="389" xr:uid="{65C5EDC1-C310-4D50-BA56-02509E0F266C}"/>
    <cellStyle name="Comma 10 7" xfId="1327" xr:uid="{5C8053E0-0CC1-4492-AE70-9996E4578892}"/>
    <cellStyle name="Comma 10 8" xfId="197" xr:uid="{55685607-749C-4C10-8B91-E56F8C3E377C}"/>
    <cellStyle name="Comma 11" xfId="182" xr:uid="{3EFAB37E-AA4A-4D7A-A916-4C6C81881759}"/>
    <cellStyle name="Comma 11 10" xfId="333" xr:uid="{32E8CD2A-C437-4051-BBF6-8A49A4B1319D}"/>
    <cellStyle name="Comma 11 2" xfId="391" xr:uid="{4B49FB38-DCE5-497D-A750-95DD9A2FA46D}"/>
    <cellStyle name="Comma 11 2 2" xfId="392" xr:uid="{1411D244-413B-4F84-BDC6-37327AF875EB}"/>
    <cellStyle name="Comma 11 2 2 2" xfId="393" xr:uid="{35AB3C02-9D33-40E8-8D62-36953B63D275}"/>
    <cellStyle name="Comma 11 2 2 2 2" xfId="394" xr:uid="{207104F0-CFA9-44A2-B3D4-5A237CC798A4}"/>
    <cellStyle name="Comma 11 2 2 2 2 2" xfId="395" xr:uid="{A7671028-8819-4121-95B2-CEF8BFE506B9}"/>
    <cellStyle name="Comma 11 2 2 2 2 3" xfId="396" xr:uid="{BF592496-EA93-44AF-BB39-D14A12FCDDBC}"/>
    <cellStyle name="Comma 11 2 2 2 3" xfId="397" xr:uid="{732FAE9A-9E99-4FAB-BE47-4B39A4B59AC1}"/>
    <cellStyle name="Comma 11 2 2 2 4" xfId="398" xr:uid="{49417ED7-E707-4BA7-BD8E-6B5E41D1597A}"/>
    <cellStyle name="Comma 11 2 2 3" xfId="399" xr:uid="{271F3484-DFC8-493E-9481-20C145915C98}"/>
    <cellStyle name="Comma 11 2 2 4" xfId="400" xr:uid="{5D81FFAC-D469-4D60-88A0-CD50CB1634B3}"/>
    <cellStyle name="Comma 11 2 3" xfId="401" xr:uid="{50F5C2AB-40DF-46A4-948E-86E5DACFA1ED}"/>
    <cellStyle name="Comma 11 2 3 2" xfId="402" xr:uid="{0BD9A094-0E5A-49F7-B9E5-DB7DED8F2AC6}"/>
    <cellStyle name="Comma 11 2 3 2 2" xfId="403" xr:uid="{96101EEE-C34D-4515-9B62-C41DA84CE320}"/>
    <cellStyle name="Comma 11 2 3 2 2 2" xfId="404" xr:uid="{C9D64455-D719-4089-8A65-8BB3F2740FC8}"/>
    <cellStyle name="Comma 11 2 3 2 2 3" xfId="405" xr:uid="{AE97A9C0-0799-4954-9BDC-92B2512A489D}"/>
    <cellStyle name="Comma 11 2 3 2 3" xfId="406" xr:uid="{75FCB333-84CE-4B7B-AEBC-6E2BDDCD2573}"/>
    <cellStyle name="Comma 11 2 3 2 4" xfId="407" xr:uid="{5D5C26B7-9A1D-43CD-83A8-723851FA9338}"/>
    <cellStyle name="Comma 11 2 3 3" xfId="408" xr:uid="{F4D66542-DB2F-4D69-8953-059A80381D25}"/>
    <cellStyle name="Comma 11 2 3 4" xfId="409" xr:uid="{C5A4DF8B-017A-4535-9A93-FC1D4A1190EE}"/>
    <cellStyle name="Comma 11 2 4" xfId="410" xr:uid="{C04871A2-6B0C-4EE5-B929-D548EE93DC8C}"/>
    <cellStyle name="Comma 11 2 4 2" xfId="411" xr:uid="{7B54D25F-DFDB-4B9C-B986-6E42DFBA84C4}"/>
    <cellStyle name="Comma 11 2 4 2 2" xfId="412" xr:uid="{80B7FC6C-33C3-4E59-8C01-E44C4A98437A}"/>
    <cellStyle name="Comma 11 2 4 2 3" xfId="413" xr:uid="{2651070B-2DBE-4FA9-9766-1C028AADF979}"/>
    <cellStyle name="Comma 11 2 4 3" xfId="414" xr:uid="{4D6FD2F7-69A7-4554-8E52-20769EF42825}"/>
    <cellStyle name="Comma 11 2 4 4" xfId="415" xr:uid="{A68EDAD0-F881-461B-8574-D1DAF8D9F6D8}"/>
    <cellStyle name="Comma 11 2 5" xfId="416" xr:uid="{8C26C745-551A-4B18-841E-33DA70571053}"/>
    <cellStyle name="Comma 11 2 6" xfId="417" xr:uid="{8277EC95-31D3-4B0D-BDF9-6D65BDDCC241}"/>
    <cellStyle name="Comma 11 3" xfId="418" xr:uid="{47EB1381-8F6C-4C42-9EAE-446813FFE8FD}"/>
    <cellStyle name="Comma 11 3 2" xfId="419" xr:uid="{78FD293B-60A3-414E-9C53-7DE06AD27035}"/>
    <cellStyle name="Comma 11 3 2 2" xfId="420" xr:uid="{F6087272-9C56-46F3-8A9F-AB183E9E08EE}"/>
    <cellStyle name="Comma 11 3 2 2 2" xfId="421" xr:uid="{52FD7977-BFBC-4600-BCF3-570377F64EAE}"/>
    <cellStyle name="Comma 11 3 2 2 3" xfId="422" xr:uid="{5E5BF5D0-099D-402C-8835-EE97A4CB1BD7}"/>
    <cellStyle name="Comma 11 3 2 3" xfId="423" xr:uid="{0D68C93B-798A-448E-9E1F-B77F8B69CB09}"/>
    <cellStyle name="Comma 11 3 2 4" xfId="424" xr:uid="{3DA6D731-4E04-4E66-8083-E959EE75625C}"/>
    <cellStyle name="Comma 11 3 3" xfId="425" xr:uid="{3B9ED251-42BE-487B-965C-CA3C5EFAC5F3}"/>
    <cellStyle name="Comma 11 3 4" xfId="426" xr:uid="{AB2B54B2-207D-4607-8A78-8C83AA16D9D8}"/>
    <cellStyle name="Comma 11 4" xfId="427" xr:uid="{1DBC34B8-920F-4E1E-8A12-EB62CF3019BF}"/>
    <cellStyle name="Comma 11 4 2" xfId="428" xr:uid="{1A4731DD-50C0-4C25-965C-2271120AF9BF}"/>
    <cellStyle name="Comma 11 4 2 2" xfId="429" xr:uid="{0071F9C1-E545-464D-8E84-651594C65CE8}"/>
    <cellStyle name="Comma 11 4 2 2 2" xfId="430" xr:uid="{AF039266-5C52-4B67-9250-B042D6CE7816}"/>
    <cellStyle name="Comma 11 4 2 2 3" xfId="431" xr:uid="{8272A283-25E0-4FBF-B961-DF47101E1D31}"/>
    <cellStyle name="Comma 11 4 2 3" xfId="432" xr:uid="{CE9DFAC1-FBA2-4751-A6EC-F1BD1CD60520}"/>
    <cellStyle name="Comma 11 4 2 4" xfId="433" xr:uid="{B42BF504-3EEE-45BC-9A3A-267FA30D14ED}"/>
    <cellStyle name="Comma 11 4 3" xfId="434" xr:uid="{C73D5123-01C1-48E3-BFD1-877E763441F7}"/>
    <cellStyle name="Comma 11 4 4" xfId="435" xr:uid="{A40A7F99-BFDA-4E7F-B57C-EFE09FE35827}"/>
    <cellStyle name="Comma 11 5" xfId="436" xr:uid="{84A8B7D0-02FC-4CA5-B88B-98BC1AA631A7}"/>
    <cellStyle name="Comma 11 5 2" xfId="437" xr:uid="{362A4BFC-9FD8-4C46-8766-854132321067}"/>
    <cellStyle name="Comma 11 5 2 2" xfId="438" xr:uid="{4EA2D4D3-6237-4C57-8756-8BC89EAAD37B}"/>
    <cellStyle name="Comma 11 5 2 3" xfId="439" xr:uid="{CA41E930-0E37-48C1-AA23-F6EFC93442E6}"/>
    <cellStyle name="Comma 11 5 3" xfId="440" xr:uid="{8DCC58DA-289A-47BC-BA32-130250E1C94F}"/>
    <cellStyle name="Comma 11 5 4" xfId="441" xr:uid="{3A3C824E-50CA-4BE8-B1E1-41D27EC5B3CB}"/>
    <cellStyle name="Comma 11 6" xfId="442" xr:uid="{72597B91-26F1-4ED9-AD64-461FB3C659CD}"/>
    <cellStyle name="Comma 11 7" xfId="443" xr:uid="{82681E4A-42C4-4592-B496-2EDCBE9E383E}"/>
    <cellStyle name="Comma 11 8" xfId="1473" xr:uid="{A7F370B0-313B-4126-992D-9695A36C06EC}"/>
    <cellStyle name="Comma 11 9" xfId="390" xr:uid="{60E45D61-7AB6-40A3-843D-509820561041}"/>
    <cellStyle name="Comma 12" xfId="186" xr:uid="{569326F5-3856-4872-9CF0-F0CF99CE4FE2}"/>
    <cellStyle name="Comma 12 10" xfId="337" xr:uid="{4996D746-AD42-4AAE-BEB2-7D3133EC3A9C}"/>
    <cellStyle name="Comma 12 2" xfId="445" xr:uid="{8A5EDE36-D6F0-43A0-ADD0-FF3615530742}"/>
    <cellStyle name="Comma 12 2 2" xfId="446" xr:uid="{0E9B9E9A-3C5C-45A3-A495-A4C035F6EFE3}"/>
    <cellStyle name="Comma 12 2 2 2" xfId="447" xr:uid="{82DB1AA7-98A6-4EBA-9EA0-D60E0B3FFAD7}"/>
    <cellStyle name="Comma 12 2 2 2 2" xfId="448" xr:uid="{5461CB36-3E6D-4ACC-AF44-E8FC861E0828}"/>
    <cellStyle name="Comma 12 2 2 2 3" xfId="449" xr:uid="{0E7068FC-9BF2-48B3-A4AB-020C206B1A75}"/>
    <cellStyle name="Comma 12 2 2 3" xfId="450" xr:uid="{FD9EAF21-C604-4196-86A6-946AEE84C7DB}"/>
    <cellStyle name="Comma 12 2 2 4" xfId="451" xr:uid="{7205DE4D-22BD-4F08-AA99-0414306E4F24}"/>
    <cellStyle name="Comma 12 2 3" xfId="452" xr:uid="{A066132B-8BCE-4F19-AC90-95D35F2E95EE}"/>
    <cellStyle name="Comma 12 2 4" xfId="453" xr:uid="{04232414-66CA-4A0F-880B-16CADEEC09C0}"/>
    <cellStyle name="Comma 12 3" xfId="454" xr:uid="{86800B7B-9C2E-40CB-9939-A9AFFBEF12D9}"/>
    <cellStyle name="Comma 12 3 2" xfId="455" xr:uid="{1C785927-434C-460D-83DF-92528D2B4C9D}"/>
    <cellStyle name="Comma 12 3 2 2" xfId="456" xr:uid="{B871DFD9-72B7-4E87-8E8D-5381796DC2C3}"/>
    <cellStyle name="Comma 12 3 2 2 2" xfId="457" xr:uid="{085D5D90-E288-4866-8B05-02610C7A73BA}"/>
    <cellStyle name="Comma 12 3 2 2 3" xfId="458" xr:uid="{DA6E072D-AE70-4F8B-A5FF-7F17576E2575}"/>
    <cellStyle name="Comma 12 3 2 3" xfId="459" xr:uid="{4ACF53AE-3FB1-4CDF-ABC9-791EC0EFF450}"/>
    <cellStyle name="Comma 12 3 2 4" xfId="460" xr:uid="{7CBC5EBD-8152-4B69-9B4E-4DF784BF3251}"/>
    <cellStyle name="Comma 12 3 3" xfId="461" xr:uid="{4236C6BD-9C8F-44C5-B40A-3387880A0E72}"/>
    <cellStyle name="Comma 12 3 4" xfId="462" xr:uid="{8030F51E-41F6-46D3-91F5-18963291F519}"/>
    <cellStyle name="Comma 12 4" xfId="463" xr:uid="{C2E48322-0829-4EF7-81BD-5C938DD12655}"/>
    <cellStyle name="Comma 12 5" xfId="464" xr:uid="{AEC33936-8291-4114-92C4-0922DBB44140}"/>
    <cellStyle name="Comma 12 5 2" xfId="465" xr:uid="{9656829A-F891-4EDA-AA09-3D37CE89C6FE}"/>
    <cellStyle name="Comma 12 5 2 2" xfId="466" xr:uid="{708261B1-D986-4C16-8900-9F8C799CD805}"/>
    <cellStyle name="Comma 12 5 2 3" xfId="467" xr:uid="{01390BA7-3F37-4F05-840D-E09D6A8AD80F}"/>
    <cellStyle name="Comma 12 5 3" xfId="468" xr:uid="{AC5E1C1B-9545-4926-8187-B38D165C730B}"/>
    <cellStyle name="Comma 12 5 4" xfId="469" xr:uid="{79144A1D-587C-4369-B415-06F0E09C0AA7}"/>
    <cellStyle name="Comma 12 6" xfId="470" xr:uid="{16AE8B4B-2528-4267-BBCC-07F572861728}"/>
    <cellStyle name="Comma 12 7" xfId="471" xr:uid="{E978CA63-3645-49B3-9653-D75327982F3A}"/>
    <cellStyle name="Comma 12 8" xfId="1476" xr:uid="{C5626928-2325-45CE-8D55-5541C9946248}"/>
    <cellStyle name="Comma 12 9" xfId="444" xr:uid="{6AFCD89A-505B-4F34-AAB8-D7B27CC339EB}"/>
    <cellStyle name="Comma 13" xfId="201" xr:uid="{A07BA421-0DE1-43A7-9B5C-69F632F86877}"/>
    <cellStyle name="Comma 13 2" xfId="472" xr:uid="{8B7ECA81-9B24-487C-A609-798276C14C3C}"/>
    <cellStyle name="Comma 13 2 2" xfId="473" xr:uid="{D6639778-99AA-49CE-87FF-EB0D58B7C1B4}"/>
    <cellStyle name="Comma 13 2 2 2" xfId="474" xr:uid="{EF046333-5AE6-43D1-B0DA-C85CA8D70E59}"/>
    <cellStyle name="Comma 13 2 2 2 2" xfId="475" xr:uid="{E693CAEE-473D-490E-8C2B-C93D280F1DBD}"/>
    <cellStyle name="Comma 13 2 2 2 3" xfId="476" xr:uid="{DEFE2715-696F-49D1-A604-E23C9C49DA6E}"/>
    <cellStyle name="Comma 13 2 2 3" xfId="477" xr:uid="{7D8537A9-0FD3-4FC2-92E6-C99A63EFB11A}"/>
    <cellStyle name="Comma 13 2 2 4" xfId="478" xr:uid="{12A556CB-E0BB-4F28-AE64-517F35C71D23}"/>
    <cellStyle name="Comma 13 2 3" xfId="479" xr:uid="{04F1E616-F38D-4E3A-87FD-5D5108EEA866}"/>
    <cellStyle name="Comma 13 2 4" xfId="480" xr:uid="{425FCA02-DBEC-4089-968D-7A06A61036F6}"/>
    <cellStyle name="Comma 13 3" xfId="481" xr:uid="{C47A9D4A-A246-4B09-B437-E5DC995E33E6}"/>
    <cellStyle name="Comma 13 3 2" xfId="482" xr:uid="{D21E3B0B-B6CC-405E-9596-C2F3E7F5C650}"/>
    <cellStyle name="Comma 13 3 2 2" xfId="483" xr:uid="{40E901EF-FEBC-48FC-899C-CE42859C9C75}"/>
    <cellStyle name="Comma 13 3 2 3" xfId="484" xr:uid="{74075441-5B11-4784-A619-CD1BED96670F}"/>
    <cellStyle name="Comma 13 3 3" xfId="485" xr:uid="{15189310-A742-4619-BE84-A9C05C0CFDE5}"/>
    <cellStyle name="Comma 13 3 4" xfId="486" xr:uid="{A3565400-4E70-48D8-87C6-673AF2F10128}"/>
    <cellStyle name="Comma 13 4" xfId="487" xr:uid="{D465163C-72C9-4743-9D10-BB5C0569012B}"/>
    <cellStyle name="Comma 13 5" xfId="488" xr:uid="{C14A5F0E-75A5-4BB5-A6E0-4A0C9C1E19B7}"/>
    <cellStyle name="Comma 13 6" xfId="1344" xr:uid="{37AB1CC2-61DF-4A85-8F88-11DCD91833E8}"/>
    <cellStyle name="Comma 14" xfId="489" xr:uid="{2E37B161-647F-4B55-99E5-C553F33C8AD7}"/>
    <cellStyle name="Comma 14 2" xfId="490" xr:uid="{7AEA47F7-844F-4980-865A-8F1703F16C4A}"/>
    <cellStyle name="Comma 14 2 2" xfId="491" xr:uid="{6A5E4632-FA73-4466-89D1-3FC5E05DA3EE}"/>
    <cellStyle name="Comma 14 2 2 2" xfId="492" xr:uid="{EE8D7290-BEF3-4EE5-B6E8-0F68E4B43129}"/>
    <cellStyle name="Comma 14 2 2 2 2" xfId="493" xr:uid="{F9224DFE-78AF-4648-B7B8-56EB23FD8DA5}"/>
    <cellStyle name="Comma 14 2 2 2 3" xfId="494" xr:uid="{5D02DAE1-5000-4057-8CB5-AD01E8108529}"/>
    <cellStyle name="Comma 14 2 2 3" xfId="495" xr:uid="{C891423F-8DDA-4F7E-A47E-E92F65B04C39}"/>
    <cellStyle name="Comma 14 2 2 4" xfId="496" xr:uid="{9B984121-7818-4AE5-904E-7565283BD837}"/>
    <cellStyle name="Comma 14 2 3" xfId="497" xr:uid="{6F8469FF-84D5-4F5C-8F22-6B1450303E55}"/>
    <cellStyle name="Comma 14 2 4" xfId="498" xr:uid="{7C9B77A9-33FA-4617-904B-12C317ECEF7D}"/>
    <cellStyle name="Comma 14 3" xfId="499" xr:uid="{11A2F402-171A-4769-A634-4603E23A7776}"/>
    <cellStyle name="Comma 14 3 2" xfId="500" xr:uid="{520AE5F9-7556-446C-ABF3-06C56F0BC460}"/>
    <cellStyle name="Comma 14 3 2 2" xfId="501" xr:uid="{882E4DCD-4C65-4A37-8B4A-41728E9EF0F0}"/>
    <cellStyle name="Comma 14 3 2 2 2" xfId="502" xr:uid="{D968FE04-4FDD-4330-8297-270B418F82BA}"/>
    <cellStyle name="Comma 14 3 2 2 3" xfId="503" xr:uid="{8AFEA17C-1262-4A2D-95F4-329C838F7621}"/>
    <cellStyle name="Comma 14 3 2 3" xfId="504" xr:uid="{3CEBB8A3-26F7-4E88-A4E2-3D4AD36E6C1F}"/>
    <cellStyle name="Comma 14 3 2 4" xfId="505" xr:uid="{B6809A0F-A417-46CE-AD7E-AD7399271F4B}"/>
    <cellStyle name="Comma 14 3 3" xfId="506" xr:uid="{F3EC7285-EF32-4DE6-BC9E-748DED017400}"/>
    <cellStyle name="Comma 14 3 4" xfId="507" xr:uid="{18E02D9B-F9DD-4D89-8042-0908E1A2EDCD}"/>
    <cellStyle name="Comma 14 4" xfId="508" xr:uid="{6E747224-8F58-4450-882C-4BCA86C01305}"/>
    <cellStyle name="Comma 14 4 2" xfId="509" xr:uid="{82558651-4CFF-4597-A917-BF194D59062E}"/>
    <cellStyle name="Comma 14 4 2 2" xfId="510" xr:uid="{6F9EB997-F1EF-49D5-9E78-BF4CD3FCC7AC}"/>
    <cellStyle name="Comma 14 4 2 3" xfId="511" xr:uid="{7C249E03-6099-4635-A5BB-F9445EAAF4AB}"/>
    <cellStyle name="Comma 14 4 3" xfId="512" xr:uid="{0A7DF172-1949-4991-90F9-7F68E6E29444}"/>
    <cellStyle name="Comma 14 4 4" xfId="513" xr:uid="{534AD4A1-9463-4069-8A2B-32FE4F4FD3CD}"/>
    <cellStyle name="Comma 14 5" xfId="514" xr:uid="{047A29B2-BD42-46C6-8492-37D3CDC5A16B}"/>
    <cellStyle name="Comma 14 6" xfId="515" xr:uid="{BA847341-2FE6-4ACB-B4CF-3F81594E8F0A}"/>
    <cellStyle name="Comma 15" xfId="516" xr:uid="{ED4B5FB6-8847-45CD-BE55-053993F09463}"/>
    <cellStyle name="Comma 15 2" xfId="517" xr:uid="{B69FBD02-28A6-4202-86BA-8BB243F1FC1B}"/>
    <cellStyle name="Comma 15 2 2" xfId="518" xr:uid="{897E604A-A0E4-40EC-9337-95C089DC2CBD}"/>
    <cellStyle name="Comma 15 2 2 2" xfId="519" xr:uid="{B7EF867E-7448-4FA9-A8A3-5061B1BA3C73}"/>
    <cellStyle name="Comma 15 2 2 2 2" xfId="520" xr:uid="{D59D23E1-3222-4A5D-84A0-AE486F79DFB5}"/>
    <cellStyle name="Comma 15 2 2 2 3" xfId="521" xr:uid="{B77104CD-9B00-4BC6-BCBB-370D88016CB8}"/>
    <cellStyle name="Comma 15 2 2 3" xfId="522" xr:uid="{5E2DBADF-460C-430E-80DC-8D017AD13227}"/>
    <cellStyle name="Comma 15 2 2 4" xfId="523" xr:uid="{D1441C04-93ED-4552-87FD-4074C05A4DF9}"/>
    <cellStyle name="Comma 15 2 3" xfId="524" xr:uid="{1C9D4363-29F2-45C4-8D3D-45B887B66F1C}"/>
    <cellStyle name="Comma 15 2 4" xfId="525" xr:uid="{85CA2D83-2B6B-4FFB-A9CB-DB6349CB7834}"/>
    <cellStyle name="Comma 15 3" xfId="526" xr:uid="{6D3CC99F-0AE7-41FF-9691-82343E6E10EA}"/>
    <cellStyle name="Comma 15 3 2" xfId="527" xr:uid="{4F972F82-EAD1-4DB8-BE14-8FF11A7ABA2B}"/>
    <cellStyle name="Comma 15 3 2 2" xfId="528" xr:uid="{EB48730B-3C13-49F5-8AE7-B8BA7343948D}"/>
    <cellStyle name="Comma 15 3 2 2 2" xfId="529" xr:uid="{EDE48615-2834-4917-A548-FA6BBBEF33D0}"/>
    <cellStyle name="Comma 15 3 2 2 3" xfId="530" xr:uid="{0A5F695B-1B19-4EC6-8419-DC91D47A3D3A}"/>
    <cellStyle name="Comma 15 3 2 3" xfId="531" xr:uid="{100E9B6F-B1EC-47A7-86E7-993B58D85232}"/>
    <cellStyle name="Comma 15 3 2 4" xfId="532" xr:uid="{BFC07DAA-01BF-4937-A84A-108D1D7F6DED}"/>
    <cellStyle name="Comma 15 3 3" xfId="533" xr:uid="{F66768F7-5175-406C-9C2A-2880FA133A15}"/>
    <cellStyle name="Comma 15 3 4" xfId="534" xr:uid="{C56FAB00-755D-4AB8-AED9-7D17CA32255F}"/>
    <cellStyle name="Comma 15 4" xfId="535" xr:uid="{E5B77BEC-7F05-4DBC-BDAE-2BFFB8F681A2}"/>
    <cellStyle name="Comma 15 4 2" xfId="536" xr:uid="{A187B7FA-5D58-480C-8F0A-091A81F91B23}"/>
    <cellStyle name="Comma 15 4 2 2" xfId="537" xr:uid="{189E8513-87BD-4BBB-8579-012326B27349}"/>
    <cellStyle name="Comma 15 4 2 3" xfId="538" xr:uid="{7E820626-D424-4EF0-83F3-1AD551017745}"/>
    <cellStyle name="Comma 15 4 3" xfId="539" xr:uid="{4BD04110-70E7-43BB-9C16-817349DF5755}"/>
    <cellStyle name="Comma 15 4 4" xfId="540" xr:uid="{48040221-1E02-464F-B602-CC05ED44C59B}"/>
    <cellStyle name="Comma 15 5" xfId="541" xr:uid="{66680822-34F9-4932-852C-59593CB5B65F}"/>
    <cellStyle name="Comma 15 6" xfId="542" xr:uid="{E1166E75-A61E-4E1B-AA6E-4B384B9AA680}"/>
    <cellStyle name="Comma 16" xfId="543" xr:uid="{AAF55AE9-FD5A-4153-9FFE-3DE70135F6BD}"/>
    <cellStyle name="Comma 16 2" xfId="544" xr:uid="{20BD0BB1-9558-4821-86DD-3186D5F79848}"/>
    <cellStyle name="Comma 16 2 2" xfId="196" xr:uid="{A63D5B18-5D54-43C4-A554-77628D09900A}"/>
    <cellStyle name="Comma 16 2 2 10" xfId="1340" xr:uid="{4254B77F-17D5-4FCC-8394-2A491A9034C6}"/>
    <cellStyle name="Comma 16 2 2 11" xfId="545" xr:uid="{6AB2EF76-BDA5-4585-8D02-CA698B566097}"/>
    <cellStyle name="Comma 16 2 2 2" xfId="546" xr:uid="{7E9C0E24-C551-412C-BCD8-08DFCC932D51}"/>
    <cellStyle name="Comma 16 2 2 2 2" xfId="547" xr:uid="{9990BB54-E11F-4087-919C-4DAABBBCDBD9}"/>
    <cellStyle name="Comma 16 2 2 2 3" xfId="548" xr:uid="{7A78767C-96FF-4EBB-8DAE-6D0EAA6A1E97}"/>
    <cellStyle name="Comma 16 2 2 3" xfId="549" xr:uid="{FDAD489D-D99A-4CD0-BC59-9327668577D0}"/>
    <cellStyle name="Comma 16 2 2 4" xfId="550" xr:uid="{8EB14D63-F9C3-4622-9C28-4DD8B2387778}"/>
    <cellStyle name="Comma 16 2 2 5" xfId="1287" xr:uid="{9504B91D-CED9-4C43-AB04-EB6FD27DDB49}"/>
    <cellStyle name="Comma 16 2 2 6" xfId="1313" xr:uid="{EEAB3D57-704D-47F8-B867-DB0259A5890A}"/>
    <cellStyle name="Comma 16 2 2 7" xfId="1324" xr:uid="{EA7F3DA6-B2F7-4A92-81B8-777FDF259114}"/>
    <cellStyle name="Comma 16 2 2 8" xfId="1330" xr:uid="{CB1556E3-8AD8-4C53-876C-F084F2A03511}"/>
    <cellStyle name="Comma 16 2 2 9" xfId="1332" xr:uid="{4A945549-D2CF-4476-A2EC-74BD60C954C8}"/>
    <cellStyle name="Comma 16 2 3" xfId="551" xr:uid="{2215A2FE-19AC-4B36-859D-6BB2F89226B7}"/>
    <cellStyle name="Comma 16 2 4" xfId="552" xr:uid="{55CAB47B-8DC6-4C4B-89A8-47EA2C411D43}"/>
    <cellStyle name="Comma 16 3" xfId="553" xr:uid="{63548B4E-4E99-4215-8665-DFEC8F8FE266}"/>
    <cellStyle name="Comma 16 3 2" xfId="554" xr:uid="{2FEE6FE8-464E-42A1-9709-1D9EBDBDC6CE}"/>
    <cellStyle name="Comma 16 3 2 2" xfId="555" xr:uid="{DE5260A4-47F4-4E30-B8D0-A2646C0DFE55}"/>
    <cellStyle name="Comma 16 3 2 3" xfId="556" xr:uid="{7C614496-9BE8-4744-BC16-84EDE6281DE4}"/>
    <cellStyle name="Comma 16 3 3" xfId="557" xr:uid="{A0C25B0A-EF4E-4DBB-BAA4-4B7366BCC05C}"/>
    <cellStyle name="Comma 16 3 4" xfId="558" xr:uid="{760751A8-A6E7-4783-9F9E-D77CF287FFF0}"/>
    <cellStyle name="Comma 16 4" xfId="559" xr:uid="{C9AC0739-4EAF-4B71-9FFD-EE272F5CDF7C}"/>
    <cellStyle name="Comma 16 5" xfId="560" xr:uid="{46BB6936-A310-4BC3-8A70-5B4AC55A3A5F}"/>
    <cellStyle name="Comma 17" xfId="42" xr:uid="{9037324E-40B4-4F0A-AAEC-8FB6078991CD}"/>
    <cellStyle name="Comma 17 2" xfId="43" xr:uid="{4FBBB78D-A9BC-4146-B4BC-94973F47879D}"/>
    <cellStyle name="Comma 17 2 2" xfId="562" xr:uid="{61C00645-3139-48E8-BBC8-ECBF08728831}"/>
    <cellStyle name="Comma 17 2 2 2" xfId="563" xr:uid="{98B17049-B7BE-46A7-91FF-93A47A43CF8B}"/>
    <cellStyle name="Comma 17 2 2 3" xfId="564" xr:uid="{4651813B-A1A6-43C1-BCCB-69F7D4685332}"/>
    <cellStyle name="Comma 17 2 3" xfId="565" xr:uid="{BBB5E123-6BDC-4698-BCB8-6F5B65B42B2F}"/>
    <cellStyle name="Comma 17 2 4" xfId="566" xr:uid="{B0B52D17-6284-44E6-9376-845B4320625E}"/>
    <cellStyle name="Comma 17 2 5" xfId="1350" xr:uid="{8CB5D5D6-C2A8-47F5-B8F7-238305F60EB4}"/>
    <cellStyle name="Comma 17 2 6" xfId="561" xr:uid="{C07C8EDA-8166-467F-92F9-007E51B2C4AB}"/>
    <cellStyle name="Comma 17 3" xfId="567" xr:uid="{86E422CF-8F4A-408E-85DA-C23DCBD01B18}"/>
    <cellStyle name="Comma 17 4" xfId="568" xr:uid="{1C8D2293-5C8B-414B-A776-771AF7FFDEA4}"/>
    <cellStyle name="Comma 17 5" xfId="44" xr:uid="{F0F20971-A3FA-4260-9DB0-2934C7E56DCE}"/>
    <cellStyle name="Comma 17 6" xfId="1349" xr:uid="{1AA44A28-908D-4457-853D-F8E963A40217}"/>
    <cellStyle name="Comma 17 7" xfId="206" xr:uid="{726FAE34-B00C-463B-BCC9-E76B3E1095E4}"/>
    <cellStyle name="Comma 18" xfId="569" xr:uid="{B3623A85-E983-4EF8-8162-A5B526A83CAC}"/>
    <cellStyle name="Comma 18 2" xfId="570" xr:uid="{DE59E209-A8FD-4871-A6D6-748428AB68AE}"/>
    <cellStyle name="Comma 18 2 2" xfId="571" xr:uid="{20AC23BF-36B0-4562-BA5E-9748C1353FFC}"/>
    <cellStyle name="Comma 18 2 2 2" xfId="572" xr:uid="{9BFE7096-25D8-41C4-AB4B-DEFB061FE340}"/>
    <cellStyle name="Comma 18 2 2 2 2" xfId="573" xr:uid="{E56CCECB-CD96-4C26-BD35-8203644A3A15}"/>
    <cellStyle name="Comma 18 2 2 2 3" xfId="574" xr:uid="{2BCC9184-A7D5-4F0A-92D4-FBDDCA30E55E}"/>
    <cellStyle name="Comma 18 2 2 3" xfId="575" xr:uid="{A9B0C238-57B8-49A5-9E67-D7BEAA40F7AA}"/>
    <cellStyle name="Comma 18 2 2 4" xfId="576" xr:uid="{0ECF3DAD-7935-4BBD-B14A-6AAE76ABCF3E}"/>
    <cellStyle name="Comma 18 2 3" xfId="577" xr:uid="{F2EA77E8-F246-4B50-B935-610DA5E3942C}"/>
    <cellStyle name="Comma 18 2 4" xfId="578" xr:uid="{9D1C6C2F-59A2-4AC6-95A9-626AD80D719B}"/>
    <cellStyle name="Comma 18 3" xfId="579" xr:uid="{4D7369A8-FAC2-476A-89AD-A1664D4EA3D4}"/>
    <cellStyle name="Comma 18 3 2" xfId="580" xr:uid="{D9842852-B11B-474D-9FB9-220729C5CDF2}"/>
    <cellStyle name="Comma 18 3 2 2" xfId="581" xr:uid="{481F29D7-FF1B-4522-A2DD-5225183030CA}"/>
    <cellStyle name="Comma 18 3 2 3" xfId="582" xr:uid="{2AF74029-3C94-47C5-85E2-5352DE47EEE6}"/>
    <cellStyle name="Comma 18 3 3" xfId="583" xr:uid="{387D8D43-2E1D-4895-A117-C7E89C65602F}"/>
    <cellStyle name="Comma 18 3 4" xfId="584" xr:uid="{45C91345-3244-437E-A751-65E00134FE69}"/>
    <cellStyle name="Comma 18 4" xfId="585" xr:uid="{EEE0BAF8-57DD-4E62-911E-15437B5FC892}"/>
    <cellStyle name="Comma 18 5" xfId="586" xr:uid="{388834F9-B744-497A-A85B-03735F5EED9D}"/>
    <cellStyle name="Comma 19" xfId="587" xr:uid="{C7DEC734-280C-40D3-9899-7F53C9B5B6F1}"/>
    <cellStyle name="Comma 19 2" xfId="588" xr:uid="{E27CD7C1-70C0-42FD-A72E-F6E0516C1407}"/>
    <cellStyle name="Comma 19 2 2" xfId="589" xr:uid="{2F3CCE3A-A0F7-4095-A61F-5D6006728EDB}"/>
    <cellStyle name="Comma 19 2 2 2" xfId="590" xr:uid="{2E31B2B6-AB5C-411C-9FB8-A956BAC7A700}"/>
    <cellStyle name="Comma 19 2 2 2 2" xfId="591" xr:uid="{569DF7E8-35E1-4017-927F-515B37F65E19}"/>
    <cellStyle name="Comma 19 2 2 2 3" xfId="592" xr:uid="{AA74754E-12C6-41EE-8EEF-37291F0458BD}"/>
    <cellStyle name="Comma 19 2 2 3" xfId="593" xr:uid="{9793ED0E-572E-4456-B55D-EE1AB23DAADB}"/>
    <cellStyle name="Comma 19 2 2 4" xfId="594" xr:uid="{29DEF61D-707C-459A-AEBC-D1A08F5ED149}"/>
    <cellStyle name="Comma 19 2 3" xfId="595" xr:uid="{29BE896A-66C9-4C6C-9E8C-A58D5DD1150C}"/>
    <cellStyle name="Comma 19 2 4" xfId="596" xr:uid="{3BE9644C-1A16-4A79-90F0-74FAB87E16AB}"/>
    <cellStyle name="Comma 19 3" xfId="597" xr:uid="{CDD11510-2D50-4ED2-92AB-83A84051EC3B}"/>
    <cellStyle name="Comma 19 3 2" xfId="598" xr:uid="{0266CB07-53BA-4349-A782-9547BD82DE3C}"/>
    <cellStyle name="Comma 19 3 2 2" xfId="599" xr:uid="{1016BEC5-81AC-45DA-A6BF-B32A8D07F9BC}"/>
    <cellStyle name="Comma 19 3 2 3" xfId="600" xr:uid="{5F5D6666-24E3-4FF0-99EA-384060CF6E1F}"/>
    <cellStyle name="Comma 19 3 3" xfId="601" xr:uid="{B86D86E5-2352-4377-AA02-D92AF0BA6B34}"/>
    <cellStyle name="Comma 19 3 4" xfId="602" xr:uid="{7E86B171-2E65-4226-BA1E-BAC40CB50A32}"/>
    <cellStyle name="Comma 19 4" xfId="603" xr:uid="{22C78C39-52FB-43BE-8040-5B4881CA8369}"/>
    <cellStyle name="Comma 19 5" xfId="604" xr:uid="{3BC046DB-B37E-46B5-9706-D28D0070E3AF}"/>
    <cellStyle name="Comma 2" xfId="45" xr:uid="{676FF344-64E9-49E0-AF93-444B75296B22}"/>
    <cellStyle name="Comma 2 2" xfId="46" xr:uid="{0AA0E349-6478-4FC6-830D-8C7B4EAA1931}"/>
    <cellStyle name="Comma 2 2 2" xfId="47" xr:uid="{E9141287-8C0D-4B98-9077-C0C161203E90}"/>
    <cellStyle name="Comma 2 2 2 2" xfId="606" xr:uid="{6AA90633-1D7E-4FB5-A0CE-5E975B6D1D45}"/>
    <cellStyle name="Comma 2 2 2 3" xfId="607" xr:uid="{80E6FB52-658A-442B-B3B7-800349B1A890}"/>
    <cellStyle name="Comma 2 2 2 3 2" xfId="608" xr:uid="{04B67C83-8884-470E-B344-180E1F7CA136}"/>
    <cellStyle name="Comma 2 2 2 3 2 2" xfId="609" xr:uid="{31FB6059-C50F-40F6-860A-922BCE89E40F}"/>
    <cellStyle name="Comma 2 2 2 3 2 3" xfId="610" xr:uid="{BB23AB00-1685-4313-B18A-80A351138E5A}"/>
    <cellStyle name="Comma 2 2 2 3 3" xfId="611" xr:uid="{F5B35BE7-108C-4587-A7AC-4636442530CD}"/>
    <cellStyle name="Comma 2 2 2 3 4" xfId="612" xr:uid="{8476BC88-8C84-49E1-8024-8A7D76B44F39}"/>
    <cellStyle name="Comma 2 2 2 4" xfId="613" xr:uid="{9C9434B8-AF89-4DA7-A813-18B4F56A747C}"/>
    <cellStyle name="Comma 2 2 2 5" xfId="614" xr:uid="{129D31ED-AFB9-4894-97CC-4B4BE26A7C73}"/>
    <cellStyle name="Comma 2 2 2 6" xfId="1298" xr:uid="{44234219-7530-4163-A5CB-99D46C9205E9}"/>
    <cellStyle name="Comma 2 2 2 7" xfId="1322" xr:uid="{9CB1875F-2E04-42CE-8E5C-25F128842962}"/>
    <cellStyle name="Comma 2 2 2 8" xfId="1353" xr:uid="{4027567A-807D-4EB9-B72C-F78705F4D0C0}"/>
    <cellStyle name="Comma 2 2 2 9" xfId="209" xr:uid="{04C85BD5-888E-4819-9B40-5C84B04AB9E8}"/>
    <cellStyle name="Comma 2 2 3" xfId="615" xr:uid="{8BB96760-F013-46C7-8CCB-EA5D8EC1E85B}"/>
    <cellStyle name="Comma 2 2 4" xfId="1268" xr:uid="{84C07168-0842-45E5-BB0F-0B19B1E0AC68}"/>
    <cellStyle name="Comma 2 2 5" xfId="1277" xr:uid="{309DC373-46CD-4043-AC81-B3D9CEF50BC0}"/>
    <cellStyle name="Comma 2 2 6" xfId="1304" xr:uid="{738D2FE9-2170-416B-88D3-B2633B7C7BE5}"/>
    <cellStyle name="Comma 2 2 7" xfId="1352" xr:uid="{2A7A2D2F-39AE-4BCB-BFB7-2DF1344B1507}"/>
    <cellStyle name="Comma 2 2 8" xfId="605" xr:uid="{BFC3BC4D-A9F7-4E2C-A431-EABA61EA30A0}"/>
    <cellStyle name="Comma 2 2 9" xfId="208" xr:uid="{3FE17E22-20EB-4A5F-889A-E5D6519F023F}"/>
    <cellStyle name="Comma 2 3" xfId="207" xr:uid="{07571E92-D401-447D-9F1D-11C2433A75BF}"/>
    <cellStyle name="Comma 2 3 2" xfId="1274" xr:uid="{2E02E3DC-CFEC-44CA-AA69-C245ECE6A4E6}"/>
    <cellStyle name="Comma 2 3 3" xfId="1351" xr:uid="{A8209330-504C-4182-BDB3-E3D960253604}"/>
    <cellStyle name="Comma 2 3 4" xfId="616" xr:uid="{BA446C34-3175-4F92-A2CE-3C1EB233FCBB}"/>
    <cellStyle name="Comma 2 4" xfId="617" xr:uid="{EA4FA5A6-CE0F-47CE-B99C-A87337B2EC0B}"/>
    <cellStyle name="Comma 2 4 2" xfId="618" xr:uid="{D784D54D-CC5B-4F04-9AA8-EF3FC06ED8E2}"/>
    <cellStyle name="Comma 2 4 2 2" xfId="619" xr:uid="{9F5FBF62-3599-42A8-B03C-FBAFC8086480}"/>
    <cellStyle name="Comma 2 4 2 3" xfId="620" xr:uid="{A750FB5D-AA64-414B-BC32-5CF9946983F3}"/>
    <cellStyle name="Comma 2 4 3" xfId="621" xr:uid="{A01D2B4A-6F9E-4D07-81BF-FC75145855D1}"/>
    <cellStyle name="Comma 2 4 4" xfId="622" xr:uid="{26BCF278-E4FF-4F00-A4F1-EDE74A9AC90B}"/>
    <cellStyle name="Comma 2 5" xfId="623" xr:uid="{AF84F6D2-8823-4617-B798-5FB9F59A97B1}"/>
    <cellStyle name="Comma 2 6" xfId="624" xr:uid="{45DB3228-644F-4A11-9134-810DE5D1E722}"/>
    <cellStyle name="Comma 2 7" xfId="192" xr:uid="{053039EE-385E-4661-9419-BD52496136CC}"/>
    <cellStyle name="Comma 20" xfId="625" xr:uid="{50242559-B31C-4A31-9B15-5A08A5714434}"/>
    <cellStyle name="Comma 20 2" xfId="626" xr:uid="{DA73271B-80B1-44D3-B51F-6CE67ACDFAA7}"/>
    <cellStyle name="Comma 20 2 2" xfId="627" xr:uid="{1C5443F9-888D-4D33-BFA5-98BDEA970372}"/>
    <cellStyle name="Comma 20 2 2 2" xfId="628" xr:uid="{074448AF-B748-4FE6-92A1-75767E5847B3}"/>
    <cellStyle name="Comma 20 2 2 3" xfId="629" xr:uid="{08E21F9C-3536-4D03-A078-633BB4813C73}"/>
    <cellStyle name="Comma 20 2 3" xfId="630" xr:uid="{820096BA-0649-40E3-936F-CAE8E833D566}"/>
    <cellStyle name="Comma 20 2 4" xfId="631" xr:uid="{6815AC89-B78B-4F9F-85E1-B35A7A0066B2}"/>
    <cellStyle name="Comma 20 3" xfId="632" xr:uid="{81F15D45-72AD-4C83-9571-7F02A4404A7C}"/>
    <cellStyle name="Comma 20 4" xfId="633" xr:uid="{FDE5DFB4-2B5F-4794-9210-F51A17BF7141}"/>
    <cellStyle name="Comma 21" xfId="634" xr:uid="{59DDB056-A65E-4526-894B-3A8289F9170F}"/>
    <cellStyle name="Comma 21 2" xfId="635" xr:uid="{770D2D99-F8D0-4ACC-9A3C-E4E802B20D3B}"/>
    <cellStyle name="Comma 21 2 2" xfId="636" xr:uid="{58F34F9A-652B-4FB7-8FA1-1FEFD3C965EB}"/>
    <cellStyle name="Comma 21 2 2 2" xfId="637" xr:uid="{D12EF956-8A48-4F0B-BC18-B273B2DF5679}"/>
    <cellStyle name="Comma 21 2 2 3" xfId="638" xr:uid="{8B4615F7-D1DC-4852-B947-6C2B5AA260B0}"/>
    <cellStyle name="Comma 21 2 3" xfId="639" xr:uid="{C0D81FDB-E890-4C6C-BE1A-A3CB4A3CA85D}"/>
    <cellStyle name="Comma 21 2 4" xfId="640" xr:uid="{E7316BFC-00CC-4F66-BCD4-220D2CB80D92}"/>
    <cellStyle name="Comma 21 3" xfId="641" xr:uid="{CDA842AD-B0B6-4219-A590-5D0B07AE8640}"/>
    <cellStyle name="Comma 21 4" xfId="642" xr:uid="{D097B68D-B150-48F8-B92A-511B2A3B078B}"/>
    <cellStyle name="Comma 22" xfId="643" xr:uid="{EE153C3E-FD38-451D-9BA6-046F14440A4D}"/>
    <cellStyle name="Comma 22 2" xfId="644" xr:uid="{B7BF323B-1B72-4F29-A8D2-BF5A6381181E}"/>
    <cellStyle name="Comma 22 2 2" xfId="645" xr:uid="{5906401B-49A9-45B5-BEBA-C344086FE579}"/>
    <cellStyle name="Comma 22 2 3" xfId="646" xr:uid="{1D20547E-1171-4E42-98A7-884A7D339125}"/>
    <cellStyle name="Comma 22 3" xfId="647" xr:uid="{021E162A-FFEC-4CDD-BB2F-5DDBD3E11967}"/>
    <cellStyle name="Comma 22 4" xfId="648" xr:uid="{B74558E4-EB01-4B56-A3EC-1CE12B4B6B73}"/>
    <cellStyle name="Comma 23" xfId="649" xr:uid="{01726E88-B22B-410D-B223-0705A3A189CC}"/>
    <cellStyle name="Comma 23 2" xfId="650" xr:uid="{0C815AE2-B2EE-42FA-AE7D-87147EAF2E16}"/>
    <cellStyle name="Comma 23 2 2" xfId="651" xr:uid="{5C0B0C5C-391E-4EBD-A2EC-4968004431F9}"/>
    <cellStyle name="Comma 23 2 3" xfId="652" xr:uid="{AE592D55-E29E-4E19-88C4-F6F84C5649CB}"/>
    <cellStyle name="Comma 23 3" xfId="653" xr:uid="{91900458-649F-492A-BFBE-C2B57FF03144}"/>
    <cellStyle name="Comma 23 4" xfId="654" xr:uid="{DCE4A594-5F01-44E9-A332-DAFF0400BCBC}"/>
    <cellStyle name="Comma 24" xfId="655" xr:uid="{FEA6C9D4-A3B3-4EB4-B153-A0E0044AAA0B}"/>
    <cellStyle name="Comma 24 2" xfId="656" xr:uid="{5AF52C24-4040-4C35-A449-4FC4D00FE897}"/>
    <cellStyle name="Comma 24 3" xfId="657" xr:uid="{350C1AA1-B9AC-4455-B57A-F62FA5C3B701}"/>
    <cellStyle name="Comma 25" xfId="658" xr:uid="{0FF230D9-5391-4F48-A064-B125780B727B}"/>
    <cellStyle name="Comma 25 2" xfId="659" xr:uid="{7C9FB3FC-F1AD-4832-B953-A7FE5E67D5D0}"/>
    <cellStyle name="Comma 26" xfId="48" xr:uid="{2A616CC3-A136-4CCE-B965-C56D6ED1201C}"/>
    <cellStyle name="Comma 26 2" xfId="1354" xr:uid="{6FBF0987-24AB-4589-B80E-AC95690F896E}"/>
    <cellStyle name="Comma 26 3" xfId="660" xr:uid="{758EEE59-3976-47AC-8191-A5A52091572A}"/>
    <cellStyle name="Comma 26 4" xfId="210" xr:uid="{9A474125-2EA0-43F4-9F01-81255825EBB5}"/>
    <cellStyle name="Comma 27" xfId="661" xr:uid="{6FC95846-53D7-4511-9E18-92638E8BD8F8}"/>
    <cellStyle name="Comma 28" xfId="662" xr:uid="{9A1482C8-1434-43FB-903E-FB6C574DF0DE}"/>
    <cellStyle name="Comma 29" xfId="663" xr:uid="{68DDE3C8-A0D8-4959-BDAF-3E5F3C98FFA8}"/>
    <cellStyle name="Comma 3" xfId="49" xr:uid="{3209A90F-DE01-4866-97A9-493C3287F923}"/>
    <cellStyle name="Comma 3 10" xfId="664" xr:uid="{7DAA4092-0E1C-4B22-B7E4-56DFFF10DE11}"/>
    <cellStyle name="Comma 3 2" xfId="665" xr:uid="{0079C31E-FDC7-4BEB-963D-059668D121D6}"/>
    <cellStyle name="Comma 3 2 2" xfId="666" xr:uid="{DF7F9058-E5A5-476D-A61F-EBB2E73BEDB4}"/>
    <cellStyle name="Comma 3 2 3" xfId="667" xr:uid="{BC4079D5-23D5-4E20-8A37-AD8FEEC867EC}"/>
    <cellStyle name="Comma 3 2 3 2" xfId="668" xr:uid="{AC961112-93CF-45AD-9DB6-7BC92378C0E8}"/>
    <cellStyle name="Comma 3 2 3 2 2" xfId="669" xr:uid="{DA00C746-9766-4F84-9C90-C3C5B7514380}"/>
    <cellStyle name="Comma 3 2 3 2 3" xfId="670" xr:uid="{087A9EBF-23C9-48BF-BA81-1924CD177E4B}"/>
    <cellStyle name="Comma 3 2 3 3" xfId="671" xr:uid="{9AEA0BC8-4FDF-448E-9ED1-A48530A2DF10}"/>
    <cellStyle name="Comma 3 2 3 4" xfId="672" xr:uid="{719C3508-2D5E-4CCB-AFBA-2638D4CA1DDB}"/>
    <cellStyle name="Comma 3 2 3 5" xfId="1288" xr:uid="{F91C8CC2-6DF5-4FAF-A9E6-EFB1BBC32CCB}"/>
    <cellStyle name="Comma 3 2 3 6" xfId="1314" xr:uid="{8E10AB5F-A921-4E08-AAE4-00A4F4BA493A}"/>
    <cellStyle name="Comma 3 2 4" xfId="673" xr:uid="{F69BB4C3-E3A5-47BF-BFCF-64E40FF80789}"/>
    <cellStyle name="Comma 3 2 5" xfId="674" xr:uid="{AA8F12A2-C2B2-4B50-B869-53D2177DEDA0}"/>
    <cellStyle name="Comma 3 2 6" xfId="675" xr:uid="{667BF63F-DE4C-4D9E-8082-18B87C240212}"/>
    <cellStyle name="Comma 3 2 7" xfId="1291" xr:uid="{F1517818-EF12-40FB-8398-EF98593F20D4}"/>
    <cellStyle name="Comma 3 3" xfId="676" xr:uid="{1E2B1054-E059-41D9-AE4E-211A181A30A1}"/>
    <cellStyle name="Comma 3 3 2" xfId="677" xr:uid="{4053B15C-9521-4039-B98B-51C5AA5D9511}"/>
    <cellStyle name="Comma 3 4" xfId="678" xr:uid="{69F7EF99-2FB3-44DA-891E-EFFAD5A92729}"/>
    <cellStyle name="Comma 3 5" xfId="679" xr:uid="{FA8BB528-59B9-437C-92C1-B859679F921C}"/>
    <cellStyle name="Comma 3 5 2" xfId="680" xr:uid="{2B58F667-40F1-450C-8D94-9E0DD425C553}"/>
    <cellStyle name="Comma 3 5 2 2" xfId="681" xr:uid="{8D78555E-488B-4B6E-A268-5ECDF79466F5}"/>
    <cellStyle name="Comma 3 5 2 2 2" xfId="682" xr:uid="{903AF2BD-2F70-4BEF-A1F1-C5013F2BA02C}"/>
    <cellStyle name="Comma 3 5 2 2 3" xfId="683" xr:uid="{C48193B7-FF62-4EF2-93ED-60C7D87EFF45}"/>
    <cellStyle name="Comma 3 5 2 3" xfId="684" xr:uid="{18688FD0-340E-4E42-8E6C-608EEE1E4AEE}"/>
    <cellStyle name="Comma 3 5 2 4" xfId="685" xr:uid="{26EB2389-29C4-4AD0-9A4A-FB8D5DFF88F6}"/>
    <cellStyle name="Comma 3 5 3" xfId="686" xr:uid="{EE9D93FD-0EC2-4E0D-94A0-F4FFD085E5D9}"/>
    <cellStyle name="Comma 3 5 3 2" xfId="687" xr:uid="{21B4B992-5A22-4075-AF44-65101E2E4F67}"/>
    <cellStyle name="Comma 3 5 3 3" xfId="688" xr:uid="{CDB5E672-7581-4BC3-9E22-104A5D94720D}"/>
    <cellStyle name="Comma 3 5 4" xfId="689" xr:uid="{63D6C00B-B3AC-4ED7-8D1D-3A7EDCE78562}"/>
    <cellStyle name="Comma 3 5 5" xfId="690" xr:uid="{20881089-1E56-4545-AF4E-1833CC48E2B7}"/>
    <cellStyle name="Comma 3 5 6" xfId="691" xr:uid="{60FC4FF2-C268-4A29-82EF-B812EC7160AC}"/>
    <cellStyle name="Comma 3 6" xfId="692" xr:uid="{6702D91E-640D-4178-8138-8A7770B22CE3}"/>
    <cellStyle name="Comma 3 7" xfId="50" xr:uid="{10E233F8-1F29-4283-89E7-A55BEB661521}"/>
    <cellStyle name="Comma 3 7 2" xfId="1355" xr:uid="{C90A5B26-61E8-4536-BEB2-D4FB3036B01A}"/>
    <cellStyle name="Comma 3 7 3" xfId="693" xr:uid="{0B60B468-83F0-40D6-A37E-ED6CF56F8E37}"/>
    <cellStyle name="Comma 3 7 4" xfId="211" xr:uid="{370CD8F0-5086-4571-883C-C14B1FF1A9D0}"/>
    <cellStyle name="Comma 3 8" xfId="1276" xr:uid="{E7F0C8FB-B0E5-48AA-A431-99F2BF763024}"/>
    <cellStyle name="Comma 3 9" xfId="1303" xr:uid="{925D56C9-540C-4E62-91FA-2C9F6D30A613}"/>
    <cellStyle name="Comma 30" xfId="1263" xr:uid="{75B8966C-4402-43D8-8AE4-8295091AABAF}"/>
    <cellStyle name="Comma 31" xfId="1329" xr:uid="{777B01F1-6707-4733-BD87-977A9294AC92}"/>
    <cellStyle name="Comma 32" xfId="1275" xr:uid="{928B2AE4-1D80-45B7-8DF6-4B3F742DD09D}"/>
    <cellStyle name="Comma 32 2" xfId="1302" xr:uid="{3C19F379-450B-46E1-8AA2-E48961FC81E0}"/>
    <cellStyle name="Comma 33" xfId="1334" xr:uid="{CB6CC44A-D3CF-4B3E-810F-C75951E10424}"/>
    <cellStyle name="Comma 34" xfId="1336" xr:uid="{B714163F-7014-4550-97DD-B76643271BB6}"/>
    <cellStyle name="Comma 35" xfId="189" xr:uid="{F9CB9757-1F6D-4DFA-A9D7-2A73D0A8E3B1}"/>
    <cellStyle name="Comma 36" xfId="338" xr:uid="{D2B43E5D-CEFE-41D7-A5CF-ABFCAC41A7F2}"/>
    <cellStyle name="Comma 37" xfId="1478" xr:uid="{4410D760-AE26-4F99-B8E7-1A790982B2E2}"/>
    <cellStyle name="Comma 38" xfId="1485" xr:uid="{BF50545B-870E-478A-BFFE-779B5C286ADE}"/>
    <cellStyle name="Comma 39" xfId="1479" xr:uid="{6CC2AEC8-3382-49D5-A8A6-8FA613FC48D1}"/>
    <cellStyle name="Comma 4" xfId="51" xr:uid="{E637DDD2-D083-480E-9912-AE70DADF1D40}"/>
    <cellStyle name="Comma 4 2" xfId="695" xr:uid="{568118D6-0D80-436B-ACA7-FCB66DB5C5A8}"/>
    <cellStyle name="Comma 4 2 2" xfId="696" xr:uid="{4C8B52C7-C74D-49C9-AEB9-6BF979DF5EB9}"/>
    <cellStyle name="Comma 4 2 3" xfId="697" xr:uid="{9E10CB6E-97F8-42AF-9C2F-719955CDABCC}"/>
    <cellStyle name="Comma 4 3" xfId="698" xr:uid="{8586A285-3C45-475B-A0DE-06A699EC8933}"/>
    <cellStyle name="Comma 4 4" xfId="1283" xr:uid="{55394114-9F98-45A2-92CF-5C0C99E592BD}"/>
    <cellStyle name="Comma 4 5" xfId="1309" xr:uid="{14CAA7D3-3E5C-4D2B-BF2D-8C7F9D7D860C}"/>
    <cellStyle name="Comma 4 6" xfId="1356" xr:uid="{4B80AEB3-E27D-4228-8F8C-4580B3246A87}"/>
    <cellStyle name="Comma 4 7" xfId="694" xr:uid="{7043D116-247D-4BA2-BFA3-165FB568CA4C}"/>
    <cellStyle name="Comma 4 8" xfId="212" xr:uid="{BA475E70-E0C0-4ABC-A1B4-8468E73388C2}"/>
    <cellStyle name="Comma 40" xfId="1484" xr:uid="{EE84E512-253B-4938-B4B0-6AEDD5D2F7A3}"/>
    <cellStyle name="Comma 41" xfId="1480" xr:uid="{E53B2888-DB27-43B3-93E4-F989D00968C7}"/>
    <cellStyle name="Comma 42" xfId="1482" xr:uid="{2ADF2A91-F304-4749-A890-24445E366BF0}"/>
    <cellStyle name="Comma 43" xfId="1481" xr:uid="{A3C577AD-D8E6-455E-AC4B-3E6FCD121CC5}"/>
    <cellStyle name="Comma 44" xfId="1483" xr:uid="{1E332B86-2751-4B8C-8645-4BA9C2B3FCC3}"/>
    <cellStyle name="Comma 45" xfId="37" xr:uid="{291B74C8-9634-44A1-9554-1CA5E659BD34}"/>
    <cellStyle name="Comma 46" xfId="187" xr:uid="{1DD97839-5F89-465E-AC7A-53E9EB7E613D}"/>
    <cellStyle name="Comma 47" xfId="1487" xr:uid="{21FE7926-80E8-45BB-8540-72EA6356713B}"/>
    <cellStyle name="Comma 48" xfId="1486" xr:uid="{5AB87C75-025D-41E2-9257-AE9E6C318763}"/>
    <cellStyle name="Comma 49" xfId="1491" xr:uid="{F922B474-C6D7-4D61-A7D6-7DE43652F052}"/>
    <cellStyle name="Comma 5" xfId="52" xr:uid="{3EC53BFD-5142-4757-B234-7BF6B674F3D0}"/>
    <cellStyle name="Comma 5 2" xfId="700" xr:uid="{C2F0802C-DA3D-4D95-88C3-5031193F8A31}"/>
    <cellStyle name="Comma 5 2 2" xfId="701" xr:uid="{E25ACA90-F913-40BB-AFD7-EBEF80C7C0ED}"/>
    <cellStyle name="Comma 5 2 3" xfId="702" xr:uid="{026A9675-B7D9-4475-A65E-0B5392A3B76C}"/>
    <cellStyle name="Comma 5 3" xfId="1284" xr:uid="{3F352FCE-84FA-4AAD-82DB-92DAF89090B5}"/>
    <cellStyle name="Comma 5 4" xfId="1310" xr:uid="{155ADB66-EF8A-43C4-AB6D-4D28969BE3B8}"/>
    <cellStyle name="Comma 5 5" xfId="1357" xr:uid="{0E7A1F78-1B00-4C6F-985B-62B7F0DD2449}"/>
    <cellStyle name="Comma 5 6" xfId="699" xr:uid="{C762E3B9-6398-489D-BEC6-E662E4DD0C4E}"/>
    <cellStyle name="Comma 50" xfId="1489" xr:uid="{CD747F84-9581-4604-80E5-73C819DD0741}"/>
    <cellStyle name="Comma 51" xfId="1490" xr:uid="{F4EBF1CF-B2DA-47FF-9515-765F26805D8D}"/>
    <cellStyle name="Comma 52" xfId="1488" xr:uid="{6FD0E9AC-2990-4DC5-A260-F0794F7B4BEA}"/>
    <cellStyle name="Comma 6" xfId="53" xr:uid="{7DDD8020-8DBC-4B87-B75E-A0E6B6D1ED02}"/>
    <cellStyle name="Comma 6 2" xfId="704" xr:uid="{97C2BD36-8CF1-4E87-996E-3CEE9006869E}"/>
    <cellStyle name="Comma 6 2 2" xfId="705" xr:uid="{300E8003-1FCB-4DA6-89E0-7AEF1AC97045}"/>
    <cellStyle name="Comma 6 2 3" xfId="706" xr:uid="{4254DFA8-4F32-44E6-A6F4-92514B72A711}"/>
    <cellStyle name="Comma 6 3" xfId="1294" xr:uid="{0A1AB4DB-8AEC-4EBD-9306-0D5B437CA7B5}"/>
    <cellStyle name="Comma 6 4" xfId="1319" xr:uid="{1D6A0B16-8259-49A9-8E2B-0CA8C5A7D9E1}"/>
    <cellStyle name="Comma 6 5" xfId="1358" xr:uid="{A8C60A7E-F19F-4388-9440-7F5C3DFC8FFE}"/>
    <cellStyle name="Comma 6 6" xfId="703" xr:uid="{8F09B52C-C68A-4C6D-AA20-1E650F7043A7}"/>
    <cellStyle name="Comma 6 7" xfId="213" xr:uid="{B4A6289C-E328-4B4E-B171-78B10DE39CA4}"/>
    <cellStyle name="Comma 7" xfId="170" xr:uid="{AA027338-DC41-45F2-BFA7-0E0774FB83FE}"/>
    <cellStyle name="Comma 7 10" xfId="707" xr:uid="{B75D8A39-6777-46CF-8CF3-FC5BE23F7C6A}"/>
    <cellStyle name="Comma 7 11" xfId="323" xr:uid="{47C8EF01-62EE-4809-B155-25A74325EFAC}"/>
    <cellStyle name="Comma 7 2" xfId="708" xr:uid="{3ACED197-E191-482F-BF47-23781C663B8C}"/>
    <cellStyle name="Comma 7 2 2" xfId="709" xr:uid="{507566DF-2A5F-4A48-AF75-2B0BEE378F45}"/>
    <cellStyle name="Comma 7 2 3" xfId="710" xr:uid="{72364852-2CC8-4639-9DB5-9B1988C3ACFD}"/>
    <cellStyle name="Comma 7 2 3 2" xfId="711" xr:uid="{9B7B3AA8-E68B-486D-AF44-927D4489439D}"/>
    <cellStyle name="Comma 7 2 3 2 2" xfId="712" xr:uid="{F4688E88-1C79-4512-B1CA-BC64A42B5326}"/>
    <cellStyle name="Comma 7 2 3 2 2 2" xfId="713" xr:uid="{5D84BF56-220C-4343-9194-DC50DB12BFAA}"/>
    <cellStyle name="Comma 7 2 3 2 2 3" xfId="714" xr:uid="{3BE321A8-7B61-4413-BB17-B56EA792EBB1}"/>
    <cellStyle name="Comma 7 2 3 2 3" xfId="715" xr:uid="{8F12EC27-F43C-4F3C-84E4-9DA5484127C3}"/>
    <cellStyle name="Comma 7 2 3 2 4" xfId="716" xr:uid="{B645C0A5-3F32-4E32-9EE2-114F4E1F079C}"/>
    <cellStyle name="Comma 7 2 3 3" xfId="717" xr:uid="{2497FE3C-9F19-47AA-A242-EAF8D7D9018D}"/>
    <cellStyle name="Comma 7 2 3 4" xfId="718" xr:uid="{89B6C406-CBF8-4A62-8669-6474662ABBEC}"/>
    <cellStyle name="Comma 7 3" xfId="719" xr:uid="{C5A884E2-37FC-4347-B2B5-473F32719CF6}"/>
    <cellStyle name="Comma 7 3 2" xfId="720" xr:uid="{D0FA698F-02A1-42AA-9EB9-BDB63F7F8F22}"/>
    <cellStyle name="Comma 7 3 2 2" xfId="721" xr:uid="{950FCDB1-E521-4003-BC94-16735F48D861}"/>
    <cellStyle name="Comma 7 3 2 2 2" xfId="722" xr:uid="{44C85E42-3A04-4255-8083-1CA46D258A0F}"/>
    <cellStyle name="Comma 7 3 2 2 3" xfId="723" xr:uid="{D91D99E0-61D1-4BAD-A96E-28BD5A39EE51}"/>
    <cellStyle name="Comma 7 3 2 3" xfId="724" xr:uid="{652DAB35-FB9C-4FDA-895A-A3094EC1A60F}"/>
    <cellStyle name="Comma 7 3 2 4" xfId="725" xr:uid="{87B3BE4C-8567-434C-B77D-D372F6F91051}"/>
    <cellStyle name="Comma 7 3 3" xfId="726" xr:uid="{C12FF48C-2600-41D5-9943-AA2DD00B9CBC}"/>
    <cellStyle name="Comma 7 3 4" xfId="727" xr:uid="{B876BE3A-3CD1-463C-897D-9726428875F3}"/>
    <cellStyle name="Comma 7 4" xfId="728" xr:uid="{650799A8-BE6A-4F42-B6DC-2F8F907BC815}"/>
    <cellStyle name="Comma 7 4 2" xfId="729" xr:uid="{7B81DA39-F100-4D79-ACB7-9879C68DB94F}"/>
    <cellStyle name="Comma 7 4 2 2" xfId="730" xr:uid="{26200947-B22A-49F7-AC16-49DF3B0B8A32}"/>
    <cellStyle name="Comma 7 4 2 3" xfId="731" xr:uid="{EB5DB9CF-372B-4739-9FCD-A5C884FB2A60}"/>
    <cellStyle name="Comma 7 4 3" xfId="732" xr:uid="{824083DD-A1FB-4F46-93CC-CBB6195CBD9D}"/>
    <cellStyle name="Comma 7 4 4" xfId="733" xr:uid="{20817A5C-18F4-4640-BCA8-A5D88FD7CB0C}"/>
    <cellStyle name="Comma 7 5" xfId="734" xr:uid="{6BAD8629-4C44-4F39-99ED-C0938A288DB9}"/>
    <cellStyle name="Comma 7 6" xfId="735" xr:uid="{60DF168D-3F10-4992-8900-A28FA49EB186}"/>
    <cellStyle name="Comma 7 7" xfId="1296" xr:uid="{3A242942-8D41-4AB8-A2E5-1296A438FBAF}"/>
    <cellStyle name="Comma 7 8" xfId="1321" xr:uid="{99107E70-C8B7-4AE2-9B5A-D9C99CB90090}"/>
    <cellStyle name="Comma 7 9" xfId="1462" xr:uid="{C3DBECD0-C0B8-4F7D-A218-560A1F2646B2}"/>
    <cellStyle name="Comma 8" xfId="177" xr:uid="{EE269E53-F642-451D-BA3F-91A2CC815DFE}"/>
    <cellStyle name="Comma 8 10" xfId="737" xr:uid="{6FAB49AA-0913-44A8-AD34-AE9D76173068}"/>
    <cellStyle name="Comma 8 11" xfId="1468" xr:uid="{3135FB6A-9A92-4B72-886D-19D80D312635}"/>
    <cellStyle name="Comma 8 12" xfId="736" xr:uid="{0FA4D810-4105-4111-AC87-500212AF358C}"/>
    <cellStyle name="Comma 8 13" xfId="328" xr:uid="{1256BC93-CDE1-44BA-9CF3-63BAFC1FAEE4}"/>
    <cellStyle name="Comma 8 2" xfId="738" xr:uid="{ECCAAD76-4B6B-4CD0-A19E-E8A60207D926}"/>
    <cellStyle name="Comma 8 3" xfId="739" xr:uid="{257FDE23-CFB6-4709-898B-03F6A75723FB}"/>
    <cellStyle name="Comma 8 3 2" xfId="740" xr:uid="{BF8CABCF-B094-437C-AAB9-59AF755A301B}"/>
    <cellStyle name="Comma 8 3 2 2" xfId="741" xr:uid="{0B735079-4311-49A9-A3AF-CD1968262BCD}"/>
    <cellStyle name="Comma 8 3 2 2 2" xfId="742" xr:uid="{08235D8D-3848-4840-BFE5-01B4CD3481D1}"/>
    <cellStyle name="Comma 8 3 2 2 3" xfId="743" xr:uid="{E38DE24D-9B3A-4C06-94D9-D08C2ADE2E57}"/>
    <cellStyle name="Comma 8 3 2 3" xfId="744" xr:uid="{73954B4F-E53C-433F-908F-45277275607E}"/>
    <cellStyle name="Comma 8 3 2 4" xfId="745" xr:uid="{89633519-0E77-4BC5-B571-0599CC4689CD}"/>
    <cellStyle name="Comma 8 3 3" xfId="746" xr:uid="{BFA3EAAB-F785-4A16-B749-7B81536CF9EF}"/>
    <cellStyle name="Comma 8 3 3 2" xfId="747" xr:uid="{CEB6EA88-82B8-402B-92C0-C123CF17997C}"/>
    <cellStyle name="Comma 8 3 3 3" xfId="748" xr:uid="{8F00C50B-77BE-4636-BB28-CDD5D2F213F9}"/>
    <cellStyle name="Comma 8 3 4" xfId="749" xr:uid="{835D24B8-DCFB-49EC-979F-4BC0C092D49C}"/>
    <cellStyle name="Comma 8 3 5" xfId="750" xr:uid="{E4477423-D5AE-40D3-B09D-0C802B13AE99}"/>
    <cellStyle name="Comma 8 3 6" xfId="751" xr:uid="{52AC694F-E157-4167-B92A-85B8CF9235D9}"/>
    <cellStyle name="Comma 8 4" xfId="752" xr:uid="{38F13733-B871-4207-B9EF-09E48DCA11DB}"/>
    <cellStyle name="Comma 8 4 2" xfId="753" xr:uid="{369584D6-F326-471F-B1E7-DEEAE838C5D9}"/>
    <cellStyle name="Comma 8 4 2 2" xfId="754" xr:uid="{BF7AE53D-B074-4C4E-8B76-91E4EEA3AB0E}"/>
    <cellStyle name="Comma 8 4 2 2 2" xfId="755" xr:uid="{D7E922E0-5E8A-40EB-8BEF-A33990DEC28C}"/>
    <cellStyle name="Comma 8 4 2 2 3" xfId="756" xr:uid="{C5AB080D-0AAB-4C9C-9D45-6704B0F29670}"/>
    <cellStyle name="Comma 8 4 2 3" xfId="757" xr:uid="{5F6E3BF5-B3E8-4185-866E-99DF3E332A0C}"/>
    <cellStyle name="Comma 8 4 2 4" xfId="758" xr:uid="{1C54D2CD-62B5-4EEC-B8B1-76C40E7281C7}"/>
    <cellStyle name="Comma 8 4 3" xfId="759" xr:uid="{B4C03B3C-F500-4A97-A7D7-994714D51657}"/>
    <cellStyle name="Comma 8 4 3 2" xfId="760" xr:uid="{F81085DC-423D-4A80-883B-332B83F57330}"/>
    <cellStyle name="Comma 8 4 3 3" xfId="761" xr:uid="{774340FB-AC08-4177-A57A-2D4F077EF239}"/>
    <cellStyle name="Comma 8 4 4" xfId="762" xr:uid="{4BFAFDF9-6197-49CB-A7BF-0C8C22D571BD}"/>
    <cellStyle name="Comma 8 4 5" xfId="763" xr:uid="{CB365B10-C8C9-421A-9ED9-35FACF0021CD}"/>
    <cellStyle name="Comma 8 4 6" xfId="764" xr:uid="{53CFC807-2C8F-434C-B600-22FCF765F05C}"/>
    <cellStyle name="Comma 8 5" xfId="765" xr:uid="{EBB7958F-21C7-49DA-B683-5591333256E3}"/>
    <cellStyle name="Comma 8 5 2" xfId="766" xr:uid="{893A0B1D-A07C-402A-B871-F53842E7AB29}"/>
    <cellStyle name="Comma 8 5 2 2" xfId="767" xr:uid="{5C253943-083E-406E-8B8C-7E0E0EFE06A4}"/>
    <cellStyle name="Comma 8 5 2 2 2" xfId="768" xr:uid="{F4F37B08-427F-4301-BCCD-3AD8BF829C7B}"/>
    <cellStyle name="Comma 8 5 2 2 3" xfId="769" xr:uid="{7D233FB8-5EA2-4B1B-8BD8-211381DF0DDF}"/>
    <cellStyle name="Comma 8 5 2 3" xfId="770" xr:uid="{3C70420C-E185-4C8B-9B5A-3C4D64A752B3}"/>
    <cellStyle name="Comma 8 5 2 4" xfId="771" xr:uid="{DA5C7584-4599-4AAF-8FBA-218DFBE01077}"/>
    <cellStyle name="Comma 8 5 2 5" xfId="772" xr:uid="{64C76565-1E62-413F-A5FE-C9371C57602F}"/>
    <cellStyle name="Comma 8 5 3" xfId="773" xr:uid="{B8BA89F1-477A-47F1-A6B2-C40597D5E31A}"/>
    <cellStyle name="Comma 8 5 3 2" xfId="774" xr:uid="{F60BF026-FAF9-465D-A49C-226FC4EFD5D1}"/>
    <cellStyle name="Comma 8 5 3 3" xfId="775" xr:uid="{41B5F0FE-BCB5-4767-92F8-9564FDBBFB2D}"/>
    <cellStyle name="Comma 8 5 4" xfId="776" xr:uid="{7F18B9D8-5F68-484F-9CE1-F96324C387EA}"/>
    <cellStyle name="Comma 8 5 5" xfId="777" xr:uid="{3C8E0AEA-DE1B-47EF-A16B-38589A815686}"/>
    <cellStyle name="Comma 8 5 6" xfId="778" xr:uid="{63841A0A-24CD-49A1-97D1-4C7F9D1CBC54}"/>
    <cellStyle name="Comma 8 6" xfId="779" xr:uid="{AD160270-78A2-4C36-BCDA-DA80F63232B6}"/>
    <cellStyle name="Comma 8 6 2" xfId="780" xr:uid="{42E45D96-BC63-4382-A5B7-75ABCB91E578}"/>
    <cellStyle name="Comma 8 6 2 2" xfId="781" xr:uid="{8FA4AF5D-494F-4FE7-8D24-0AF26703A592}"/>
    <cellStyle name="Comma 8 6 2 3" xfId="782" xr:uid="{5FCC3885-C5F9-4266-BF64-63E9D220ADA6}"/>
    <cellStyle name="Comma 8 6 3" xfId="783" xr:uid="{C97D0AE0-CE94-488A-A379-2F8D3CFD3C47}"/>
    <cellStyle name="Comma 8 6 4" xfId="784" xr:uid="{35B8BF3C-425D-4038-89BE-0C7B4DFB3912}"/>
    <cellStyle name="Comma 8 7" xfId="785" xr:uid="{49BE7D41-5DF7-4B51-A826-806A9B39C642}"/>
    <cellStyle name="Comma 8 7 2" xfId="786" xr:uid="{A7C07CC1-0D6D-40DE-8475-1F74D03A987B}"/>
    <cellStyle name="Comma 8 7 3" xfId="787" xr:uid="{122E3906-3BA8-4EC4-BB56-4A0FA1F6F039}"/>
    <cellStyle name="Comma 8 8" xfId="788" xr:uid="{9151DC3A-79C2-4AD1-82ED-D3409192DF5D}"/>
    <cellStyle name="Comma 8 9" xfId="789" xr:uid="{7732E764-951B-4714-8325-FC8FBFDFBC2B}"/>
    <cellStyle name="Comma 9" xfId="179" xr:uid="{8143F568-16FC-4679-8288-BDE7E14D7EB2}"/>
    <cellStyle name="Comma 9 2" xfId="791" xr:uid="{F7F1800B-5428-4D40-97AD-F5EDDD0692AB}"/>
    <cellStyle name="Comma 9 2 2" xfId="792" xr:uid="{E04F4FD6-6D80-4470-AAC8-D0CAC13B809B}"/>
    <cellStyle name="Comma 9 2 3" xfId="793" xr:uid="{42558CAA-2C88-4D0C-A997-EAD96277609C}"/>
    <cellStyle name="Comma 9 2 3 2" xfId="794" xr:uid="{D19FDF7E-4F84-4C92-A013-4574EF5CA2FD}"/>
    <cellStyle name="Comma 9 2 3 2 2" xfId="795" xr:uid="{DB6ECCBF-658A-4990-821A-3E2825C5CC89}"/>
    <cellStyle name="Comma 9 2 3 2 2 2" xfId="796" xr:uid="{03389883-D259-4D42-9E30-C26563825119}"/>
    <cellStyle name="Comma 9 2 3 2 2 3" xfId="797" xr:uid="{F9F86FC8-EA33-4E6F-BE8C-873D344AD00D}"/>
    <cellStyle name="Comma 9 2 3 2 3" xfId="798" xr:uid="{7E3E0DDB-64C4-422F-8C31-7783DB18A91F}"/>
    <cellStyle name="Comma 9 2 3 2 4" xfId="799" xr:uid="{0E02CC2F-A639-449F-9130-4DBF3E35F162}"/>
    <cellStyle name="Comma 9 2 3 3" xfId="800" xr:uid="{2B9DBA4F-372E-4C19-B462-F520C7818D7A}"/>
    <cellStyle name="Comma 9 2 3 4" xfId="801" xr:uid="{AC3119CC-874C-4DE6-9847-B807E1A469C0}"/>
    <cellStyle name="Comma 9 2 4" xfId="802" xr:uid="{DB4D0060-37A2-4C8B-8E40-ED233A4EE9CB}"/>
    <cellStyle name="Comma 9 2 4 2" xfId="803" xr:uid="{64AA6822-6BC2-4CE7-A3AA-D0241DC5036D}"/>
    <cellStyle name="Comma 9 2 4 2 2" xfId="804" xr:uid="{F7BD1097-10EE-400A-A892-87D60A3AF255}"/>
    <cellStyle name="Comma 9 2 4 2 2 2" xfId="805" xr:uid="{272E74A7-9F8B-422A-89CD-002A22ECE434}"/>
    <cellStyle name="Comma 9 2 4 2 2 3" xfId="806" xr:uid="{AC93D9D9-4073-4A22-9F58-CB7A4E1C9610}"/>
    <cellStyle name="Comma 9 2 4 2 3" xfId="807" xr:uid="{46C3B636-4F11-4130-B51F-6890D679C50A}"/>
    <cellStyle name="Comma 9 2 4 2 4" xfId="808" xr:uid="{01BAF79B-070A-4D05-93C8-5E624B8B687D}"/>
    <cellStyle name="Comma 9 2 4 3" xfId="809" xr:uid="{402B4B35-10E7-4A36-BE19-29E7B6B139B7}"/>
    <cellStyle name="Comma 9 2 4 4" xfId="810" xr:uid="{B5591C55-1822-44F6-BFCF-8D124D4FF60E}"/>
    <cellStyle name="Comma 9 2 5" xfId="811" xr:uid="{5C0101F3-CA7A-435E-B2FE-48F0E49A2F5F}"/>
    <cellStyle name="Comma 9 2 5 2" xfId="812" xr:uid="{5422EAC8-A270-45A1-B6BA-5DC0CF26608F}"/>
    <cellStyle name="Comma 9 2 5 2 2" xfId="813" xr:uid="{7F98F06F-33C4-4A8F-8FEC-CA18E2E6DAE1}"/>
    <cellStyle name="Comma 9 2 5 2 3" xfId="814" xr:uid="{51C29D0A-AE0A-4D9D-84E5-08A0ABC481CC}"/>
    <cellStyle name="Comma 9 2 5 3" xfId="815" xr:uid="{E564C040-1FE3-4A6C-B983-6E2D564E1600}"/>
    <cellStyle name="Comma 9 2 5 4" xfId="816" xr:uid="{AA173F1D-6377-45E5-841B-71A94839ED84}"/>
    <cellStyle name="Comma 9 2 6" xfId="817" xr:uid="{EE112617-9D70-420D-8053-021AF57231FE}"/>
    <cellStyle name="Comma 9 2 7" xfId="818" xr:uid="{A16B0FB9-A310-4359-B956-6F440E613FF7}"/>
    <cellStyle name="Comma 9 3" xfId="819" xr:uid="{843DA372-CE8F-4497-A596-318CA91EF68B}"/>
    <cellStyle name="Comma 9 3 2" xfId="820" xr:uid="{16427C45-161E-48C4-A3F2-E54363283CC4}"/>
    <cellStyle name="Comma 9 3 2 2" xfId="821" xr:uid="{D2851DDE-F27F-4944-B836-B6099BB2299F}"/>
    <cellStyle name="Comma 9 3 2 2 2" xfId="822" xr:uid="{5E334842-90C2-4991-8869-600186CFA5F4}"/>
    <cellStyle name="Comma 9 3 2 2 3" xfId="823" xr:uid="{2B26822E-2B84-428F-9A99-2EB11E8FB50F}"/>
    <cellStyle name="Comma 9 3 2 3" xfId="824" xr:uid="{9AC1B9E9-A2CA-4D76-B580-E59310B2B630}"/>
    <cellStyle name="Comma 9 3 2 4" xfId="825" xr:uid="{B14C552B-7351-4A1A-8DFE-6759092605F4}"/>
    <cellStyle name="Comma 9 3 3" xfId="826" xr:uid="{D3B50415-F08F-4A9E-AE75-6DD3B4A41787}"/>
    <cellStyle name="Comma 9 3 4" xfId="827" xr:uid="{0F14233C-1708-496F-BE25-9CF3A9202ECE}"/>
    <cellStyle name="Comma 9 4" xfId="828" xr:uid="{486B47CA-6026-422A-9893-2235C61F2A71}"/>
    <cellStyle name="Comma 9 4 2" xfId="829" xr:uid="{0A7F2BCB-BD2D-4585-8DA7-E12E072FA83D}"/>
    <cellStyle name="Comma 9 4 2 2" xfId="830" xr:uid="{14ABCE56-7938-4319-A290-4240099EE6A5}"/>
    <cellStyle name="Comma 9 4 2 3" xfId="831" xr:uid="{F8156C5C-04D5-49B2-B360-3152802DD208}"/>
    <cellStyle name="Comma 9 4 3" xfId="832" xr:uid="{CEF48D5D-9211-415A-A906-230256F9C992}"/>
    <cellStyle name="Comma 9 4 4" xfId="833" xr:uid="{94879C16-D7C0-479D-B8D7-34882AB80801}"/>
    <cellStyle name="Comma 9 5" xfId="834" xr:uid="{92FB3696-D297-4991-BBCE-E4A95A99A68C}"/>
    <cellStyle name="Comma 9 6" xfId="835" xr:uid="{12941290-88F9-4235-A511-90F2D960666C}"/>
    <cellStyle name="Comma 9 7" xfId="1470" xr:uid="{6CC4BACC-1D43-4A94-9C9B-62C00E01B304}"/>
    <cellStyle name="Comma 9 8" xfId="790" xr:uid="{7C622522-99DD-48E6-8962-7CECA17B598A}"/>
    <cellStyle name="Comma 9 9" xfId="330" xr:uid="{8EE515C5-C023-4434-A9E7-0DB02581B3D8}"/>
    <cellStyle name="Currency 2" xfId="836" xr:uid="{205AC61D-E157-4648-B7DE-9446AE33C791}"/>
    <cellStyle name="Currency 2 2" xfId="837" xr:uid="{6671BAB3-0FBA-4B3C-A643-741259B6F7DB}"/>
    <cellStyle name="Currency 2 2 2" xfId="838" xr:uid="{35B38CDF-3067-40EA-8EE0-86502607E8ED}"/>
    <cellStyle name="Currency 2 2 2 2" xfId="839" xr:uid="{BEE1B96B-83BD-4058-9505-845B066C77DB}"/>
    <cellStyle name="Currency 2 2 2 3" xfId="840" xr:uid="{5AFB9A87-4B9F-45D1-8636-383A770DB6F6}"/>
    <cellStyle name="Currency 2 2 3" xfId="841" xr:uid="{296187B6-44B1-496B-9E3A-45AC52888663}"/>
    <cellStyle name="Currency 2 2 4" xfId="842" xr:uid="{1DC96903-09A6-491D-B06B-58771082536A}"/>
    <cellStyle name="Currency 2 3" xfId="843" xr:uid="{508BD18C-FD69-4200-9C64-B7A643674AF9}"/>
    <cellStyle name="Currency 2 3 2" xfId="844" xr:uid="{565DA66A-6FDB-4527-8C7C-67B88BF05C10}"/>
    <cellStyle name="Currency 2 3 3" xfId="845" xr:uid="{5EEBC46D-3396-464A-BE33-0458FAD6431B}"/>
    <cellStyle name="Currency 2 4" xfId="846" xr:uid="{FE3A88B6-1EFC-4F1A-94D2-F1C36B16B67B}"/>
    <cellStyle name="Currency 2 5" xfId="847" xr:uid="{679C072F-76BF-450C-AD1A-93F39659C47B}"/>
    <cellStyle name="Currency 2 6" xfId="848" xr:uid="{3CAEEE0C-FB87-43D7-AF7F-F42A5AE9F51C}"/>
    <cellStyle name="Currency 2 7" xfId="849" xr:uid="{D1CD7317-206D-4B1E-B60B-8051324766E8}"/>
    <cellStyle name="Currency 3" xfId="850" xr:uid="{89E390F5-B7D9-4831-B61E-B7148FF33DEB}"/>
    <cellStyle name="Currency 3 2" xfId="851" xr:uid="{9C61C142-B4D1-40F4-B67B-F6C66586B7E7}"/>
    <cellStyle name="Currency 3 2 2" xfId="852" xr:uid="{51EA2CE5-04C0-4F09-B926-E31F791775BF}"/>
    <cellStyle name="Currency 3 2 2 2" xfId="853" xr:uid="{11192720-1210-4078-8E3B-2368E608D42F}"/>
    <cellStyle name="Currency 3 2 2 3" xfId="854" xr:uid="{9F626510-C14B-468E-AB3A-5B60877FB7DA}"/>
    <cellStyle name="Currency 3 2 3" xfId="855" xr:uid="{A54450F5-8DED-4888-A1FF-B138CFA8D5A1}"/>
    <cellStyle name="Currency 3 2 4" xfId="856" xr:uid="{F8057F29-7B7E-41A0-AAB8-7B81B86E1A0C}"/>
    <cellStyle name="Currency 3 3" xfId="857" xr:uid="{54DB043D-CFD4-4910-BE81-3A60D053D266}"/>
    <cellStyle name="Currency 3 3 2" xfId="858" xr:uid="{B862D68B-179A-4CF9-B794-42354FD3326E}"/>
    <cellStyle name="Currency 3 3 3" xfId="859" xr:uid="{603447E2-7305-4B39-8BFA-225006820041}"/>
    <cellStyle name="Currency 3 4" xfId="860" xr:uid="{59FCA61A-30C8-40C0-AF4D-F3F3B5399DFA}"/>
    <cellStyle name="Currency 3 5" xfId="861" xr:uid="{DB58BD6D-94B5-4D5E-A338-68BF5B82A295}"/>
    <cellStyle name="Currency 3 6" xfId="862" xr:uid="{419D7D16-5834-49C9-9E4E-1F6602BAFE9D}"/>
    <cellStyle name="Currency 4" xfId="863" xr:uid="{6F2E4FAD-40DB-48D0-AAA1-4F2C118EBF5D}"/>
    <cellStyle name="Currency 4 2" xfId="864" xr:uid="{A4F10A5F-BEAE-45BD-8A1B-E67AF3FEAF94}"/>
    <cellStyle name="Currency 4 2 2" xfId="865" xr:uid="{DE495212-DAD9-474E-BB04-294762CFF69C}"/>
    <cellStyle name="Currency 4 2 2 2" xfId="866" xr:uid="{7E7AD48A-1B6A-40F2-B898-6B94F3A53C7D}"/>
    <cellStyle name="Currency 4 2 2 3" xfId="867" xr:uid="{0F1ED616-7503-472E-BA0F-FC5C7AE09098}"/>
    <cellStyle name="Currency 4 2 3" xfId="868" xr:uid="{3D3B54FC-79F5-47AA-8960-C4EB11E1D732}"/>
    <cellStyle name="Currency 4 2 4" xfId="869" xr:uid="{902226F3-C6A1-40E0-BB7D-7181EF7CF36D}"/>
    <cellStyle name="Currency 4 3" xfId="870" xr:uid="{5E094AF3-417C-4499-83E4-8DDA8F390A76}"/>
    <cellStyle name="Currency 4 3 2" xfId="871" xr:uid="{CBF292A8-7C59-4DB0-A7BF-36507F209D45}"/>
    <cellStyle name="Currency 4 3 3" xfId="872" xr:uid="{BAA9F922-4C35-4062-8215-0AB9F63B4235}"/>
    <cellStyle name="Currency 4 4" xfId="873" xr:uid="{D326B8AA-69FD-470B-B666-B02BA33E9158}"/>
    <cellStyle name="Currency 4 5" xfId="874" xr:uid="{A0FB3206-02BD-420A-92F4-2181D3978CE4}"/>
    <cellStyle name="Currency 4 6" xfId="875" xr:uid="{AAD04CFB-DD66-4523-B92A-94619C503971}"/>
    <cellStyle name="Currency 5" xfId="876" xr:uid="{5B8118C1-55D5-4B31-8958-9EC3B77132FC}"/>
    <cellStyle name="Currency 5 2" xfId="877" xr:uid="{3231296D-CD37-44EF-A590-59D3DBC80067}"/>
    <cellStyle name="Currency 5 2 2" xfId="878" xr:uid="{B4F70AAF-0B9F-415A-ABCA-EB6226274582}"/>
    <cellStyle name="Currency 5 2 2 2" xfId="879" xr:uid="{8BB14ADD-4713-410D-8092-AE289DF1E848}"/>
    <cellStyle name="Currency 5 2 2 3" xfId="880" xr:uid="{CF8D116F-45FD-45E8-B871-E4BD9EB5D20D}"/>
    <cellStyle name="Currency 5 2 3" xfId="881" xr:uid="{F8665930-C01F-4700-BCB5-C079041B14D1}"/>
    <cellStyle name="Currency 5 2 4" xfId="882" xr:uid="{41FFAF5A-1EFC-4593-9CAE-B1193D167A2B}"/>
    <cellStyle name="Currency 5 3" xfId="883" xr:uid="{1B404286-A195-4AC4-89C8-66BABDECCF25}"/>
    <cellStyle name="Currency 5 3 2" xfId="884" xr:uid="{2CB48FDE-AB2F-4AD2-9EBA-32BF7AB110DF}"/>
    <cellStyle name="Currency 5 3 3" xfId="885" xr:uid="{A8173D70-98A8-4604-9AAF-F5EA3DFDF7FC}"/>
    <cellStyle name="Currency 5 4" xfId="886" xr:uid="{38B194FB-6CC8-4643-B9FE-B278682784BD}"/>
    <cellStyle name="Currency 5 5" xfId="887" xr:uid="{7F2BBFC1-5616-4E65-995C-8D41F187CA1B}"/>
    <cellStyle name="Currency 5 6" xfId="888" xr:uid="{CFC5AB50-77CF-46CA-BA7E-A0488B496C35}"/>
    <cellStyle name="Currency 6" xfId="889" xr:uid="{F28CC331-F622-4B24-82F2-4CDD2BEA7BD3}"/>
    <cellStyle name="Explanatory Text" xfId="17" builtinId="53" customBuiltin="1"/>
    <cellStyle name="Explanatory Text 2" xfId="890" xr:uid="{2DB87DAA-0447-477E-B17A-2B68B7CA9399}"/>
    <cellStyle name="Followed Hyperlink 2" xfId="891" xr:uid="{8819F58B-6179-4DD8-85D8-2F9F73B4A21E}"/>
    <cellStyle name="Font: Calibri, 9pt regular" xfId="892" xr:uid="{8EFF81AB-929F-4D58-849E-54F8E1AC3100}"/>
    <cellStyle name="Footnotes: all except top row" xfId="893" xr:uid="{7F1AC0EE-AECF-4453-86B7-D3ACC914F967}"/>
    <cellStyle name="Footnotes: top row" xfId="894" xr:uid="{499FB606-8CFE-451C-BFE7-569BEEA8234C}"/>
    <cellStyle name="Good" xfId="9" builtinId="26" customBuiltin="1"/>
    <cellStyle name="Good 2" xfId="895" xr:uid="{12DB4AD5-61F4-4667-99C6-88B88EAE3DA5}"/>
    <cellStyle name="Header: bottom row" xfId="896" xr:uid="{6F119155-5975-4EBE-9B6B-16BB67F32B2D}"/>
    <cellStyle name="Header: top rows" xfId="897" xr:uid="{4D2586BC-B4DE-49C4-AAE2-4AD4BA8BEEFE}"/>
    <cellStyle name="Heading 1" xfId="5" builtinId="16" customBuiltin="1"/>
    <cellStyle name="Heading 1 2" xfId="898" xr:uid="{FF579D08-8A98-4A1D-8425-A46C191B8B7F}"/>
    <cellStyle name="Heading 2" xfId="6" builtinId="17" customBuiltin="1"/>
    <cellStyle name="Heading 2 2" xfId="899" xr:uid="{8121CEB9-BF04-454B-9617-412B86D48DAA}"/>
    <cellStyle name="Heading 3" xfId="7" builtinId="18" customBuiltin="1"/>
    <cellStyle name="Heading 3 2" xfId="900" xr:uid="{0D311C8B-CF85-4F30-96CA-B5BA6CC9D81F}"/>
    <cellStyle name="Heading 4" xfId="8" builtinId="19" customBuiltin="1"/>
    <cellStyle name="Heading 4 2" xfId="901" xr:uid="{0AD9009F-4D93-422A-A3DF-45B3236F3828}"/>
    <cellStyle name="Hyperlink" xfId="3" builtinId="8"/>
    <cellStyle name="Hyperlink 2" xfId="902" xr:uid="{F2E8AA04-066C-4652-87ED-87DF17287F5C}"/>
    <cellStyle name="Hyperlink 2 2" xfId="903" xr:uid="{41E14503-9259-4518-9698-B0EFED86F6D5}"/>
    <cellStyle name="Hyperlink 2 3" xfId="1269" xr:uid="{DE32FB27-4110-4460-BBC3-749A1700FC71}"/>
    <cellStyle name="Hyperlink 3" xfId="904" xr:uid="{7309BFFF-60D3-4ECA-A1D0-F2E28B975CB4}"/>
    <cellStyle name="Hyperlink 3 2" xfId="905" xr:uid="{10EA8E89-E7AA-4D1E-A84F-9D0AB1796F53}"/>
    <cellStyle name="Hyperlink 3 3" xfId="906" xr:uid="{916705BB-9EA7-4413-9B86-1448F347BFF3}"/>
    <cellStyle name="Hyperlink 4" xfId="907" xr:uid="{253634A2-CF66-46D8-95B6-FB023BB3FCF9}"/>
    <cellStyle name="Hyperlink 5" xfId="908" xr:uid="{4BEFCE42-95BF-48B3-BE99-3652E52B8D2F}"/>
    <cellStyle name="Hyperlink 5 2" xfId="909" xr:uid="{360F2950-1854-41C3-B2DB-88778022A24C}"/>
    <cellStyle name="Hyperlink 5 3" xfId="910" xr:uid="{0E85FB30-431A-4F27-828C-51908FCF24EA}"/>
    <cellStyle name="Input" xfId="11" builtinId="20" customBuiltin="1"/>
    <cellStyle name="Input 2" xfId="911" xr:uid="{DF3A7C2A-804C-42EE-B07B-75150C05015E}"/>
    <cellStyle name="Linked Cell" xfId="14" builtinId="24" customBuiltin="1"/>
    <cellStyle name="Linked Cell 2" xfId="912" xr:uid="{55502019-8099-45C7-A54D-02FAA146B0BF}"/>
    <cellStyle name="Milliers 10" xfId="54" xr:uid="{32B38E92-A58F-4219-97D3-F054BDC38A06}"/>
    <cellStyle name="Milliers 10 2" xfId="55" xr:uid="{BE0BBAA4-2F95-4F3F-8FB5-B34A10B8D97B}"/>
    <cellStyle name="Milliers 10 2 2" xfId="915" xr:uid="{E208FB01-3AD9-41A1-91D7-C8BBBA0AB2E2}"/>
    <cellStyle name="Milliers 10 2 2 2" xfId="916" xr:uid="{274D37B8-389A-4CE0-B07F-254AC01714A9}"/>
    <cellStyle name="Milliers 10 2 2 2 2" xfId="917" xr:uid="{1B0A941F-DB74-4357-97AE-DCA860624D46}"/>
    <cellStyle name="Milliers 10 2 2 2 3" xfId="918" xr:uid="{150FF79D-4985-4E11-A40C-0DAB346BB4FE}"/>
    <cellStyle name="Milliers 10 2 2 3" xfId="919" xr:uid="{1FF34E3D-E543-4815-9710-490EF9CAE39D}"/>
    <cellStyle name="Milliers 10 2 2 4" xfId="920" xr:uid="{BB5F0F13-5DE2-47C2-BE2E-5F6612483358}"/>
    <cellStyle name="Milliers 10 2 3" xfId="921" xr:uid="{0AC55429-5C3F-483F-8618-FB2872437C7D}"/>
    <cellStyle name="Milliers 10 2 3 2" xfId="922" xr:uid="{EE6C23DB-6EF3-4A99-B164-9A01F654BBD6}"/>
    <cellStyle name="Milliers 10 2 3 3" xfId="923" xr:uid="{81B08366-D3D8-4D6F-B03C-DE12E51CBD31}"/>
    <cellStyle name="Milliers 10 2 4" xfId="924" xr:uid="{01FF7C5D-49C1-4D94-82C9-D2C26EA773BE}"/>
    <cellStyle name="Milliers 10 2 5" xfId="925" xr:uid="{1584B4C2-3D76-485C-9423-6C02C73D0A5C}"/>
    <cellStyle name="Milliers 10 2 6" xfId="926" xr:uid="{8DDC6B0E-C772-4BEF-8EAC-BE12B91699DA}"/>
    <cellStyle name="Milliers 10 2 7" xfId="1360" xr:uid="{CA42D4B5-366A-45BC-A13E-39146AC16BF6}"/>
    <cellStyle name="Milliers 10 2 8" xfId="914" xr:uid="{FA7CD9E5-CC52-4E8F-8AA3-69323A6E2BB4}"/>
    <cellStyle name="Milliers 10 2 9" xfId="215" xr:uid="{4EDC7B30-F42F-465B-BF09-44A2880CA243}"/>
    <cellStyle name="Milliers 10 3" xfId="56" xr:uid="{9A0F79EC-357B-4873-9CBD-D2B5286C9A41}"/>
    <cellStyle name="Milliers 10 3 2" xfId="928" xr:uid="{1FC784AE-8F62-4382-A417-6632D29F01DD}"/>
    <cellStyle name="Milliers 10 3 3" xfId="929" xr:uid="{D37BAC54-3B1F-4295-AC82-CCB442733B85}"/>
    <cellStyle name="Milliers 10 3 4" xfId="1361" xr:uid="{67D042BD-A442-4415-B8EE-DDE043E28435}"/>
    <cellStyle name="Milliers 10 3 5" xfId="927" xr:uid="{539ACF34-03A2-48F5-967B-0E250702BC86}"/>
    <cellStyle name="Milliers 10 3 6" xfId="216" xr:uid="{28441D65-E109-4C00-86D6-348D656B1CEA}"/>
    <cellStyle name="Milliers 10 4" xfId="57" xr:uid="{D1364C42-F388-42F4-8025-8265934CDD75}"/>
    <cellStyle name="Milliers 10 4 2" xfId="931" xr:uid="{A378F4CC-6E09-4C45-8D02-3E2527F3025B}"/>
    <cellStyle name="Milliers 10 4 3" xfId="932" xr:uid="{564CF1F4-470E-45FB-ABA0-B930998D23EC}"/>
    <cellStyle name="Milliers 10 4 4" xfId="1362" xr:uid="{F911D972-D930-44AD-8D3D-408D96EA038C}"/>
    <cellStyle name="Milliers 10 4 5" xfId="930" xr:uid="{5F18545A-102C-40DF-B586-302D5C0EA0D2}"/>
    <cellStyle name="Milliers 10 4 6" xfId="217" xr:uid="{E56C2827-42CD-4B70-8D61-B049B2D4092D}"/>
    <cellStyle name="Milliers 10 5" xfId="175" xr:uid="{BC879806-287E-4CB0-B810-717E1DA692C2}"/>
    <cellStyle name="Milliers 10 5 2" xfId="1466" xr:uid="{61C04483-87F9-4075-996F-BD4109F43A65}"/>
    <cellStyle name="Milliers 10 5 3" xfId="933" xr:uid="{627D34D9-927D-41DB-A82A-A2B661A820D0}"/>
    <cellStyle name="Milliers 10 5 4" xfId="326" xr:uid="{42086EDD-4F07-48FD-AB10-99C8936D2491}"/>
    <cellStyle name="Milliers 10 6" xfId="185" xr:uid="{D259A75E-8E7E-4614-843E-7664FD19504F}"/>
    <cellStyle name="Milliers 10 6 2" xfId="1475" xr:uid="{38D8A60B-FB5C-405D-92D0-F2D4E281762A}"/>
    <cellStyle name="Milliers 10 6 3" xfId="336" xr:uid="{61CF0D6F-55C7-4224-8A4A-F77D50A2DEFE}"/>
    <cellStyle name="Milliers 10 7" xfId="1359" xr:uid="{40C36501-1C97-4498-9C37-3C68F8A06364}"/>
    <cellStyle name="Milliers 10 8" xfId="913" xr:uid="{6B75B851-DAD0-45F9-875A-AD5A4E18BF93}"/>
    <cellStyle name="Milliers 10 9" xfId="214" xr:uid="{A085A36E-924F-4FCF-91D5-71059C946B0B}"/>
    <cellStyle name="Milliers 11" xfId="58" xr:uid="{386A5A6D-A848-44D2-B518-8244FA73BF62}"/>
    <cellStyle name="Milliers 11 2" xfId="59" xr:uid="{BDD84373-1F80-42A6-BA94-9B031FE0DDC8}"/>
    <cellStyle name="Milliers 11 2 2" xfId="936" xr:uid="{D61292DC-B783-430D-A488-95F2B1D8E3CB}"/>
    <cellStyle name="Milliers 11 2 3" xfId="937" xr:uid="{8C3ADE3D-6B6F-4FFD-853C-064050904AF3}"/>
    <cellStyle name="Milliers 11 2 4" xfId="1364" xr:uid="{ECAAFD77-80FC-4EE5-A039-E39DA9102193}"/>
    <cellStyle name="Milliers 11 2 5" xfId="935" xr:uid="{CF8FE168-CF52-41F6-92B1-9D8107AEDAE6}"/>
    <cellStyle name="Milliers 11 2 6" xfId="219" xr:uid="{E63B05B2-BB92-42B7-A7DE-B1378F871504}"/>
    <cellStyle name="Milliers 11 3" xfId="60" xr:uid="{8719FD32-712F-4D1D-9472-4D54F179FD0B}"/>
    <cellStyle name="Milliers 11 3 2" xfId="939" xr:uid="{9B1872B2-6F0B-41E3-81D9-109A165FE276}"/>
    <cellStyle name="Milliers 11 3 3" xfId="940" xr:uid="{7E1CDDC5-775D-4119-A1B1-0EB3DBF81AED}"/>
    <cellStyle name="Milliers 11 3 4" xfId="1365" xr:uid="{D91EDE04-7ED6-401A-9D15-1117C171A8B6}"/>
    <cellStyle name="Milliers 11 3 5" xfId="938" xr:uid="{9C58E119-AB37-48D7-AA55-E7854B036F8A}"/>
    <cellStyle name="Milliers 11 3 6" xfId="220" xr:uid="{86B9FB8A-6B4F-4964-96DC-135A35B663EA}"/>
    <cellStyle name="Milliers 11 4" xfId="61" xr:uid="{C2B26383-64BF-44F9-B61A-88CA134F8356}"/>
    <cellStyle name="Milliers 11 4 2" xfId="942" xr:uid="{6A26AE5E-24D5-4E82-AC0C-4FCA8C8A72B3}"/>
    <cellStyle name="Milliers 11 4 3" xfId="943" xr:uid="{D2DDC33F-DF22-4280-AB90-DE4680A07793}"/>
    <cellStyle name="Milliers 11 4 4" xfId="1366" xr:uid="{1C84581F-66BD-43FE-81CE-689CBB35F0A7}"/>
    <cellStyle name="Milliers 11 4 5" xfId="941" xr:uid="{5FCCD81E-2A0D-4388-B8B8-88D3624D76FB}"/>
    <cellStyle name="Milliers 11 4 6" xfId="221" xr:uid="{0E683A43-10E9-4B51-83B5-5BF0B44098CC}"/>
    <cellStyle name="Milliers 11 5" xfId="944" xr:uid="{81D9E3FB-58CF-4CCC-AA1D-4C2FCA07AF39}"/>
    <cellStyle name="Milliers 11 5 2" xfId="945" xr:uid="{9AF48C8A-B382-49A7-8166-0921C4A24B38}"/>
    <cellStyle name="Milliers 11 5 3" xfId="946" xr:uid="{B0273C6D-9B99-4FF7-9E1D-B840509EC35E}"/>
    <cellStyle name="Milliers 11 6" xfId="1363" xr:uid="{C7C5CB18-6F41-42AA-B492-AA14C06E05B5}"/>
    <cellStyle name="Milliers 11 7" xfId="934" xr:uid="{94D6E876-C47E-4D5C-926C-0D5120626CA0}"/>
    <cellStyle name="Milliers 11 8" xfId="218" xr:uid="{6E47D9B8-5E22-4DC5-AF19-57E9042A1642}"/>
    <cellStyle name="Milliers 12" xfId="62" xr:uid="{86BF51BE-1727-4749-9179-C8B19AB8CDC7}"/>
    <cellStyle name="Milliers 12 2" xfId="63" xr:uid="{17CCB0C7-C5BE-4713-94F9-F2A4CCF8CA9C}"/>
    <cellStyle name="Milliers 12 2 2" xfId="949" xr:uid="{D6D294FC-4075-4557-B626-EE388F497605}"/>
    <cellStyle name="Milliers 12 2 3" xfId="950" xr:uid="{1BDC1E46-19C2-459F-B2B4-40400953F52A}"/>
    <cellStyle name="Milliers 12 2 4" xfId="1368" xr:uid="{6E4B3AD9-1643-4C4A-868A-30CC7AEC9EE8}"/>
    <cellStyle name="Milliers 12 2 5" xfId="948" xr:uid="{BE6B8A16-87A6-4AF8-A146-AC7381C6D10F}"/>
    <cellStyle name="Milliers 12 2 6" xfId="223" xr:uid="{D5EF2392-098F-468E-8C7B-83C46C894193}"/>
    <cellStyle name="Milliers 12 3" xfId="64" xr:uid="{085A90F8-2A9A-4C66-85CC-A7B93ADAFA20}"/>
    <cellStyle name="Milliers 12 3 2" xfId="952" xr:uid="{072E582F-E5CA-435E-8B70-41A34B088C97}"/>
    <cellStyle name="Milliers 12 3 3" xfId="953" xr:uid="{6FBB6C25-D844-490E-BC94-5B9D81F1531F}"/>
    <cellStyle name="Milliers 12 3 4" xfId="1369" xr:uid="{49E222D6-BC8A-4BBC-A843-F5950CDF030B}"/>
    <cellStyle name="Milliers 12 3 5" xfId="951" xr:uid="{B96427A8-307A-4638-8BEE-5BB14D6BF44F}"/>
    <cellStyle name="Milliers 12 3 6" xfId="224" xr:uid="{90597CBC-1875-45E1-AD89-7E339F4E765B}"/>
    <cellStyle name="Milliers 12 4" xfId="65" xr:uid="{06808BA3-ED1C-4432-AB97-C45B9975ECF5}"/>
    <cellStyle name="Milliers 12 4 2" xfId="955" xr:uid="{C6610E22-BDF6-4D4F-ACA7-D16C998DED17}"/>
    <cellStyle name="Milliers 12 4 3" xfId="956" xr:uid="{CD323984-8D2B-4E72-99F1-2B5843D5D6D9}"/>
    <cellStyle name="Milliers 12 4 4" xfId="1370" xr:uid="{6B0716A5-618F-4EC1-B16C-F9C3994149E9}"/>
    <cellStyle name="Milliers 12 4 5" xfId="954" xr:uid="{09355B59-FE67-4C3C-B1CA-BC0A9C964A44}"/>
    <cellStyle name="Milliers 12 4 6" xfId="225" xr:uid="{EDE55204-E22B-4C49-9ECE-6A6686170F52}"/>
    <cellStyle name="Milliers 12 5" xfId="957" xr:uid="{F7C0EB04-F501-4C89-9375-9D617D2C4146}"/>
    <cellStyle name="Milliers 12 5 2" xfId="958" xr:uid="{03D2FAA6-929D-4032-A16E-558B21B6326F}"/>
    <cellStyle name="Milliers 12 5 3" xfId="959" xr:uid="{73DDB3B5-CA9B-4802-A286-832103EAE11C}"/>
    <cellStyle name="Milliers 12 6" xfId="1367" xr:uid="{1D9839EF-D579-4EB1-8EF8-A43DE86C1A40}"/>
    <cellStyle name="Milliers 12 7" xfId="947" xr:uid="{211CFEC5-D3C5-4902-96D3-598ACF17ADF5}"/>
    <cellStyle name="Milliers 12 8" xfId="222" xr:uid="{75DD6B0A-3ADF-4355-9B24-2967FEBE2A2F}"/>
    <cellStyle name="Milliers 13" xfId="66" xr:uid="{6D87FA4B-EF2A-4681-B13B-3AFD5F55F997}"/>
    <cellStyle name="Milliers 13 2" xfId="67" xr:uid="{A053A213-93D0-4E3B-B671-CCDDA7A83DEB}"/>
    <cellStyle name="Milliers 13 2 2" xfId="962" xr:uid="{24E004AC-D4E7-48AC-A88A-519FB5CE4B49}"/>
    <cellStyle name="Milliers 13 2 3" xfId="963" xr:uid="{14693899-4D44-49E8-A4EF-7029315C4EAD}"/>
    <cellStyle name="Milliers 13 2 4" xfId="1372" xr:uid="{331F90C2-DDC5-4003-823A-275E8711EB03}"/>
    <cellStyle name="Milliers 13 2 5" xfId="961" xr:uid="{DD079E56-E593-44A3-9793-278535E98CC5}"/>
    <cellStyle name="Milliers 13 2 6" xfId="227" xr:uid="{B3279854-0578-40FB-A977-2FC3EA88C80C}"/>
    <cellStyle name="Milliers 13 3" xfId="68" xr:uid="{255D7A01-49A0-49B9-BB86-9989019F19D9}"/>
    <cellStyle name="Milliers 13 3 2" xfId="965" xr:uid="{8C32734C-20F0-48B2-9486-C71EEE2845F7}"/>
    <cellStyle name="Milliers 13 3 3" xfId="966" xr:uid="{163AB3E6-4470-498C-B3C1-06CE173CCA13}"/>
    <cellStyle name="Milliers 13 3 4" xfId="1373" xr:uid="{C4EC6927-1265-45FA-987A-142A28ADBB17}"/>
    <cellStyle name="Milliers 13 3 5" xfId="964" xr:uid="{D8E85972-61E4-4556-8BC2-07D7FC9232CE}"/>
    <cellStyle name="Milliers 13 3 6" xfId="228" xr:uid="{054329EB-5DEF-4313-B4B2-AD2D1595B80F}"/>
    <cellStyle name="Milliers 13 4" xfId="69" xr:uid="{2D7E56F0-BF46-4759-B5CD-B6D69A76EF86}"/>
    <cellStyle name="Milliers 13 4 2" xfId="968" xr:uid="{16996D08-43E3-4183-A00F-AD81D3672AAC}"/>
    <cellStyle name="Milliers 13 4 3" xfId="969" xr:uid="{5A715159-721A-43A8-B11C-65684C91719E}"/>
    <cellStyle name="Milliers 13 4 4" xfId="1374" xr:uid="{2630D19A-3428-4C47-B54B-36AA71E81A23}"/>
    <cellStyle name="Milliers 13 4 5" xfId="967" xr:uid="{3D446A4B-38F2-4BE7-9FE2-67398B9A45D7}"/>
    <cellStyle name="Milliers 13 4 6" xfId="229" xr:uid="{7B36BE77-62DE-4E4E-9036-1FC9A7673163}"/>
    <cellStyle name="Milliers 13 5" xfId="970" xr:uid="{0A3F5B4B-E4D1-43B4-A85D-430B5B37F342}"/>
    <cellStyle name="Milliers 13 5 2" xfId="971" xr:uid="{752A814E-C1A9-4C42-94B8-D74AE4D29A4C}"/>
    <cellStyle name="Milliers 13 5 3" xfId="972" xr:uid="{132A18BA-775A-4380-8724-6431CD488DB9}"/>
    <cellStyle name="Milliers 13 6" xfId="1371" xr:uid="{E8F91978-19DC-48A5-8B0A-97A95F551D0E}"/>
    <cellStyle name="Milliers 13 7" xfId="960" xr:uid="{6D21BC49-A167-4D48-9F2C-D7A079D274F8}"/>
    <cellStyle name="Milliers 13 8" xfId="226" xr:uid="{F24E996A-DA9C-401A-9C1D-738CF544DF60}"/>
    <cellStyle name="Milliers 14" xfId="70" xr:uid="{3B86CBA9-C2EF-4EF0-AB06-4613BD103F39}"/>
    <cellStyle name="Milliers 14 2" xfId="71" xr:uid="{486F5592-D529-44BB-8D8D-FDDE1ED80061}"/>
    <cellStyle name="Milliers 14 2 2" xfId="975" xr:uid="{D049D110-121B-4D24-9E14-3B735421E7A8}"/>
    <cellStyle name="Milliers 14 2 3" xfId="976" xr:uid="{0D9F6598-3D4A-438C-9DA2-15C90435F8C8}"/>
    <cellStyle name="Milliers 14 2 4" xfId="1376" xr:uid="{1E7A6241-04AA-4CC2-9BEC-6DB274850222}"/>
    <cellStyle name="Milliers 14 2 5" xfId="974" xr:uid="{3868AAFA-0F10-49B4-A7E0-84AF758AD4D1}"/>
    <cellStyle name="Milliers 14 2 6" xfId="231" xr:uid="{10567F68-6FCC-438C-BF17-7EA3FF107FEE}"/>
    <cellStyle name="Milliers 14 3" xfId="72" xr:uid="{8CC57A49-30C4-4B7B-882B-9F0401148102}"/>
    <cellStyle name="Milliers 14 3 2" xfId="978" xr:uid="{B48F88E7-68A3-48B0-AE2B-D8A8B3F61025}"/>
    <cellStyle name="Milliers 14 3 3" xfId="979" xr:uid="{06361319-E02E-4D98-A6EA-53FFC553CE50}"/>
    <cellStyle name="Milliers 14 3 4" xfId="1377" xr:uid="{6B1318BC-B110-4F25-87E2-0BFC506F5388}"/>
    <cellStyle name="Milliers 14 3 5" xfId="977" xr:uid="{DE99EC99-32B4-43F7-A8DB-B77A3940CEE8}"/>
    <cellStyle name="Milliers 14 3 6" xfId="232" xr:uid="{1AB18E53-8637-4066-B02A-F36813640969}"/>
    <cellStyle name="Milliers 14 4" xfId="73" xr:uid="{0E265312-50DF-4CE6-BB81-8864F490CACA}"/>
    <cellStyle name="Milliers 14 4 2" xfId="981" xr:uid="{E93299C7-FDD3-4ECA-AB58-7F553A96A659}"/>
    <cellStyle name="Milliers 14 4 3" xfId="982" xr:uid="{340F7917-7968-4475-B324-BDC78D64C799}"/>
    <cellStyle name="Milliers 14 4 4" xfId="1378" xr:uid="{9F396DF5-2DED-4290-96C5-0499648AB034}"/>
    <cellStyle name="Milliers 14 4 5" xfId="980" xr:uid="{D12E8CF1-1EC5-40BE-A40B-2D2F5F34BA88}"/>
    <cellStyle name="Milliers 14 4 6" xfId="233" xr:uid="{F671D7E1-5763-437F-8101-330818D8CA77}"/>
    <cellStyle name="Milliers 14 5" xfId="983" xr:uid="{CF03C94A-FC1D-4D53-9BCF-52C6BB758D8A}"/>
    <cellStyle name="Milliers 14 5 2" xfId="984" xr:uid="{5326DA8B-E065-4DB0-BACD-D9AC5382669D}"/>
    <cellStyle name="Milliers 14 5 3" xfId="985" xr:uid="{0E1B025E-CE0B-478F-AE25-FF5237DF4F38}"/>
    <cellStyle name="Milliers 14 6" xfId="1375" xr:uid="{20C2C0EC-F10D-4CCC-BDF8-DDE10104AC41}"/>
    <cellStyle name="Milliers 14 7" xfId="973" xr:uid="{4C2BBDD8-1908-4C51-B520-70FA0A57B379}"/>
    <cellStyle name="Milliers 14 8" xfId="230" xr:uid="{7BE1709B-6B51-4403-85A7-EB8AA5099068}"/>
    <cellStyle name="Milliers 15" xfId="74" xr:uid="{D4EFCDFF-0902-46D6-8D4B-12F1CD576172}"/>
    <cellStyle name="Milliers 15 2" xfId="75" xr:uid="{83B708E4-37AB-4A59-B6EA-9FADC1AFEFD1}"/>
    <cellStyle name="Milliers 15 2 2" xfId="988" xr:uid="{3C7C70EF-B80A-4FB6-8547-30FA0C2C2F7F}"/>
    <cellStyle name="Milliers 15 2 3" xfId="989" xr:uid="{939784D0-A91C-456E-9A78-18CAE99649C8}"/>
    <cellStyle name="Milliers 15 2 4" xfId="1380" xr:uid="{7E76F998-9F75-46C7-A3DE-2FBA13B86CC7}"/>
    <cellStyle name="Milliers 15 2 5" xfId="987" xr:uid="{05E31FEE-4E7D-418C-9D15-C95E9376DCEF}"/>
    <cellStyle name="Milliers 15 2 6" xfId="235" xr:uid="{D9BED3BB-8374-49C0-A1CE-81F8F7F6A89F}"/>
    <cellStyle name="Milliers 15 3" xfId="76" xr:uid="{232D2B40-FB9E-48EA-8FE3-6B374EE651CF}"/>
    <cellStyle name="Milliers 15 3 2" xfId="991" xr:uid="{691609AC-090A-4018-9A57-ABDB9552A781}"/>
    <cellStyle name="Milliers 15 3 3" xfId="992" xr:uid="{FC7FA435-D77C-4E1B-AB28-94C9E6D33D26}"/>
    <cellStyle name="Milliers 15 3 4" xfId="1381" xr:uid="{604E936F-6B50-4953-8987-423803EA5E5B}"/>
    <cellStyle name="Milliers 15 3 5" xfId="990" xr:uid="{DABE9D76-D593-46AF-BF1F-0092503F783F}"/>
    <cellStyle name="Milliers 15 3 6" xfId="236" xr:uid="{11A3FF85-1124-4C87-8D28-D642346D0A79}"/>
    <cellStyle name="Milliers 15 4" xfId="77" xr:uid="{7C40EC2A-6DB2-4F89-B5C8-151C265F6D30}"/>
    <cellStyle name="Milliers 15 4 2" xfId="994" xr:uid="{E41D4ACB-0216-44E4-BB3F-EF80B8FFAF40}"/>
    <cellStyle name="Milliers 15 4 3" xfId="995" xr:uid="{2E1D6D9A-642E-4DB0-BC96-FE80CBABCFB2}"/>
    <cellStyle name="Milliers 15 4 4" xfId="1382" xr:uid="{8ED0B05A-7D2D-47E3-ADE0-FFFCE918E75C}"/>
    <cellStyle name="Milliers 15 4 5" xfId="993" xr:uid="{B4AF9C4B-7FC8-4319-8B64-36567F085413}"/>
    <cellStyle name="Milliers 15 4 6" xfId="237" xr:uid="{6DA058A4-C432-418F-A902-22857D760BE0}"/>
    <cellStyle name="Milliers 15 5" xfId="996" xr:uid="{0FBD0789-A91B-41D2-A1C9-4A2024621A01}"/>
    <cellStyle name="Milliers 15 5 2" xfId="997" xr:uid="{803A23A8-B186-48BB-8B07-C348717FC79E}"/>
    <cellStyle name="Milliers 15 5 3" xfId="998" xr:uid="{1F5E8297-E18E-4237-A05D-80A3C2BFBA55}"/>
    <cellStyle name="Milliers 15 6" xfId="1379" xr:uid="{4B2149B6-7457-42A2-A2B2-7D8B51D0E7F8}"/>
    <cellStyle name="Milliers 15 7" xfId="986" xr:uid="{5946DA02-DAF3-4D9C-877D-CCB6E37FF784}"/>
    <cellStyle name="Milliers 15 8" xfId="234" xr:uid="{75327B80-7191-4748-876B-259FBE22B312}"/>
    <cellStyle name="Milliers 16" xfId="78" xr:uid="{CEE3C8ED-D772-41B5-BCA8-E8D0FDEFD595}"/>
    <cellStyle name="Milliers 16 2" xfId="79" xr:uid="{3524CE93-0DA6-4498-9F4B-CF0F9D9B9265}"/>
    <cellStyle name="Milliers 16 2 2" xfId="1001" xr:uid="{6CF3F63D-4C69-4F5C-9DA2-8D1F5E7F6E80}"/>
    <cellStyle name="Milliers 16 2 3" xfId="1002" xr:uid="{58969BC3-8C5C-4CC0-A6E6-2FF386DA1990}"/>
    <cellStyle name="Milliers 16 2 4" xfId="1384" xr:uid="{11F99AA9-0128-4DBA-BDF1-F8549B4266A9}"/>
    <cellStyle name="Milliers 16 2 5" xfId="1000" xr:uid="{6E1B31BC-4E21-4910-9A87-63FAEA039F9D}"/>
    <cellStyle name="Milliers 16 2 6" xfId="239" xr:uid="{F72532CA-DAA1-467B-B5BE-024D46F8ED8B}"/>
    <cellStyle name="Milliers 16 3" xfId="80" xr:uid="{2CE549E6-00C5-4E02-829A-B6E138D362EF}"/>
    <cellStyle name="Milliers 16 3 2" xfId="1004" xr:uid="{74BA7EE1-B08B-4C96-A111-839D7F7DCA7A}"/>
    <cellStyle name="Milliers 16 3 3" xfId="1005" xr:uid="{CE1330D7-E43A-4768-BF2F-FFE3D585BDD6}"/>
    <cellStyle name="Milliers 16 3 4" xfId="1385" xr:uid="{47219169-7CC9-4349-8523-DD539FB38428}"/>
    <cellStyle name="Milliers 16 3 5" xfId="1003" xr:uid="{11606578-6759-451A-BA9F-89D9F7331658}"/>
    <cellStyle name="Milliers 16 3 6" xfId="240" xr:uid="{67EED2C3-02C1-46C0-8A42-A1085A1027AD}"/>
    <cellStyle name="Milliers 16 4" xfId="81" xr:uid="{4EEF325C-BA29-41EE-AB0D-F2606323C35E}"/>
    <cellStyle name="Milliers 16 4 2" xfId="1007" xr:uid="{3414A622-66E6-4174-9810-0A1CD1F3849A}"/>
    <cellStyle name="Milliers 16 4 3" xfId="1008" xr:uid="{975264C5-193D-4768-8C1B-1D7415714CB2}"/>
    <cellStyle name="Milliers 16 4 4" xfId="1386" xr:uid="{E0B09179-E480-40C2-AD2F-465437B96386}"/>
    <cellStyle name="Milliers 16 4 5" xfId="1006" xr:uid="{46D35429-D2BD-4808-BCC6-788D61E18E9E}"/>
    <cellStyle name="Milliers 16 4 6" xfId="241" xr:uid="{A47BA521-C8F4-432D-9B65-4AD05E552416}"/>
    <cellStyle name="Milliers 16 5" xfId="1009" xr:uid="{8A26FD2D-E0E5-45C8-8680-319385E3E3F2}"/>
    <cellStyle name="Milliers 16 5 2" xfId="1010" xr:uid="{F1FCC1DD-2E32-4926-9E03-F0BCC6927DFD}"/>
    <cellStyle name="Milliers 16 5 3" xfId="1011" xr:uid="{648C1E99-B069-4648-B4CA-E34DC186EEEA}"/>
    <cellStyle name="Milliers 16 6" xfId="1383" xr:uid="{4DF10BAC-77B1-4129-86E0-EB1A6D3E0B98}"/>
    <cellStyle name="Milliers 16 7" xfId="999" xr:uid="{47C411D6-719D-4001-92F0-5163B8BA328D}"/>
    <cellStyle name="Milliers 16 8" xfId="238" xr:uid="{7A3A42BD-AB63-4E05-AA66-20BDBFF19E23}"/>
    <cellStyle name="Milliers 17" xfId="82" xr:uid="{0F1B4155-AC17-4117-AD87-7F2E84CA8903}"/>
    <cellStyle name="Milliers 17 2" xfId="83" xr:uid="{48D0C5C8-CB9C-4BCF-BDA0-3497414CA106}"/>
    <cellStyle name="Milliers 17 2 2" xfId="1014" xr:uid="{22F33CD1-3323-4898-B400-720D5B142DC9}"/>
    <cellStyle name="Milliers 17 2 3" xfId="1015" xr:uid="{7AB8D77A-5D04-4B3A-A2D7-BB80D6E3AB7D}"/>
    <cellStyle name="Milliers 17 2 4" xfId="1388" xr:uid="{FA2F178C-B0F9-4BE2-8F80-9C0E3B1D7AC6}"/>
    <cellStyle name="Milliers 17 2 5" xfId="1013" xr:uid="{B89D3703-D9E5-4710-868A-2E2CD62B2CA7}"/>
    <cellStyle name="Milliers 17 2 6" xfId="243" xr:uid="{5FBFA08B-7056-4AD8-9FA5-2705071AD3ED}"/>
    <cellStyle name="Milliers 17 3" xfId="84" xr:uid="{2A55DB0C-75B4-4FC3-A2F9-C70D0E093A01}"/>
    <cellStyle name="Milliers 17 3 2" xfId="1017" xr:uid="{2678952F-8217-4217-9941-D4D4B5190FAF}"/>
    <cellStyle name="Milliers 17 3 3" xfId="1018" xr:uid="{7321BFC7-8019-4B6E-A857-52C2E8473280}"/>
    <cellStyle name="Milliers 17 3 4" xfId="1389" xr:uid="{2BDB3E68-7650-4638-8017-46086B744BA1}"/>
    <cellStyle name="Milliers 17 3 5" xfId="1016" xr:uid="{F5C52DD7-0612-48AB-8177-8403377E5B39}"/>
    <cellStyle name="Milliers 17 3 6" xfId="244" xr:uid="{6ED93304-57D3-44FF-9256-7D97112E8976}"/>
    <cellStyle name="Milliers 17 4" xfId="85" xr:uid="{1358CB1B-BEE2-4BA9-8FF8-B20E632B6054}"/>
    <cellStyle name="Milliers 17 4 2" xfId="1020" xr:uid="{AFBD1DDF-6D9F-4734-ABF9-BF8423DADD64}"/>
    <cellStyle name="Milliers 17 4 3" xfId="1021" xr:uid="{EB6BD1CB-0389-4E6E-8AE2-03D1BFAA455B}"/>
    <cellStyle name="Milliers 17 4 4" xfId="1390" xr:uid="{1392462E-2009-40E5-A3CC-B4FC84B6AF96}"/>
    <cellStyle name="Milliers 17 4 5" xfId="1019" xr:uid="{FAE0A2D2-C5AC-440D-98EE-FD7E3D62B6A7}"/>
    <cellStyle name="Milliers 17 4 6" xfId="245" xr:uid="{37124D15-7087-4668-82B9-C2CB42BB4FFD}"/>
    <cellStyle name="Milliers 17 5" xfId="1022" xr:uid="{D6FB346D-BE79-4787-9904-DA4DD10AF335}"/>
    <cellStyle name="Milliers 17 5 2" xfId="1023" xr:uid="{9E397EFE-402B-407D-8786-25A96816BAAD}"/>
    <cellStyle name="Milliers 17 5 3" xfId="1024" xr:uid="{C2ECB94A-1F28-4AA4-90F2-4EDB55C8272F}"/>
    <cellStyle name="Milliers 17 6" xfId="1387" xr:uid="{35F7642D-30A6-42B9-A9C8-73598F9AC4C3}"/>
    <cellStyle name="Milliers 17 7" xfId="1012" xr:uid="{A0BCA2FC-EC7A-45F9-8A90-9C3454D1B85E}"/>
    <cellStyle name="Milliers 17 8" xfId="242" xr:uid="{CCAE2E63-08C5-400B-A438-28C6B1C2D227}"/>
    <cellStyle name="Milliers 18" xfId="86" xr:uid="{8E409E80-218E-4661-BF42-60D7397B728E}"/>
    <cellStyle name="Milliers 18 2" xfId="87" xr:uid="{715CC863-A27A-401A-9BE0-305AA2E53B9A}"/>
    <cellStyle name="Milliers 18 2 2" xfId="1027" xr:uid="{DB5FDEA9-0127-463E-80EA-5FD5CCEF8F1A}"/>
    <cellStyle name="Milliers 18 2 3" xfId="1028" xr:uid="{ECB14D1F-1859-4906-BB8A-F3E2DB96E934}"/>
    <cellStyle name="Milliers 18 2 4" xfId="1392" xr:uid="{FAA870AE-FCC2-44C9-8838-78390BDD5257}"/>
    <cellStyle name="Milliers 18 2 5" xfId="1026" xr:uid="{446FD979-A00D-4022-8260-351D81BEC762}"/>
    <cellStyle name="Milliers 18 2 6" xfId="247" xr:uid="{731D626C-F006-4EA6-A18D-5422A282D9D1}"/>
    <cellStyle name="Milliers 18 3" xfId="88" xr:uid="{830D7DA1-C30C-4362-A889-69918AEAC9A7}"/>
    <cellStyle name="Milliers 18 3 2" xfId="1030" xr:uid="{237FF0F8-12AC-4B88-B272-398B8E7CB412}"/>
    <cellStyle name="Milliers 18 3 3" xfId="1031" xr:uid="{CC41BABB-0250-48DC-B01B-7A71954E949B}"/>
    <cellStyle name="Milliers 18 3 4" xfId="1393" xr:uid="{B5FB0D57-49A2-4412-A3D2-0E3AC6631F89}"/>
    <cellStyle name="Milliers 18 3 5" xfId="1029" xr:uid="{EE30FD47-EAC9-4D38-A650-6671E8E516CE}"/>
    <cellStyle name="Milliers 18 3 6" xfId="248" xr:uid="{48C23308-369E-46A5-B471-188476C28FDB}"/>
    <cellStyle name="Milliers 18 4" xfId="89" xr:uid="{C1EA70DD-CA3E-4C6F-8721-D450E6685DA4}"/>
    <cellStyle name="Milliers 18 4 2" xfId="1033" xr:uid="{0462A236-E93F-425C-AB7F-A679B4255D7C}"/>
    <cellStyle name="Milliers 18 4 3" xfId="1034" xr:uid="{0AD0B763-EBF3-46B9-A8BD-D783DBB56090}"/>
    <cellStyle name="Milliers 18 4 4" xfId="1394" xr:uid="{BC13EE78-80D4-411B-AA52-6D1FD480F4EA}"/>
    <cellStyle name="Milliers 18 4 5" xfId="1032" xr:uid="{03A15EA3-EF16-423C-BB2D-56B076C20A34}"/>
    <cellStyle name="Milliers 18 4 6" xfId="249" xr:uid="{47053E24-1956-4BAA-B7C8-C4CF5D98A0AF}"/>
    <cellStyle name="Milliers 18 5" xfId="1035" xr:uid="{C094264C-6BAB-458E-940A-7B55D0250829}"/>
    <cellStyle name="Milliers 18 5 2" xfId="1036" xr:uid="{63FBAD6D-2A0E-44E1-A3F1-4C941A4A8FBC}"/>
    <cellStyle name="Milliers 18 5 3" xfId="1037" xr:uid="{BE9C40B0-1668-4CA0-949D-0570E298E1CD}"/>
    <cellStyle name="Milliers 18 6" xfId="1391" xr:uid="{82D95718-D380-49C0-9391-1F4AED8A07BD}"/>
    <cellStyle name="Milliers 18 7" xfId="1025" xr:uid="{DFE1182C-8483-46DA-B874-7C43D0A5C0FC}"/>
    <cellStyle name="Milliers 18 8" xfId="246" xr:uid="{09FB1B9E-4694-43A9-809F-520DE2870926}"/>
    <cellStyle name="Milliers 2" xfId="90" xr:uid="{4F0AB16E-08B8-4BC1-9028-49B8E2DB7013}"/>
    <cellStyle name="Milliers 2 10" xfId="250" xr:uid="{CBEF4AB5-8F42-4551-B8AB-5FA555D2378C}"/>
    <cellStyle name="Milliers 2 2" xfId="91" xr:uid="{B0E9CF69-CC9C-4CE1-8268-97C045C1F82B}"/>
    <cellStyle name="Milliers 2 2 2" xfId="1040" xr:uid="{004B9528-57C5-4086-B59E-B4B74B1F4AA6}"/>
    <cellStyle name="Milliers 2 2 3" xfId="1041" xr:uid="{B36BB60C-1E43-4067-8804-216F4783CC6E}"/>
    <cellStyle name="Milliers 2 2 4" xfId="1396" xr:uid="{AA41B1B6-F6F9-4A8C-9C01-732ABA3C353A}"/>
    <cellStyle name="Milliers 2 2 5" xfId="1039" xr:uid="{4644344B-123C-49D1-8CCD-1DE4FAF54665}"/>
    <cellStyle name="Milliers 2 2 6" xfId="251" xr:uid="{04941AAC-D1B1-455B-9AA5-19808841EBDE}"/>
    <cellStyle name="Milliers 2 3" xfId="92" xr:uid="{77A06661-6CD1-4074-A1B3-EF81CA7854AD}"/>
    <cellStyle name="Milliers 2 3 2" xfId="1043" xr:uid="{5BA6864A-29F1-4A2C-B3B2-EF8FA982390B}"/>
    <cellStyle name="Milliers 2 3 3" xfId="1044" xr:uid="{DA3A94D5-D6E5-4A43-9711-B9E690F9C90A}"/>
    <cellStyle name="Milliers 2 3 4" xfId="1397" xr:uid="{FAE025EC-84D9-420A-BB55-2B376DA89B74}"/>
    <cellStyle name="Milliers 2 3 5" xfId="1042" xr:uid="{FDE02114-C6AE-4945-9D0F-E7251FE74849}"/>
    <cellStyle name="Milliers 2 3 6" xfId="252" xr:uid="{758F8EA3-A3B6-4897-BCB8-9905DEFFC095}"/>
    <cellStyle name="Milliers 2 4" xfId="93" xr:uid="{8DE97C5E-0D2A-460F-A9D9-B560050209DD}"/>
    <cellStyle name="Milliers 2 4 2" xfId="1046" xr:uid="{915BD48D-2871-4FA2-AFE8-6BB25F351FCB}"/>
    <cellStyle name="Milliers 2 4 3" xfId="1047" xr:uid="{02C35F87-DD9B-4CC8-BB70-D48DFCFBAC83}"/>
    <cellStyle name="Milliers 2 4 4" xfId="1398" xr:uid="{395007DE-558B-4211-BCE5-3BC0001B2458}"/>
    <cellStyle name="Milliers 2 4 5" xfId="1045" xr:uid="{80F026E1-20AF-4201-A14C-96AB61EB6401}"/>
    <cellStyle name="Milliers 2 4 6" xfId="253" xr:uid="{B559D651-8430-4C9F-8971-2CBD0218300A}"/>
    <cellStyle name="Milliers 2 5" xfId="1048" xr:uid="{D8495B77-8EB5-42DB-AA09-DFF37E65F753}"/>
    <cellStyle name="Milliers 2 5 2" xfId="1049" xr:uid="{771B1D11-2E59-4292-B738-090070105FDF}"/>
    <cellStyle name="Milliers 2 5 3" xfId="1050" xr:uid="{AF7085D7-1AD6-4E6A-B7C8-8BB07F7A3489}"/>
    <cellStyle name="Milliers 2 6" xfId="1279" xr:uid="{79E59287-2764-4BF0-88E3-E684278DEC39}"/>
    <cellStyle name="Milliers 2 7" xfId="1306" xr:uid="{9F45795C-9BBF-4308-9E84-022E893085CF}"/>
    <cellStyle name="Milliers 2 8" xfId="1395" xr:uid="{6AE6C4A6-F8EB-403C-9310-9607EC05458D}"/>
    <cellStyle name="Milliers 2 9" xfId="1038" xr:uid="{D2A64BD3-D0AE-4734-9ACD-89AFD17B8070}"/>
    <cellStyle name="Milliers 3" xfId="94" xr:uid="{DC8BAC24-569F-48EE-B40A-9E02E4F12EF7}"/>
    <cellStyle name="Milliers 3 2" xfId="95" xr:uid="{AC237CD6-73C2-41FD-A7DF-F6D39503CD58}"/>
    <cellStyle name="Milliers 3 2 2" xfId="1053" xr:uid="{325882F5-D163-4C1A-8E81-BF1901B2DEAE}"/>
    <cellStyle name="Milliers 3 2 3" xfId="1054" xr:uid="{84CC6D9F-2E3F-4F12-ADD2-58FD4DFAB23B}"/>
    <cellStyle name="Milliers 3 2 4" xfId="1400" xr:uid="{D23FABBC-B48F-46C5-8273-976347E40B3A}"/>
    <cellStyle name="Milliers 3 2 5" xfId="1052" xr:uid="{D3FF3D56-ECFB-4161-88ED-0F40CE6F2EAC}"/>
    <cellStyle name="Milliers 3 2 6" xfId="255" xr:uid="{636FC442-BE2B-4E8C-ACB5-111411A796DA}"/>
    <cellStyle name="Milliers 3 3" xfId="96" xr:uid="{E79AB6A7-ADBE-4F0A-AF0D-A931A3D20FC6}"/>
    <cellStyle name="Milliers 3 3 2" xfId="1056" xr:uid="{509C1877-5229-4E0E-8B83-20968C16968A}"/>
    <cellStyle name="Milliers 3 3 3" xfId="1057" xr:uid="{4E615111-4E52-4E71-BF06-7C9CB436835B}"/>
    <cellStyle name="Milliers 3 3 4" xfId="1401" xr:uid="{2184D761-67DC-40F6-89E2-A995B8C2D0CD}"/>
    <cellStyle name="Milliers 3 3 5" xfId="1055" xr:uid="{9E8252DD-30D0-4253-8D11-7504E085DFEA}"/>
    <cellStyle name="Milliers 3 3 6" xfId="256" xr:uid="{CDC79A5C-F480-4AFA-92BF-4812C05198C1}"/>
    <cellStyle name="Milliers 3 4" xfId="97" xr:uid="{F482F52A-7075-43B7-B81F-2A4204AF2908}"/>
    <cellStyle name="Milliers 3 4 2" xfId="1059" xr:uid="{92FC0DE5-3C1F-4FF8-A421-F8F6A991DFBF}"/>
    <cellStyle name="Milliers 3 4 3" xfId="1060" xr:uid="{FC845727-CAF8-4DEE-B104-D2135CD7E39E}"/>
    <cellStyle name="Milliers 3 4 4" xfId="1402" xr:uid="{75FA955F-5537-4B69-8826-3ABD36EB478A}"/>
    <cellStyle name="Milliers 3 4 5" xfId="1058" xr:uid="{596895EA-58AB-416F-A31F-16AC27223C8D}"/>
    <cellStyle name="Milliers 3 4 6" xfId="257" xr:uid="{37BDC2F4-FA3D-4AAA-9A1A-9D1CA85A3AC5}"/>
    <cellStyle name="Milliers 3 5" xfId="1061" xr:uid="{A0D21C29-9468-45A2-90EB-E15A9AC03FF2}"/>
    <cellStyle name="Milliers 3 5 2" xfId="1062" xr:uid="{0F8FBAE7-06D4-4B4C-B5C5-15FA5406D9DF}"/>
    <cellStyle name="Milliers 3 5 3" xfId="1063" xr:uid="{7A960026-F0FA-451E-B4DE-49885E0113E9}"/>
    <cellStyle name="Milliers 3 6" xfId="1399" xr:uid="{BFE14A12-064F-4810-8670-E13593EB07A1}"/>
    <cellStyle name="Milliers 3 7" xfId="1051" xr:uid="{F85BC3DE-EC41-430A-B814-BBEE417FA23B}"/>
    <cellStyle name="Milliers 3 8" xfId="254" xr:uid="{BCF036D7-4F85-4604-AE47-E931E131F2EB}"/>
    <cellStyle name="Milliers 4" xfId="98" xr:uid="{48994FBE-9CDA-4DE1-BC9F-FBBFEA8F25D6}"/>
    <cellStyle name="Milliers 4 2" xfId="99" xr:uid="{A0CCCECE-F777-45FF-84E8-3FCED7FB4968}"/>
    <cellStyle name="Milliers 4 2 2" xfId="1066" xr:uid="{1CB71D58-3FEC-4211-AB8E-8E7AE9F29C50}"/>
    <cellStyle name="Milliers 4 2 3" xfId="1067" xr:uid="{4C41ECCE-B946-4542-84DA-1EAF294973E8}"/>
    <cellStyle name="Milliers 4 2 4" xfId="1404" xr:uid="{A58D1396-8B72-4BB8-8F9E-F118CF637A19}"/>
    <cellStyle name="Milliers 4 2 5" xfId="1065" xr:uid="{C64DAE77-67C6-4A4D-91ED-4A176079704E}"/>
    <cellStyle name="Milliers 4 2 6" xfId="259" xr:uid="{C57A2353-AF99-4177-BA22-84D01D499ECE}"/>
    <cellStyle name="Milliers 4 3" xfId="100" xr:uid="{A5498DD0-E312-4FA6-B0BD-5BDC7032E335}"/>
    <cellStyle name="Milliers 4 3 2" xfId="1069" xr:uid="{D282FD4A-B07B-4048-B8AD-BA8F32B966B1}"/>
    <cellStyle name="Milliers 4 3 3" xfId="1070" xr:uid="{4A41C7B0-C03D-44F6-8BDA-35539092307E}"/>
    <cellStyle name="Milliers 4 3 4" xfId="1405" xr:uid="{8F3FD69A-0264-4D1F-A24E-08A806C779C4}"/>
    <cellStyle name="Milliers 4 3 5" xfId="1068" xr:uid="{F1FEDBE1-6256-49B6-8923-D7EAE5C84559}"/>
    <cellStyle name="Milliers 4 3 6" xfId="260" xr:uid="{4CCB90F9-AB7A-40CD-9BC8-CBA3365098AE}"/>
    <cellStyle name="Milliers 4 4" xfId="101" xr:uid="{867360BC-A8FC-4FF7-B53B-FB208D543F35}"/>
    <cellStyle name="Milliers 4 4 2" xfId="1072" xr:uid="{D5869FA9-3DA1-46C5-BDE3-10E138A77CC6}"/>
    <cellStyle name="Milliers 4 4 3" xfId="1073" xr:uid="{82F25D63-96C5-43A2-8CD8-3767515B7324}"/>
    <cellStyle name="Milliers 4 4 4" xfId="1406" xr:uid="{CABF9B7A-1F43-4A63-94C9-ADBFFD296C31}"/>
    <cellStyle name="Milliers 4 4 5" xfId="1071" xr:uid="{4B8EEC09-8399-4A69-A4EB-FFEC783F331F}"/>
    <cellStyle name="Milliers 4 4 6" xfId="261" xr:uid="{A7185C02-906B-41E7-8385-DD7656DA7DEE}"/>
    <cellStyle name="Milliers 4 5" xfId="1074" xr:uid="{B36880E4-6DE7-442C-877B-4B938CC72DAB}"/>
    <cellStyle name="Milliers 4 5 2" xfId="1075" xr:uid="{03E86151-9236-4A12-B654-A9CD37A7E95F}"/>
    <cellStyle name="Milliers 4 5 3" xfId="1076" xr:uid="{E157C896-7D76-42B7-9F9F-7C27A00054A0}"/>
    <cellStyle name="Milliers 4 6" xfId="1403" xr:uid="{7E8CAB94-49FE-4E9E-89E9-A2C9D0846660}"/>
    <cellStyle name="Milliers 4 7" xfId="1064" xr:uid="{31C80D6D-9B73-46DA-ACD8-AE955F5EE37F}"/>
    <cellStyle name="Milliers 4 8" xfId="258" xr:uid="{D510635E-865F-4712-A9D2-2E404C2E53B9}"/>
    <cellStyle name="Milliers 5" xfId="102" xr:uid="{B8830C82-B861-40B0-943F-5FD271270882}"/>
    <cellStyle name="Milliers 5 2" xfId="103" xr:uid="{DCA25D3E-A7AA-4E77-993B-BA4DE4C2E8F9}"/>
    <cellStyle name="Milliers 5 2 2" xfId="1079" xr:uid="{7FE418B4-C870-4315-A12F-20B79381F7C9}"/>
    <cellStyle name="Milliers 5 2 3" xfId="1080" xr:uid="{7E2E1E5A-D011-4D6A-8142-C45DBDA306AE}"/>
    <cellStyle name="Milliers 5 2 4" xfId="1408" xr:uid="{4991A1D0-846D-4D16-BBD1-E319825D06B8}"/>
    <cellStyle name="Milliers 5 2 5" xfId="1078" xr:uid="{64CDEA5E-D3E6-4606-8937-A755015A5F34}"/>
    <cellStyle name="Milliers 5 2 6" xfId="263" xr:uid="{EBF0F7DD-99FC-4026-86B7-9F353E61C2CB}"/>
    <cellStyle name="Milliers 5 3" xfId="104" xr:uid="{E0980A22-194D-4888-9EED-2ED8078123C1}"/>
    <cellStyle name="Milliers 5 3 2" xfId="1082" xr:uid="{FAAA62BD-691F-4A97-9E8B-2CA6416E9A36}"/>
    <cellStyle name="Milliers 5 3 3" xfId="1083" xr:uid="{2DBBC2F7-91CA-42C4-869F-ECB901894FC2}"/>
    <cellStyle name="Milliers 5 3 4" xfId="1409" xr:uid="{40BDA04D-651E-445E-96A5-513536030BDA}"/>
    <cellStyle name="Milliers 5 3 5" xfId="1081" xr:uid="{B1586690-315C-4A09-BB12-7015284187DF}"/>
    <cellStyle name="Milliers 5 3 6" xfId="264" xr:uid="{AF80B036-B262-4F6E-B063-6995F8C23587}"/>
    <cellStyle name="Milliers 5 4" xfId="105" xr:uid="{CF690851-5536-4F70-B401-26DF3F85A3CD}"/>
    <cellStyle name="Milliers 5 4 2" xfId="1085" xr:uid="{EBB53440-2981-4F3B-B87D-BEF7D32FDE6A}"/>
    <cellStyle name="Milliers 5 4 3" xfId="1086" xr:uid="{879615B2-5456-4139-8FE5-7337D3C9FD91}"/>
    <cellStyle name="Milliers 5 4 4" xfId="1410" xr:uid="{91616D65-5A6C-4C8B-8C3A-93BD5B024D28}"/>
    <cellStyle name="Milliers 5 4 5" xfId="1084" xr:uid="{059AA7A2-3927-46FF-A4A5-6392DC85E08F}"/>
    <cellStyle name="Milliers 5 4 6" xfId="265" xr:uid="{5C10B87C-CAE1-4362-92D6-D00CB3AA480E}"/>
    <cellStyle name="Milliers 5 5" xfId="1087" xr:uid="{0941C795-198D-4094-8416-4F36B5B18A54}"/>
    <cellStyle name="Milliers 5 5 2" xfId="1088" xr:uid="{0D16165C-35FD-446E-A25A-8D13F9BC1E31}"/>
    <cellStyle name="Milliers 5 5 3" xfId="1089" xr:uid="{ADFE8BDF-F5B6-4770-A540-D62460594939}"/>
    <cellStyle name="Milliers 5 6" xfId="1407" xr:uid="{6B687689-4422-48E3-B669-71C15711238C}"/>
    <cellStyle name="Milliers 5 7" xfId="1077" xr:uid="{81C434CD-DD55-4A77-910C-2BBA88297C59}"/>
    <cellStyle name="Milliers 5 8" xfId="262" xr:uid="{E1A6470F-2DA8-4DA5-AB17-9C308B8CC89A}"/>
    <cellStyle name="Milliers 6" xfId="106" xr:uid="{D0FC900C-A779-4BFC-B249-61DB1A07F0B0}"/>
    <cellStyle name="Milliers 6 2" xfId="107" xr:uid="{362FC375-209A-4EE5-8A42-84D5BF2C55DE}"/>
    <cellStyle name="Milliers 6 2 2" xfId="1092" xr:uid="{4AD1DFF5-7E0C-4A11-BD7D-046E1C1B3734}"/>
    <cellStyle name="Milliers 6 2 3" xfId="1093" xr:uid="{94B62359-B4EC-4A71-80E5-ECCADF635FB3}"/>
    <cellStyle name="Milliers 6 2 4" xfId="1412" xr:uid="{CC2BEA7D-C45D-4E09-A653-2B98D328D9E7}"/>
    <cellStyle name="Milliers 6 2 5" xfId="1091" xr:uid="{635C4F0C-E51E-48FA-871E-B9766D7C52B1}"/>
    <cellStyle name="Milliers 6 2 6" xfId="267" xr:uid="{4CD03BFB-FE0C-4057-898F-D0CD32FB6507}"/>
    <cellStyle name="Milliers 6 3" xfId="108" xr:uid="{741E84CD-7A2E-4CD4-BBB8-FE082E3985F3}"/>
    <cellStyle name="Milliers 6 3 2" xfId="1095" xr:uid="{5AE583AC-4342-44D7-AB72-57C0C2A1E8C0}"/>
    <cellStyle name="Milliers 6 3 3" xfId="1096" xr:uid="{AC5D177E-F06E-4EBE-BEA8-1448B4D6D644}"/>
    <cellStyle name="Milliers 6 3 4" xfId="1413" xr:uid="{73C1282A-189E-4CD2-9608-736C1B1AA288}"/>
    <cellStyle name="Milliers 6 3 5" xfId="1094" xr:uid="{05A78C98-7D5A-481E-A268-943A7FEC2A2A}"/>
    <cellStyle name="Milliers 6 3 6" xfId="268" xr:uid="{98D65DDA-2A7F-4F12-8944-4B08EDAB0B83}"/>
    <cellStyle name="Milliers 6 4" xfId="109" xr:uid="{E2686D92-33BB-44D2-8F2D-D948B982AAC8}"/>
    <cellStyle name="Milliers 6 4 2" xfId="1098" xr:uid="{B1B527D8-1DCC-46F8-B461-AE6F35073AB9}"/>
    <cellStyle name="Milliers 6 4 3" xfId="1099" xr:uid="{47841C2E-FFCF-4B6B-B156-24EE5C36F801}"/>
    <cellStyle name="Milliers 6 4 4" xfId="1414" xr:uid="{3A267FD5-8A6E-49F7-A202-3DB78773FE2A}"/>
    <cellStyle name="Milliers 6 4 5" xfId="1097" xr:uid="{0823CA30-9A24-41AE-86BC-EE7ED200DD41}"/>
    <cellStyle name="Milliers 6 4 6" xfId="269" xr:uid="{6CF91ECE-9D88-421A-9A00-3F3F1602F333}"/>
    <cellStyle name="Milliers 6 5" xfId="1100" xr:uid="{3B963AC7-7BD1-4C68-A049-1341C960BE26}"/>
    <cellStyle name="Milliers 6 5 2" xfId="1101" xr:uid="{C35A7A9B-2243-4702-B352-5D1CD3F45974}"/>
    <cellStyle name="Milliers 6 5 3" xfId="1102" xr:uid="{969A4D12-A1BE-4C5D-838F-FAE329A60646}"/>
    <cellStyle name="Milliers 6 6" xfId="1411" xr:uid="{09C898D2-2526-42B6-B6E3-2D615FC7B5BC}"/>
    <cellStyle name="Milliers 6 7" xfId="1090" xr:uid="{40277ADC-3D63-4F94-BFA7-E58EF44EB133}"/>
    <cellStyle name="Milliers 6 8" xfId="266" xr:uid="{EA565BA8-9765-454E-9436-E1CF76CCB129}"/>
    <cellStyle name="Milliers 7" xfId="110" xr:uid="{15DB282E-BF23-4243-8719-D7753757B870}"/>
    <cellStyle name="Milliers 7 2" xfId="111" xr:uid="{7C4A6432-FB7B-495D-81E3-0E60379EC2C1}"/>
    <cellStyle name="Milliers 7 2 2" xfId="1105" xr:uid="{D2672C9E-1E16-42CD-AC24-7EFB3D61F654}"/>
    <cellStyle name="Milliers 7 2 3" xfId="1106" xr:uid="{C96354AB-4723-4ABF-B9A1-6A1326DA98D6}"/>
    <cellStyle name="Milliers 7 2 4" xfId="1416" xr:uid="{EE57D66F-C918-42EB-9D9A-913CB31DDBA7}"/>
    <cellStyle name="Milliers 7 2 5" xfId="1104" xr:uid="{F45345F9-65E4-42FE-A420-962F0D17A25A}"/>
    <cellStyle name="Milliers 7 2 6" xfId="271" xr:uid="{FEE788B6-6005-45C8-BE06-D5BBDBAF6577}"/>
    <cellStyle name="Milliers 7 3" xfId="112" xr:uid="{710A6F2D-0BF9-4AE9-803E-70EB7D77635D}"/>
    <cellStyle name="Milliers 7 3 2" xfId="1108" xr:uid="{759B7E36-D457-49E9-A105-D4CA45A4408B}"/>
    <cellStyle name="Milliers 7 3 3" xfId="1109" xr:uid="{3C85AB1F-6ECB-4AB3-848A-6BB3E3C59CC3}"/>
    <cellStyle name="Milliers 7 3 4" xfId="1417" xr:uid="{5F147265-91A7-4CE1-B525-4F0F9E12D0E7}"/>
    <cellStyle name="Milliers 7 3 5" xfId="1107" xr:uid="{D9CA31C4-E349-4517-B665-6A7F7CAC4FD6}"/>
    <cellStyle name="Milliers 7 3 6" xfId="272" xr:uid="{A09E8A47-5DA1-433A-97AA-B75F9B933D0B}"/>
    <cellStyle name="Milliers 7 4" xfId="113" xr:uid="{201AC6AD-46CA-4694-AE29-8E6CF1ACC00D}"/>
    <cellStyle name="Milliers 7 4 2" xfId="1111" xr:uid="{F7E9E581-75DF-4362-8698-0D64ABDDBE71}"/>
    <cellStyle name="Milliers 7 4 3" xfId="1112" xr:uid="{5541FF47-5FB2-449F-B057-333FAC22A99B}"/>
    <cellStyle name="Milliers 7 4 4" xfId="1418" xr:uid="{247A519B-E9A2-4EFA-9E10-50268C1BBAAD}"/>
    <cellStyle name="Milliers 7 4 5" xfId="1110" xr:uid="{79FBA7E3-5EBA-48B1-AF85-F97FB40A6902}"/>
    <cellStyle name="Milliers 7 4 6" xfId="273" xr:uid="{6A48845E-3904-487E-8F96-32BDFEC0856A}"/>
    <cellStyle name="Milliers 7 5" xfId="1113" xr:uid="{FECE9819-E31E-4BEC-9C35-21B6337F3CC9}"/>
    <cellStyle name="Milliers 7 5 2" xfId="1114" xr:uid="{CCBE958E-06E5-4E98-9B34-53410DF8D3C0}"/>
    <cellStyle name="Milliers 7 5 3" xfId="1115" xr:uid="{225380EE-4383-4C21-8D90-0B587A8AF376}"/>
    <cellStyle name="Milliers 7 6" xfId="1415" xr:uid="{E636B9A6-E972-4575-87D1-76C1DC430FD5}"/>
    <cellStyle name="Milliers 7 7" xfId="1103" xr:uid="{C4E306D1-93E6-4A52-BF82-5D9D489E612C}"/>
    <cellStyle name="Milliers 7 8" xfId="270" xr:uid="{10CD03BD-ED42-498C-A6C2-7EAC5A0BD8C2}"/>
    <cellStyle name="Milliers 8" xfId="114" xr:uid="{71C421D7-B699-493D-B2EE-F9A80D25BA0B}"/>
    <cellStyle name="Milliers 8 2" xfId="115" xr:uid="{99C9FAF6-8892-4924-BBC6-6B2638A3FDB6}"/>
    <cellStyle name="Milliers 8 2 2" xfId="1118" xr:uid="{8D113392-A18A-47F9-86E9-0C8E756E8CFA}"/>
    <cellStyle name="Milliers 8 2 3" xfId="1119" xr:uid="{63176AFE-8099-445D-9898-35D7904FA100}"/>
    <cellStyle name="Milliers 8 2 4" xfId="1420" xr:uid="{7586C936-80C3-4983-B0B3-64CBE9BB100C}"/>
    <cellStyle name="Milliers 8 2 5" xfId="1117" xr:uid="{EEE57D9F-C019-4099-A9A8-FB9F0EF1DC19}"/>
    <cellStyle name="Milliers 8 2 6" xfId="275" xr:uid="{AB90E4D7-A765-40C1-BDB4-5E83E9DD25C7}"/>
    <cellStyle name="Milliers 8 3" xfId="116" xr:uid="{ED7B14AB-4EC7-4F61-A9C8-A0E1C86CC6DA}"/>
    <cellStyle name="Milliers 8 3 2" xfId="1121" xr:uid="{AE654774-01F8-4D96-888E-A0402C2E4ED0}"/>
    <cellStyle name="Milliers 8 3 3" xfId="1122" xr:uid="{7D134BA5-2191-4BB6-8FFA-C42E0D246481}"/>
    <cellStyle name="Milliers 8 3 4" xfId="1421" xr:uid="{D62564ED-6AF8-4463-959F-5434A1ECCA78}"/>
    <cellStyle name="Milliers 8 3 5" xfId="1120" xr:uid="{7A621A16-3227-4926-84FE-C5EF12F9BF37}"/>
    <cellStyle name="Milliers 8 3 6" xfId="276" xr:uid="{F528E5D2-DD74-497F-9B6E-F21504AEB2F2}"/>
    <cellStyle name="Milliers 8 4" xfId="117" xr:uid="{3EE2853C-8A62-437F-A8BA-701DF45459C8}"/>
    <cellStyle name="Milliers 8 4 2" xfId="1124" xr:uid="{47C41B04-A553-4DEA-B37B-C2DF55BEB1CB}"/>
    <cellStyle name="Milliers 8 4 3" xfId="1125" xr:uid="{D3899BBE-6607-4A59-A614-CE8B1694F6E9}"/>
    <cellStyle name="Milliers 8 4 4" xfId="1422" xr:uid="{EF0B5A03-B213-4382-8E82-DA007DB40919}"/>
    <cellStyle name="Milliers 8 4 5" xfId="1123" xr:uid="{C59BCE25-DCC6-446B-8F5A-4E25981AFA25}"/>
    <cellStyle name="Milliers 8 4 6" xfId="277" xr:uid="{0499BC49-CA0E-46FF-B752-AA9F1C692BB9}"/>
    <cellStyle name="Milliers 8 5" xfId="1126" xr:uid="{E23FDB9A-B3A7-4B85-8219-35E471EC1001}"/>
    <cellStyle name="Milliers 8 5 2" xfId="1127" xr:uid="{5276778B-83FF-40F7-A9A9-435E0F360C76}"/>
    <cellStyle name="Milliers 8 5 3" xfId="1128" xr:uid="{CEECECBC-ABFC-4BE9-98BF-4994B8955917}"/>
    <cellStyle name="Milliers 8 6" xfId="1419" xr:uid="{C3942136-586E-4DBF-9C4D-7FCF3D2C95DF}"/>
    <cellStyle name="Milliers 8 7" xfId="1116" xr:uid="{E8261234-C26A-45B8-AA2E-3F82FA94CEF9}"/>
    <cellStyle name="Milliers 8 8" xfId="274" xr:uid="{54D8FE80-3FEE-41EE-8A7F-BC6BB00E9095}"/>
    <cellStyle name="Milliers 9" xfId="118" xr:uid="{78F64A9A-4009-4D5C-ABC8-8EAF6785D3DA}"/>
    <cellStyle name="Milliers 9 2" xfId="119" xr:uid="{26D1BE5E-3F3D-4587-9D0B-470EB708EB02}"/>
    <cellStyle name="Milliers 9 2 2" xfId="1131" xr:uid="{D3E5E192-9FE6-44A4-A4AB-495625F83056}"/>
    <cellStyle name="Milliers 9 2 3" xfId="1132" xr:uid="{FC816FAA-D508-4212-892F-46780408FABE}"/>
    <cellStyle name="Milliers 9 2 4" xfId="1424" xr:uid="{BE279B44-1C2C-491D-9F10-3CCB0FB524A1}"/>
    <cellStyle name="Milliers 9 2 5" xfId="1130" xr:uid="{D4F7B08D-ACE3-48C3-9DD0-B813045A2FDD}"/>
    <cellStyle name="Milliers 9 2 6" xfId="279" xr:uid="{6C2DDA3E-CEBD-48ED-AA41-9AE4B4A2FDED}"/>
    <cellStyle name="Milliers 9 3" xfId="120" xr:uid="{9DDFA188-7210-45A8-AB2A-C435B6E27376}"/>
    <cellStyle name="Milliers 9 3 2" xfId="1134" xr:uid="{756BC9D0-D683-4404-A659-C1E3EEC929A6}"/>
    <cellStyle name="Milliers 9 3 3" xfId="1135" xr:uid="{6B1F5D22-9C71-4EB5-9928-AB8C7C2EE815}"/>
    <cellStyle name="Milliers 9 3 4" xfId="1425" xr:uid="{FCE22C7A-5290-4D1E-8A84-0D07AD10C070}"/>
    <cellStyle name="Milliers 9 3 5" xfId="1133" xr:uid="{F07D832E-D7AE-408C-9CE8-649CB0EF1D20}"/>
    <cellStyle name="Milliers 9 3 6" xfId="280" xr:uid="{806E2002-18BD-4C5F-A116-9D80A93A0FE3}"/>
    <cellStyle name="Milliers 9 4" xfId="121" xr:uid="{4BE2A055-8998-4CD0-AE43-F6327C25D182}"/>
    <cellStyle name="Milliers 9 4 2" xfId="1137" xr:uid="{61271A00-4BD8-4F1B-8E07-1B4CD3FAF592}"/>
    <cellStyle name="Milliers 9 4 3" xfId="1138" xr:uid="{70126996-B162-4C7C-9F37-140A9C394488}"/>
    <cellStyle name="Milliers 9 4 4" xfId="1426" xr:uid="{58273AFB-839C-49B2-B011-90CE11A7420D}"/>
    <cellStyle name="Milliers 9 4 5" xfId="1136" xr:uid="{56E302A5-E8B5-493B-9518-0F1B8804BBDD}"/>
    <cellStyle name="Milliers 9 4 6" xfId="281" xr:uid="{F4EB6CBD-D886-4110-9F0D-CA0BC4C61E8B}"/>
    <cellStyle name="Milliers 9 5" xfId="1139" xr:uid="{56BDCB18-5D32-474C-AC83-066689815D94}"/>
    <cellStyle name="Milliers 9 5 2" xfId="1140" xr:uid="{7E99B025-A9C2-48F0-80B4-C7380665EC6E}"/>
    <cellStyle name="Milliers 9 5 3" xfId="1141" xr:uid="{3B7B4FE1-21F3-41E3-8635-28FA13A3421E}"/>
    <cellStyle name="Milliers 9 6" xfId="1423" xr:uid="{ADF38361-69BD-4C78-8FAD-BDB678DC4207}"/>
    <cellStyle name="Milliers 9 7" xfId="1129" xr:uid="{C8EBF2F6-8F63-4A9D-BDBC-17802002749B}"/>
    <cellStyle name="Milliers 9 8" xfId="278" xr:uid="{C005C233-8192-4266-A552-969D25F92FD0}"/>
    <cellStyle name="Neutral 2" xfId="1143" xr:uid="{09B6B2B6-BBD8-44ED-89A1-9B61D384F299}"/>
    <cellStyle name="Neutral 2 2" xfId="1144" xr:uid="{1C3F7639-5ECC-4278-81DD-D77532CE44CA}"/>
    <cellStyle name="Neutral 2 3" xfId="1145" xr:uid="{44946CE6-EE77-4832-A45C-905965730A49}"/>
    <cellStyle name="Neutral 3" xfId="1142" xr:uid="{41C420CB-D24A-4F9C-8AB0-8AB479CAAFCB}"/>
    <cellStyle name="Normal" xfId="0" builtinId="0"/>
    <cellStyle name="Normal 10" xfId="4" xr:uid="{A259FCC6-81D7-449A-B40D-39281B1AB067}"/>
    <cellStyle name="Normal 10 2" xfId="123" xr:uid="{CF7C5750-E16A-4220-888C-A1BB8AB8CE1A}"/>
    <cellStyle name="Normal 10 2 2" xfId="1267" xr:uid="{CC575343-A779-4397-8E97-820D75ED56F8}"/>
    <cellStyle name="Normal 10 2 3" xfId="191" xr:uid="{9A3777C4-46D1-45CC-A167-A89542A9D2E3}"/>
    <cellStyle name="Normal 10 3" xfId="173" xr:uid="{AC688DDC-B9FE-4068-852B-759675FD8CEE}"/>
    <cellStyle name="Normal 10 4" xfId="122" xr:uid="{8D78A022-FECA-4531-A4BF-0EC9B5954D49}"/>
    <cellStyle name="Normal 10 6" xfId="1146" xr:uid="{F3EB5F86-38DC-49F0-83D5-D6062603B556}"/>
    <cellStyle name="Normal 11" xfId="1147" xr:uid="{BA3C5CA9-AAFC-4FCB-BCB3-0E75BC6AB6C7}"/>
    <cellStyle name="Normal 12" xfId="1148" xr:uid="{38007253-F050-4B03-A1D7-4446DFB63CE7}"/>
    <cellStyle name="Normal 12 2" xfId="1149" xr:uid="{931C8307-28DE-465A-9917-38CBBC701745}"/>
    <cellStyle name="Normal 12 3" xfId="1150" xr:uid="{6EF247D8-8E21-403C-AF5A-0206C3032EEB}"/>
    <cellStyle name="Normal 12 4" xfId="1151" xr:uid="{DB2C5B13-CD3D-4461-B6D6-9B12295CF646}"/>
    <cellStyle name="Normal 13" xfId="1152" xr:uid="{4D49E24E-B6B3-4B70-85B5-58BE6B479E5F}"/>
    <cellStyle name="Normal 13 2" xfId="1153" xr:uid="{34E009F2-29F0-4094-A5F2-11A281932FDA}"/>
    <cellStyle name="Normal 13 3" xfId="1154" xr:uid="{C85E8CFC-49AF-4460-8E80-81F7A218B2B6}"/>
    <cellStyle name="Normal 14" xfId="1155" xr:uid="{741E97E3-8535-4087-86AF-3C35214A5244}"/>
    <cellStyle name="Normal 14 2" xfId="1156" xr:uid="{E578C596-8C6A-43EC-9709-4DC3EDAEF577}"/>
    <cellStyle name="Normal 14 3" xfId="1157" xr:uid="{7440557F-947E-473B-BFAA-CA135E614E3B}"/>
    <cellStyle name="Normal 15" xfId="1158" xr:uid="{5E835683-F4C9-43D6-9030-998EC34269CA}"/>
    <cellStyle name="Normal 16" xfId="1159" xr:uid="{6C940122-F67B-4931-BA98-1DAF54DFABAC}"/>
    <cellStyle name="Normal 17" xfId="1160" xr:uid="{6A7C4386-D1ED-4E7C-B624-1843E0E7913A}"/>
    <cellStyle name="Normal 18" xfId="1161" xr:uid="{2226EBC5-D89C-4261-AC3F-04B3600EBBFF}"/>
    <cellStyle name="Normal 19" xfId="1162" xr:uid="{BA2EFCE3-1D72-4B7E-B9CA-70BDDC2E34FE}"/>
    <cellStyle name="Normal 2" xfId="124" xr:uid="{7D02E72C-4799-40B1-8832-B9ADE01B2156}"/>
    <cellStyle name="Normal 2 2" xfId="125" xr:uid="{E4CE2EF3-563F-42D2-8024-643FBEE36420}"/>
    <cellStyle name="Normal 2 2 2" xfId="283" xr:uid="{10BB5C7E-CF2B-4C68-AB97-9B5F2DB29AF8}"/>
    <cellStyle name="Normal 2 2 2 2" xfId="1164" xr:uid="{D272992F-709B-4151-A0CB-3983E12B74CC}"/>
    <cellStyle name="Normal 2 2 2 3" xfId="1427" xr:uid="{ED136B4D-2EAC-4418-95F9-DC79F75C9AD9}"/>
    <cellStyle name="Normal 2 2 2 4" xfId="1163" xr:uid="{9AFA69CD-034E-44F6-BD0E-B7C69E0EA93F}"/>
    <cellStyle name="Normal 2 2 3" xfId="1338" xr:uid="{89E5C803-BB6A-44D3-8DB8-CC711C1769BA}"/>
    <cellStyle name="Normal 2 2 4" xfId="193" xr:uid="{260C2793-EE2E-4173-A8EE-FAED8498488E}"/>
    <cellStyle name="Normal 2 3" xfId="126" xr:uid="{B3373B44-A69F-413F-A366-0A2621448291}"/>
    <cellStyle name="Normal 2 3 2" xfId="1166" xr:uid="{D21F5137-4063-4CF0-8AFE-64157E87355D}"/>
    <cellStyle name="Normal 2 3 3" xfId="1167" xr:uid="{019A6E8D-AF97-453E-8266-242916D56A84}"/>
    <cellStyle name="Normal 2 3 4" xfId="1300" xr:uid="{95C1F284-AD78-4F8F-BE5B-2B9312025DEF}"/>
    <cellStyle name="Normal 2 3 5" xfId="1323" xr:uid="{19CF8747-FE82-42A6-8091-C0C539ECDA5A}"/>
    <cellStyle name="Normal 2 3 6" xfId="1428" xr:uid="{5E016246-5064-42D2-B966-D22CA65054B4}"/>
    <cellStyle name="Normal 2 3 7" xfId="1165" xr:uid="{54816DC4-F266-4FAA-9372-BECBC5874212}"/>
    <cellStyle name="Normal 2 3 8" xfId="284" xr:uid="{8A30507D-B00E-44A8-A210-3B7AC04DDE32}"/>
    <cellStyle name="Normal 2 4" xfId="127" xr:uid="{B30908ED-7DDA-46F8-BDDF-14C0C8047C51}"/>
    <cellStyle name="Normal 2 4 2" xfId="1290" xr:uid="{8734350F-0963-4946-9E8A-32BE8AD1B975}"/>
    <cellStyle name="Normal 2 4 3" xfId="1316" xr:uid="{43E6FE56-8880-4D1C-96DB-EB2E8193DC81}"/>
    <cellStyle name="Normal 2 4 4" xfId="1429" xr:uid="{A2AF3D75-BAE1-4805-8E46-C098DE598B58}"/>
    <cellStyle name="Normal 2 4 5" xfId="285" xr:uid="{EC8AACA7-0C86-4460-A228-E0E7AE152638}"/>
    <cellStyle name="Normal 2 5" xfId="1270" xr:uid="{5ADBEA93-B371-4360-811C-99213F583A50}"/>
    <cellStyle name="Normal 2 6" xfId="282" xr:uid="{447B601E-2BB7-415D-9E6C-B1DA7A1D19C9}"/>
    <cellStyle name="Normal 20" xfId="1168" xr:uid="{A7E11FC3-339F-45E6-9737-537334162BE5}"/>
    <cellStyle name="Normal 20 2" xfId="1331" xr:uid="{ECC88886-933C-49CE-BF42-26DB93E427A6}"/>
    <cellStyle name="Normal 21" xfId="1326" xr:uid="{F9595BC1-E74C-48AB-8DE7-EB88149752CA}"/>
    <cellStyle name="Normal 22" xfId="1169" xr:uid="{C8C36714-C809-46E5-B27C-3DB128AB6B65}"/>
    <cellStyle name="Normal 23" xfId="1170" xr:uid="{ABB48503-77E7-4AC3-B95F-A6120E266791}"/>
    <cellStyle name="Normal 24" xfId="1171" xr:uid="{71D1885F-6C7E-44DE-AAC8-141F97487CCF}"/>
    <cellStyle name="Normal 25" xfId="1328" xr:uid="{C3920212-A472-4905-B942-EE09ED6523B3}"/>
    <cellStyle name="Normal 26" xfId="1333" xr:uid="{C74F2C58-9460-4979-A267-103E60B03C23}"/>
    <cellStyle name="Normal 27" xfId="1335" xr:uid="{888BAB17-ED06-47E6-B050-CC0995CD95E4}"/>
    <cellStyle name="Normal 28" xfId="188" xr:uid="{AC11D0AB-38CC-4D7D-8D93-229FA6D8ED6E}"/>
    <cellStyle name="Normal 3" xfId="128" xr:uid="{F7B8AB7A-FDEA-46E4-9907-493666F9A80C}"/>
    <cellStyle name="Normal 3 10" xfId="129" xr:uid="{533C926A-89D5-4BFE-B07B-EBB3B80E80C8}"/>
    <cellStyle name="Normal 3 10 2" xfId="1430" xr:uid="{5B7412C1-0DC3-4E82-8BE1-D578F0013714}"/>
    <cellStyle name="Normal 3 10 3" xfId="287" xr:uid="{09555F90-776C-42A5-8D1E-9BD5E50F896D}"/>
    <cellStyle name="Normal 3 11" xfId="130" xr:uid="{81EB8E4A-812D-4BFF-BE4C-6CC2548F9F36}"/>
    <cellStyle name="Normal 3 11 2" xfId="1431" xr:uid="{D6723201-20CF-48C5-B38F-098166524DD0}"/>
    <cellStyle name="Normal 3 11 3" xfId="288" xr:uid="{B129E56E-2F45-400A-8D5D-A77C14D6D15B}"/>
    <cellStyle name="Normal 3 12" xfId="131" xr:uid="{52F8D6FA-D1A7-47BA-AE62-A7897391C5D1}"/>
    <cellStyle name="Normal 3 12 2" xfId="1432" xr:uid="{69CE6104-DDA2-4008-9EDD-CA61334685FD}"/>
    <cellStyle name="Normal 3 12 3" xfId="289" xr:uid="{70CA5ADE-0575-42D7-8F44-6E0762BF82A9}"/>
    <cellStyle name="Normal 3 13" xfId="132" xr:uid="{F07D6DB0-484B-44F6-99D8-74FB4397F195}"/>
    <cellStyle name="Normal 3 13 2" xfId="1433" xr:uid="{0CF57AE2-59C2-49D4-A8FA-CAA46366525F}"/>
    <cellStyle name="Normal 3 13 3" xfId="290" xr:uid="{FEE6102D-7CDF-49FC-8030-B780F3C19D17}"/>
    <cellStyle name="Normal 3 14" xfId="133" xr:uid="{2BD04C35-5C18-4869-88B0-E27E925FC336}"/>
    <cellStyle name="Normal 3 14 2" xfId="1434" xr:uid="{3300A4ED-5D22-4E96-8D5E-8C65D5F7E57F}"/>
    <cellStyle name="Normal 3 14 3" xfId="291" xr:uid="{BEB7186D-62D7-4991-8371-709D3EF924E1}"/>
    <cellStyle name="Normal 3 15" xfId="134" xr:uid="{24A7F719-BF25-4973-869F-E0BDE844A669}"/>
    <cellStyle name="Normal 3 15 2" xfId="1435" xr:uid="{7EBB512D-CFB8-42DB-A2CB-01C83A94502C}"/>
    <cellStyle name="Normal 3 15 3" xfId="292" xr:uid="{7C51C202-DD0A-4D5D-83FA-F747A33D0660}"/>
    <cellStyle name="Normal 3 16" xfId="135" xr:uid="{796BE0D1-F06B-4F3B-82F1-9F0509C92CD9}"/>
    <cellStyle name="Normal 3 16 2" xfId="1436" xr:uid="{3CCFD274-A6F3-4CC9-B7EF-F674C63F6ECB}"/>
    <cellStyle name="Normal 3 16 3" xfId="293" xr:uid="{45F247A8-DBD9-4496-9F51-D95A92098DF1}"/>
    <cellStyle name="Normal 3 17" xfId="136" xr:uid="{36CF3757-9132-463C-8F6F-2E1C1B504012}"/>
    <cellStyle name="Normal 3 17 2" xfId="1437" xr:uid="{F59042DF-AEC1-4813-A751-4902B44C4A7C}"/>
    <cellStyle name="Normal 3 17 3" xfId="294" xr:uid="{3844A1BA-87AE-4AD7-9B49-A83226C52920}"/>
    <cellStyle name="Normal 3 18" xfId="137" xr:uid="{72911BDD-7914-4D56-BF58-EADCE711B76A}"/>
    <cellStyle name="Normal 3 18 2" xfId="1438" xr:uid="{8FAD575D-7D0F-4700-ABC2-608B8583F76F}"/>
    <cellStyle name="Normal 3 18 3" xfId="295" xr:uid="{D17F4962-7DD6-4615-B75F-032DB6B161D0}"/>
    <cellStyle name="Normal 3 19" xfId="138" xr:uid="{18642192-A9ED-4751-9650-926FD5749BA5}"/>
    <cellStyle name="Normal 3 19 2" xfId="1439" xr:uid="{93DA150B-6C92-40D1-8DE9-F602B7B10571}"/>
    <cellStyle name="Normal 3 19 3" xfId="296" xr:uid="{9E89F061-17B0-4D79-A7D5-4D3D8F17F44D}"/>
    <cellStyle name="Normal 3 2" xfId="139" xr:uid="{AFB918BC-DABC-4FEC-A5AD-418785C3752F}"/>
    <cellStyle name="Normal 3 2 2" xfId="1297" xr:uid="{6ECD404D-98EC-4F5A-9FC2-D36F795093D2}"/>
    <cellStyle name="Normal 3 2 3" xfId="297" xr:uid="{E7BD214B-8743-4ED2-9589-CFA81BFBE1FA}"/>
    <cellStyle name="Normal 3 20" xfId="140" xr:uid="{8165626A-3B24-4C36-A8C2-1FEB86F71EDE}"/>
    <cellStyle name="Normal 3 20 2" xfId="1440" xr:uid="{1A461A14-2947-4B5F-8237-78259F5D6C86}"/>
    <cellStyle name="Normal 3 20 3" xfId="298" xr:uid="{48DF18B0-B89F-4BED-8609-E50373897821}"/>
    <cellStyle name="Normal 3 21" xfId="141" xr:uid="{11E0885F-2344-4B87-9C46-7EB8875EA39E}"/>
    <cellStyle name="Normal 3 21 2" xfId="1441" xr:uid="{1515D21C-A91A-4AB4-B2BA-3BAEACF325C2}"/>
    <cellStyle name="Normal 3 21 3" xfId="299" xr:uid="{3B1C5EB4-D1C1-4D7D-A82B-03807212B6BE}"/>
    <cellStyle name="Normal 3 22" xfId="142" xr:uid="{3D98C4D8-707B-47F1-B567-D8D46964C899}"/>
    <cellStyle name="Normal 3 22 2" xfId="1442" xr:uid="{F3AD5FE8-EF3F-416F-A09E-DA38902D074D}"/>
    <cellStyle name="Normal 3 22 3" xfId="300" xr:uid="{2F32567E-272D-470C-BFE2-A26893B4E6FF}"/>
    <cellStyle name="Normal 3 23" xfId="143" xr:uid="{BC901606-F0A3-4C91-AB2B-73E49DA353DE}"/>
    <cellStyle name="Normal 3 23 2" xfId="1443" xr:uid="{077DA1FC-A277-494A-998B-6BB6BE931EA9}"/>
    <cellStyle name="Normal 3 23 3" xfId="301" xr:uid="{726640A7-9013-45BF-A815-CDEAD773C6AA}"/>
    <cellStyle name="Normal 3 24" xfId="144" xr:uid="{74838A82-7E38-4B8E-8CEF-50A829B24A30}"/>
    <cellStyle name="Normal 3 24 2" xfId="1444" xr:uid="{777ABD22-E8AD-4DA0-8529-3D7FBF3D7D1A}"/>
    <cellStyle name="Normal 3 24 3" xfId="302" xr:uid="{86D87545-F62E-40AA-9922-4E426E70F13C}"/>
    <cellStyle name="Normal 3 25" xfId="145" xr:uid="{357C02E7-1F3D-41A6-AD6E-6449E4CA4F5B}"/>
    <cellStyle name="Normal 3 25 2" xfId="1445" xr:uid="{2313A5E5-5AC8-480B-8C77-9F0B17807999}"/>
    <cellStyle name="Normal 3 25 3" xfId="303" xr:uid="{AD146728-6E29-4AB8-A629-55CEC2FCD111}"/>
    <cellStyle name="Normal 3 26" xfId="146" xr:uid="{DCC9F42F-2AFD-4480-922E-60878D2D26D0}"/>
    <cellStyle name="Normal 3 26 2" xfId="1446" xr:uid="{7B72218B-F093-4E7F-AED8-82BC061BC977}"/>
    <cellStyle name="Normal 3 26 3" xfId="304" xr:uid="{A7CE846F-3B2B-4082-9456-73591B65C880}"/>
    <cellStyle name="Normal 3 27" xfId="147" xr:uid="{F5FE9DBE-3454-4E17-8D64-A0D5AADDB930}"/>
    <cellStyle name="Normal 3 27 2" xfId="1173" xr:uid="{522BF551-D3DC-432E-91C7-0D9DEFC6902B}"/>
    <cellStyle name="Normal 3 27 3" xfId="1174" xr:uid="{253B7B39-7D65-4368-AF01-A7D091D9C1D4}"/>
    <cellStyle name="Normal 3 27 4" xfId="1175" xr:uid="{CD2C189E-D1BA-4BDE-ACAC-D492B89CC21E}"/>
    <cellStyle name="Normal 3 27 5" xfId="1289" xr:uid="{22ABA3CD-1EDA-4425-B220-E78BDEDCCC66}"/>
    <cellStyle name="Normal 3 27 6" xfId="1315" xr:uid="{905E6A58-F1B8-42E6-A500-0FD48A295B45}"/>
    <cellStyle name="Normal 3 27 7" xfId="1447" xr:uid="{36C10B8E-5E8A-47EE-9942-481F418CE82B}"/>
    <cellStyle name="Normal 3 27 8" xfId="1172" xr:uid="{D94C8803-8709-4BE1-AB42-EFAC6F6899D2}"/>
    <cellStyle name="Normal 3 27 9" xfId="305" xr:uid="{32725758-3B2B-4135-BB66-19164F77D295}"/>
    <cellStyle name="Normal 3 28" xfId="148" xr:uid="{8E847365-DD97-4479-B225-4774805F7479}"/>
    <cellStyle name="Normal 3 28 2" xfId="1448" xr:uid="{339A1E48-58D9-4530-BDE7-FE7ABC75D001}"/>
    <cellStyle name="Normal 3 28 3" xfId="1278" xr:uid="{A19CFE1C-B57B-427E-B627-CC740F704D6E}"/>
    <cellStyle name="Normal 3 28 4" xfId="306" xr:uid="{44CB0B56-46C9-47E4-859D-85C60A6D0ECD}"/>
    <cellStyle name="Normal 3 29" xfId="1305" xr:uid="{D287AF2A-24BB-4C7E-A15A-4A0CFC82CD3A}"/>
    <cellStyle name="Normal 3 3" xfId="149" xr:uid="{578F4890-7DE1-480B-9805-F4F9B5488A2D}"/>
    <cellStyle name="Normal 3 3 2" xfId="1449" xr:uid="{21326968-85DF-4085-9140-4E8F4A8A71C7}"/>
    <cellStyle name="Normal 3 3 3" xfId="307" xr:uid="{79BD321A-92FE-48FA-B295-10854405BFBA}"/>
    <cellStyle name="Normal 3 30" xfId="286" xr:uid="{1014BF10-28BC-4CC8-A71E-9EEE5B3F35D6}"/>
    <cellStyle name="Normal 3 4" xfId="150" xr:uid="{A7E033B0-3717-4DA6-979D-42792153F3D5}"/>
    <cellStyle name="Normal 3 4 2" xfId="1450" xr:uid="{0A57666F-A2B5-45A1-B2BB-CCEE17722944}"/>
    <cellStyle name="Normal 3 4 3" xfId="308" xr:uid="{994A09B3-46A1-493C-8261-F8EA5E70D1C5}"/>
    <cellStyle name="Normal 3 5" xfId="151" xr:uid="{34AA8D1E-D3D6-4987-AB67-32F629A93BD2}"/>
    <cellStyle name="Normal 3 5 2" xfId="1451" xr:uid="{B7F167DC-9AC1-4744-9E67-864A81E58E04}"/>
    <cellStyle name="Normal 3 5 3" xfId="309" xr:uid="{A7B7F5E5-88E9-4937-ADDF-2FE0FFB3F6C5}"/>
    <cellStyle name="Normal 3 6" xfId="152" xr:uid="{FAF8D4AC-6CEB-4FB5-B85A-EC72FE0D94D5}"/>
    <cellStyle name="Normal 3 6 2" xfId="1452" xr:uid="{B7972B52-A280-4F26-9E7D-D703978F6006}"/>
    <cellStyle name="Normal 3 6 3" xfId="310" xr:uid="{4E13CAA1-089D-4215-86E7-F6AC11379910}"/>
    <cellStyle name="Normal 3 7" xfId="153" xr:uid="{AC48BDCA-F71D-4F55-829C-C741500C57BD}"/>
    <cellStyle name="Normal 3 7 2" xfId="1453" xr:uid="{9846CC80-6B8D-48DA-B8B2-D080577EDC9E}"/>
    <cellStyle name="Normal 3 7 3" xfId="311" xr:uid="{EB30DA18-B9CE-4991-B879-FA1A91AFC399}"/>
    <cellStyle name="Normal 3 8" xfId="154" xr:uid="{41CF8980-4F07-4C97-894A-7F142B18F932}"/>
    <cellStyle name="Normal 3 8 2" xfId="1454" xr:uid="{F2A6BF1A-8DB2-4AD2-A580-344237C6FB75}"/>
    <cellStyle name="Normal 3 8 3" xfId="312" xr:uid="{3250B4B7-5496-4D40-8A49-617F60F4244B}"/>
    <cellStyle name="Normal 3 9" xfId="155" xr:uid="{D6C684A8-8416-4964-B375-533685DDBCA6}"/>
    <cellStyle name="Normal 3 9 2" xfId="1455" xr:uid="{ACE5898D-EF0F-44B0-9398-2BB842837EB7}"/>
    <cellStyle name="Normal 3 9 3" xfId="313" xr:uid="{C6DF6EA0-FE64-4CD8-B9EE-F985FDA07154}"/>
    <cellStyle name="Normal 4" xfId="156" xr:uid="{BBBBCA56-1661-4184-BC8D-AA3FD81FA44F}"/>
    <cellStyle name="Normal 4 2" xfId="157" xr:uid="{430825BA-E2AE-4F40-B27E-F5F2DB5FAC88}"/>
    <cellStyle name="Normal 4 2 2" xfId="1273" xr:uid="{07AB1AB6-9CBA-4FDD-8390-3BD01114207D}"/>
    <cellStyle name="Normal 4 2 3" xfId="315" xr:uid="{0D5A6C53-B21D-466A-81EC-85536EB5D0B9}"/>
    <cellStyle name="Normal 4 3" xfId="171" xr:uid="{C9197FE5-2E6F-45EB-9924-FD4C1D983E9B}"/>
    <cellStyle name="Normal 4 3 2" xfId="1463" xr:uid="{31A4D09A-5A3D-4EE9-B683-8BB67A31D513}"/>
    <cellStyle name="Normal 4 3 3" xfId="1176" xr:uid="{70330138-FED1-4FBC-9825-732CFE2235B5}"/>
    <cellStyle name="Normal 4 4" xfId="174" xr:uid="{975D4F5F-3657-454D-8DE3-661DF49581D0}"/>
    <cellStyle name="Normal 4 4 2" xfId="1465" xr:uid="{BAA6B006-4944-4950-8705-87632724AD0D}"/>
    <cellStyle name="Normal 4 4 3" xfId="1272" xr:uid="{E7947FD1-B8E4-4852-8E29-675784553ACE}"/>
    <cellStyle name="Normal 4 4 4" xfId="325" xr:uid="{A32C1F57-41B4-4421-BC35-2DDAC5ECC020}"/>
    <cellStyle name="Normal 4 5" xfId="184" xr:uid="{74E7E0BD-42CC-4A3C-8FB8-1ACBE9662D33}"/>
    <cellStyle name="Normal 4 5 2" xfId="335" xr:uid="{2FEE3BB9-DBB4-494C-A2C7-4BCC993FA1AF}"/>
    <cellStyle name="Normal 4 6" xfId="314" xr:uid="{9A27ADA1-7285-4704-AF38-23A7CCCBAC9F}"/>
    <cellStyle name="Normal 4 7" xfId="1341" xr:uid="{584396A2-04E9-4275-AD8B-4B22FE782402}"/>
    <cellStyle name="Normal 4 8" xfId="198" xr:uid="{B74ECCD5-B833-4FDA-BA24-49242853C4F1}"/>
    <cellStyle name="Normal 5" xfId="169" xr:uid="{A6661CF7-CC75-494A-8A20-964B75F3BC85}"/>
    <cellStyle name="Normal 5 2" xfId="322" xr:uid="{E8CD7EF1-CC5E-448F-97DA-0353563B8E1C}"/>
    <cellStyle name="Normal 5 2 2" xfId="1178" xr:uid="{C9A90F62-E359-472E-9088-7B9616E7067D}"/>
    <cellStyle name="Normal 5 2 3" xfId="1461" xr:uid="{76675B82-5D3A-4DBF-A222-615F845D193A}"/>
    <cellStyle name="Normal 5 2 4" xfId="1177" xr:uid="{491BD28A-0B1A-4CD7-A060-1F39EC3F4B16}"/>
    <cellStyle name="Normal 5 3" xfId="1179" xr:uid="{5F4B20D9-EEB4-4FFF-8E49-40B312765884}"/>
    <cellStyle name="Normal 5 4" xfId="1281" xr:uid="{586756B0-4D9E-4358-B9E4-ADED43841341}"/>
    <cellStyle name="Normal 5 5" xfId="1307" xr:uid="{8FCDA939-29FD-46F9-A484-6CAA184A0D04}"/>
    <cellStyle name="Normal 5 6" xfId="1339" xr:uid="{AB6C9E78-1397-4FCE-9A63-F6AE3CD412DE}"/>
    <cellStyle name="Normal 5 7" xfId="194" xr:uid="{47323796-A7C4-4AC9-AB3A-FEC090F389D4}"/>
    <cellStyle name="Normal 6" xfId="178" xr:uid="{E32C86F7-CFE9-424F-BAD1-659D6D94FFD4}"/>
    <cellStyle name="Normal 6 2" xfId="1180" xr:uid="{584EB1F7-F179-423E-9998-BE8AA84B1F13}"/>
    <cellStyle name="Normal 6 3" xfId="1181" xr:uid="{605E95E9-F44E-4865-85EB-E06805FEDD60}"/>
    <cellStyle name="Normal 6 4" xfId="1182" xr:uid="{F42A559F-35CE-47FC-9049-0F2F939767B3}"/>
    <cellStyle name="Normal 6 5" xfId="1311" xr:uid="{5C0E322A-86FF-4131-A5B1-F33A73FE1C69}"/>
    <cellStyle name="Normal 6 6" xfId="1469" xr:uid="{AE3CC2C2-4AF3-478A-B561-BCA239E7FAC7}"/>
    <cellStyle name="Normal 6 7" xfId="329" xr:uid="{AB25207D-364A-4DAA-B095-39039BDC9475}"/>
    <cellStyle name="Normal 7" xfId="168" xr:uid="{36080D5C-3A68-410B-A57B-1D6A0C655B88}"/>
    <cellStyle name="Normal 7 2" xfId="1183" xr:uid="{519AE239-5709-49F1-9B65-2BE88F18BE6F}"/>
    <cellStyle name="Normal 7 3" xfId="1184" xr:uid="{5C0C8304-00E1-46C3-B26B-F09679E9BEC7}"/>
    <cellStyle name="Normal 7 4" xfId="1185" xr:uid="{6627B9C2-65AF-40BC-8B44-EBF71AF069FC}"/>
    <cellStyle name="Normal 7 5" xfId="1318" xr:uid="{B3C3FDAC-4464-47FF-BC2C-640930934F4E}"/>
    <cellStyle name="Normal 7 6" xfId="1460" xr:uid="{CD8EBD5E-912D-4F3F-8D97-230FA7E04758}"/>
    <cellStyle name="Normal 7 7" xfId="1293" xr:uid="{017EEF03-8BA0-4199-87F7-F787827C96E0}"/>
    <cellStyle name="Normal 8" xfId="158" xr:uid="{D93C5FAB-6C75-4DCA-A639-077440F8DA8D}"/>
    <cellStyle name="Normal 8 2" xfId="1187" xr:uid="{5D13544D-D5C8-43BD-8D21-DBB2FB92B8DC}"/>
    <cellStyle name="Normal 8 3" xfId="1295" xr:uid="{7479334A-452F-42BD-8E3D-E07B0AD0AB79}"/>
    <cellStyle name="Normal 8 4" xfId="1320" xr:uid="{6954756F-C01B-451F-8F79-7AAF4C8CD5A7}"/>
    <cellStyle name="Normal 8 5" xfId="1456" xr:uid="{D1BF4E8F-B8DF-4E3A-B887-B4E55442C09E}"/>
    <cellStyle name="Normal 8 6" xfId="1186" xr:uid="{6319B195-B2DF-4CDE-BB12-80858EB26384}"/>
    <cellStyle name="Normal 8 7" xfId="316" xr:uid="{A932D58B-9E85-4A87-81C3-32D710A7FB95}"/>
    <cellStyle name="Normal 9" xfId="181" xr:uid="{AD1E8478-6CAF-4E73-A422-3CC025744A50}"/>
    <cellStyle name="Normal 9 2" xfId="1472" xr:uid="{233E2D98-D9B4-4835-AB6C-F879EFC96603}"/>
    <cellStyle name="Normal 9 3" xfId="1188" xr:uid="{06C59778-B3E8-4265-B44A-4702C34E2A3D}"/>
    <cellStyle name="Normal 9 4" xfId="332" xr:uid="{3792BA19-D901-4B91-839B-4A6B7258DC08}"/>
    <cellStyle name="Normale_B2020" xfId="159" xr:uid="{D2E406E5-2DEA-4A66-9CC0-022B25640321}"/>
    <cellStyle name="Note 2" xfId="180" xr:uid="{8EB0A38E-A00B-4D05-BACE-281BE4AE6E2A}"/>
    <cellStyle name="Note 2 2" xfId="199" xr:uid="{3D0E61F0-C01F-4D92-9F57-1F8C0AD7ACAC}"/>
    <cellStyle name="Note 2 2 2" xfId="1292" xr:uid="{FAF5451B-B2E1-4CF4-A482-20E6FAC78CE8}"/>
    <cellStyle name="Note 2 2 3" xfId="1317" xr:uid="{A96EB9A7-AF60-40AB-91F6-6ACAF7674BDB}"/>
    <cellStyle name="Note 2 2 4" xfId="1325" xr:uid="{54215E32-917E-4307-9780-1DC49FE35E92}"/>
    <cellStyle name="Note 2 2 5" xfId="1342" xr:uid="{A2AC74D6-D1F1-43E2-BD86-96EFBD3D8ED1}"/>
    <cellStyle name="Note 2 3" xfId="1285" xr:uid="{BAA59E1C-3B94-48BB-A9BA-92F4BEFA70B4}"/>
    <cellStyle name="Note 2 4" xfId="1312" xr:uid="{B5E62288-95D1-4B85-ABBE-82152F393A75}"/>
    <cellStyle name="Note 2 5" xfId="1471" xr:uid="{29D8E55D-D863-4C9E-8A89-760DC508C7BB}"/>
    <cellStyle name="Note 2 6" xfId="1189" xr:uid="{19278359-4318-4BC7-8D29-9D30DF724683}"/>
    <cellStyle name="Note 2 7" xfId="331" xr:uid="{2AA236AD-4034-46B8-AF3C-C24F73D5CFBA}"/>
    <cellStyle name="Note 3" xfId="183" xr:uid="{DCB26A73-EC0F-4C95-8C72-BB6C0C7E2B16}"/>
    <cellStyle name="Note 3 2" xfId="1474" xr:uid="{095F9DB7-9D63-4252-87C6-97B3EDF39E65}"/>
    <cellStyle name="Note 3 3" xfId="1286" xr:uid="{D6DA5BB2-8F7D-44A3-A836-F7EE3D2019E5}"/>
    <cellStyle name="Note 3 4" xfId="334" xr:uid="{F20AE8FD-C44C-4788-BE1D-E0A38D01224D}"/>
    <cellStyle name="Note 4" xfId="317" xr:uid="{4E51691F-7DF9-4781-9007-57CA7B7C3FCA}"/>
    <cellStyle name="Note 5" xfId="1337" xr:uid="{3632810B-F07B-4DA5-A930-6FE48169FA2F}"/>
    <cellStyle name="Note 6" xfId="190" xr:uid="{8D993701-DE47-490A-B1D9-EDA8956667A4}"/>
    <cellStyle name="Note 7" xfId="160" xr:uid="{559FF007-4A58-480D-8378-8119A9BB3613}"/>
    <cellStyle name="Output" xfId="12" builtinId="21" customBuiltin="1"/>
    <cellStyle name="Output 2" xfId="1190" xr:uid="{E865B09E-F8B6-437A-91E3-0F311C69B418}"/>
    <cellStyle name="Parent row" xfId="1191" xr:uid="{7A2EBFF9-70A4-4012-8F97-6ED4F4CA6C75}"/>
    <cellStyle name="Percent" xfId="2" builtinId="5"/>
    <cellStyle name="Percent 10" xfId="162" xr:uid="{E6AAD888-2096-4194-BDF5-99E04E049831}"/>
    <cellStyle name="Percent 10 2" xfId="1192" xr:uid="{5A165DF4-258E-4987-82DE-58B35B8F2403}"/>
    <cellStyle name="Percent 10 3" xfId="1457" xr:uid="{25484B53-2451-499D-ADBC-BC263E010CDA}"/>
    <cellStyle name="Percent 10 4" xfId="318" xr:uid="{6CC78D0B-2D74-43D0-9749-B2C088684359}"/>
    <cellStyle name="Percent 11" xfId="1193" xr:uid="{16E52C06-E561-4080-AD78-C426B90C1257}"/>
    <cellStyle name="Percent 11 2" xfId="1194" xr:uid="{C8152C77-BD66-499B-8F9A-1FE88BC87211}"/>
    <cellStyle name="Percent 11 3" xfId="1195" xr:uid="{909D9BBC-66A5-4F91-BFFF-118B7D78FA94}"/>
    <cellStyle name="Percent 11 4" xfId="1196" xr:uid="{DE79E555-470D-4B8B-9E21-2F0B38A09EBF}"/>
    <cellStyle name="Percent 12" xfId="1197" xr:uid="{792936E2-5376-4CE6-B536-0BA3D219BDD5}"/>
    <cellStyle name="Percent 13" xfId="163" xr:uid="{B80B860E-FCBA-4B13-AD98-90F6F03B4128}"/>
    <cellStyle name="Percent 14" xfId="1198" xr:uid="{41C91B49-01CF-4EC4-A733-CA99FFCE7E83}"/>
    <cellStyle name="Percent 14 2" xfId="1199" xr:uid="{267452BC-A2AF-4B4F-8872-2D14C6257270}"/>
    <cellStyle name="Percent 15" xfId="1200" xr:uid="{EAC69046-4FBD-42F4-A74D-866F74DC2ECC}"/>
    <cellStyle name="Percent 15 2" xfId="1201" xr:uid="{FBCAD332-4E8F-4E62-B092-5937AC3B3568}"/>
    <cellStyle name="Percent 16" xfId="1202" xr:uid="{92008465-7752-49FE-A954-8E08AE53E9C9}"/>
    <cellStyle name="Percent 16 2" xfId="1203" xr:uid="{057B2772-3CBE-44FB-A24E-0EBB0CBC46BC}"/>
    <cellStyle name="Percent 16 3" xfId="1204" xr:uid="{0DCB2B38-C008-43F4-A7F6-CAD7CDCB9E37}"/>
    <cellStyle name="Percent 17" xfId="1205" xr:uid="{5A797222-822E-4E25-8E4B-DF3A3A2BC7E4}"/>
    <cellStyle name="Percent 17 2" xfId="1206" xr:uid="{8DC296E9-E8BD-4F02-B1E8-09E18D51C3BA}"/>
    <cellStyle name="Percent 18" xfId="1207" xr:uid="{FA6453CD-5F9F-43A9-B820-75580593A98E}"/>
    <cellStyle name="Percent 18 2" xfId="1208" xr:uid="{BB499135-15BD-4420-9681-AAD10860DEC2}"/>
    <cellStyle name="Percent 19" xfId="1209" xr:uid="{924DD072-6B39-4662-A0CE-78FA834E4A74}"/>
    <cellStyle name="Percent 2" xfId="164" xr:uid="{96411726-9E8D-42A7-B468-77F0C3E87640}"/>
    <cellStyle name="Percent 2 2" xfId="165" xr:uid="{24FC54CE-1B7F-47A7-8949-BDBC2819E459}"/>
    <cellStyle name="Percent 2 2 2" xfId="1211" xr:uid="{DE723E39-A875-40A7-AA29-EB86F0A436B9}"/>
    <cellStyle name="Percent 2 2 3" xfId="1299" xr:uid="{32983409-CF49-47EC-BE36-501DDD42E6C2}"/>
    <cellStyle name="Percent 2 2 4" xfId="319" xr:uid="{ADF3CDE2-998D-4399-A08C-B51166AD2AF3}"/>
    <cellStyle name="Percent 2 3" xfId="1212" xr:uid="{7206F1D1-97C7-4B14-BB44-D2F79D57F104}"/>
    <cellStyle name="Percent 2 4" xfId="1266" xr:uid="{34A5C37B-C8DD-471F-9509-7C7C80E8531F}"/>
    <cellStyle name="Percent 2 5" xfId="1210" xr:uid="{7D5D97A1-B6E8-4351-B771-40E2085D880C}"/>
    <cellStyle name="Percent 2 6" xfId="195" xr:uid="{35E31451-1179-4DC4-9791-E1BA9594DCD3}"/>
    <cellStyle name="Percent 20" xfId="1213" xr:uid="{A61E3062-5ACA-4694-89B7-5673C0A110FF}"/>
    <cellStyle name="Percent 21" xfId="1264" xr:uid="{B51D1CBD-E1B5-47A5-B396-0E6B6E012BFB}"/>
    <cellStyle name="Percent 22" xfId="1343" xr:uid="{558D0F80-DDA2-437F-937A-DE9115B0617A}"/>
    <cellStyle name="Percent 23" xfId="200" xr:uid="{4466C3FC-22E0-4017-87B5-13258C9BBDFA}"/>
    <cellStyle name="Percent 24" xfId="161" xr:uid="{3861492E-AE4E-4271-A697-67CFCC5CF323}"/>
    <cellStyle name="Percent 3" xfId="166" xr:uid="{9FD7B993-050E-45F9-AB71-C53C0F484A4A}"/>
    <cellStyle name="Percent 3 2" xfId="1215" xr:uid="{4C3E1B0F-54E6-439C-A54F-BFF95BE3DA8E}"/>
    <cellStyle name="Percent 3 3" xfId="1216" xr:uid="{24A90DFC-82AE-4B24-81D8-05EF709479CF}"/>
    <cellStyle name="Percent 3 4" xfId="1217" xr:uid="{6B4C412F-917E-4310-A6DE-3E044A4CBDE6}"/>
    <cellStyle name="Percent 3 5" xfId="1282" xr:uid="{F355BEC5-7A9E-4A17-9680-471414466CCB}"/>
    <cellStyle name="Percent 3 6" xfId="1308" xr:uid="{9FC9DADF-9F57-4A35-AF59-09DFF92814BB}"/>
    <cellStyle name="Percent 3 7" xfId="1458" xr:uid="{B3C0B005-C552-4ACF-B22D-58533A792B8D}"/>
    <cellStyle name="Percent 3 8" xfId="1214" xr:uid="{DBA6708D-1164-4505-B85F-D0CEE61A66DD}"/>
    <cellStyle name="Percent 3 9" xfId="320" xr:uid="{5E41DD76-3C0E-439E-B3A4-64F9E65A0BB5}"/>
    <cellStyle name="Percent 4" xfId="167" xr:uid="{B51D5E6B-48E0-4138-ADDD-D5A7AB140E12}"/>
    <cellStyle name="Percent 4 2" xfId="1219" xr:uid="{F89AF227-A3D1-44CF-97FA-5B636A794748}"/>
    <cellStyle name="Percent 4 3" xfId="1220" xr:uid="{9F889497-BD27-46EB-B08B-C67332871980}"/>
    <cellStyle name="Percent 4 4" xfId="1221" xr:uid="{844DEFED-CB65-4EF4-8035-DA7055DAAA3F}"/>
    <cellStyle name="Percent 4 5" xfId="1222" xr:uid="{E943CF85-FB51-4FBE-B54B-BD46BCBE1653}"/>
    <cellStyle name="Percent 4 5 2" xfId="1223" xr:uid="{56E5DE2A-D436-44A2-8179-E11393E621B3}"/>
    <cellStyle name="Percent 4 5 3" xfId="1224" xr:uid="{11B2EB14-4330-4899-A2B5-3AE7E2727639}"/>
    <cellStyle name="Percent 4 6" xfId="1459" xr:uid="{F54E771D-CD05-469F-99D0-D9F99022187F}"/>
    <cellStyle name="Percent 4 7" xfId="1218" xr:uid="{58DC10DD-F5A2-4C55-B1EB-A1E9E47FF0DB}"/>
    <cellStyle name="Percent 4 8" xfId="321" xr:uid="{672113F2-B83A-41F9-AB00-80113CAF3A92}"/>
    <cellStyle name="Percent 5" xfId="1225" xr:uid="{F077195A-4C11-4396-BB8D-503D730FD677}"/>
    <cellStyle name="Percent 5 2" xfId="1226" xr:uid="{D61D9BAF-0F47-435E-910F-035131FE8E4E}"/>
    <cellStyle name="Percent 5 2 2" xfId="1227" xr:uid="{BB4999BF-44FC-40E4-871A-434515382BB3}"/>
    <cellStyle name="Percent 5 2 3" xfId="1228" xr:uid="{11CC9BFA-3A69-46BB-8DD3-8BA0F48971B1}"/>
    <cellStyle name="Percent 5 2 4" xfId="1229" xr:uid="{426C568B-13EB-4ACE-813F-A763BE1A1FBF}"/>
    <cellStyle name="Percent 5 2 5" xfId="1230" xr:uid="{1EE6015F-A4FD-4328-8736-FF0B9AE69FA0}"/>
    <cellStyle name="Percent 5 3" xfId="1231" xr:uid="{AEECD6E3-FA5D-4C6F-8CB5-0D0E2F789421}"/>
    <cellStyle name="Percent 6" xfId="1232" xr:uid="{AF9F2C53-B389-4575-9298-AC02EB03680D}"/>
    <cellStyle name="Percent 6 2" xfId="1233" xr:uid="{39D92645-036C-43BC-A1A6-EE222703DC02}"/>
    <cellStyle name="Percent 6 3" xfId="1234" xr:uid="{E05176A6-0E7F-4CC1-9C2C-7348A47A1700}"/>
    <cellStyle name="Percent 6 4" xfId="1235" xr:uid="{55C9588D-6336-4A8E-92E2-F5F0BF165BD7}"/>
    <cellStyle name="Percent 7" xfId="1236" xr:uid="{866E529B-A5A1-40B3-B150-CAC02AFFD8C4}"/>
    <cellStyle name="Percent 7 2" xfId="1237" xr:uid="{FB3F9EC4-01BB-456C-AD7B-51A6BA4910E3}"/>
    <cellStyle name="Percent 7 2 2" xfId="1238" xr:uid="{6F2119FD-3727-4AB1-8F44-3A1CF3A9FDE1}"/>
    <cellStyle name="Percent 7 2 3" xfId="1239" xr:uid="{1B9C50FB-469B-4085-A72E-6734E399CDEC}"/>
    <cellStyle name="Percent 7 3" xfId="1240" xr:uid="{FBA38FED-E3EF-4E61-993B-9AA3C50AC41B}"/>
    <cellStyle name="Percent 7 4" xfId="1241" xr:uid="{1E54F642-965A-4B60-BE44-6BB075C182F1}"/>
    <cellStyle name="Percent 7 5" xfId="1242" xr:uid="{8F1E359C-66B2-4951-BF15-8529BDFFA45D}"/>
    <cellStyle name="Percent 8" xfId="1243" xr:uid="{DE86C43A-89FC-42BC-BBF3-40108184FDBA}"/>
    <cellStyle name="Percent 8 2" xfId="1244" xr:uid="{3EE45BB1-4552-4F2D-9CB6-427CE3734DA5}"/>
    <cellStyle name="Percent 8 3" xfId="1245" xr:uid="{DD77C7EC-5A2F-48ED-9CB4-19E9AF58D4DA}"/>
    <cellStyle name="Percent 8 4" xfId="1246" xr:uid="{A14C3D56-BDFD-49E5-9FD1-03048BF65116}"/>
    <cellStyle name="Percent 9" xfId="1247" xr:uid="{FB574B8A-A5AB-4DA0-B72E-38B175154F50}"/>
    <cellStyle name="Percent 9 2" xfId="1248" xr:uid="{0A2195B9-FC19-44CE-BFAF-FD54A4021D9A}"/>
    <cellStyle name="Pourcentage 2" xfId="1249" xr:uid="{6AAA7C0D-9A34-43C6-93E5-E35496FEAD68}"/>
    <cellStyle name="Pourcentage 2 2" xfId="1280" xr:uid="{257E6B5F-5915-4B0D-93B0-E697F8451890}"/>
    <cellStyle name="Section Break" xfId="1250" xr:uid="{890D6847-07B8-4827-A20A-7E2672B66E3E}"/>
    <cellStyle name="Section Break: parent row" xfId="1251" xr:uid="{2DEC9864-3697-4EE7-82E7-820058997C13}"/>
    <cellStyle name="Style 26" xfId="1252" xr:uid="{06C2CA2F-17B4-4DB1-A238-D56ABFF4D472}"/>
    <cellStyle name="Style 27" xfId="1253" xr:uid="{91C06C69-9F3C-4E6F-99E2-DAEAAE135E28}"/>
    <cellStyle name="Style 29" xfId="1254" xr:uid="{7B29E452-2391-4EE6-BBB5-D6502D4DC766}"/>
    <cellStyle name="Style 34" xfId="1255" xr:uid="{3DE60C6D-7FCE-4CC8-AB91-415A26C22DB2}"/>
    <cellStyle name="Style 35" xfId="1256" xr:uid="{5976E785-0206-451D-B647-DF1B6C9D3AD5}"/>
    <cellStyle name="Style 36" xfId="1257" xr:uid="{CB30996A-0E7D-4854-A61A-075F260E1A23}"/>
    <cellStyle name="Table title" xfId="1258" xr:uid="{C6F40916-0A42-4B42-8490-D504AE5C5756}"/>
    <cellStyle name="Title 2" xfId="1260" xr:uid="{F921E18B-D867-40B9-8006-879AF3A4331E}"/>
    <cellStyle name="Title 3" xfId="1259" xr:uid="{9FA0E617-A61D-413A-9997-7CA71B9F42F9}"/>
    <cellStyle name="Total" xfId="18" builtinId="25" customBuiltin="1"/>
    <cellStyle name="Total 2" xfId="1261" xr:uid="{C02310AC-9C11-4578-9971-F3D08A9C11D8}"/>
    <cellStyle name="Warning Text" xfId="16" builtinId="11" customBuiltin="1"/>
    <cellStyle name="Warning Text 2" xfId="1262" xr:uid="{48CA4029-05BD-4FF7-94CA-E0B50A53EA69}"/>
  </cellStyles>
  <dxfs count="16"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border>
        <left/>
        <right/>
        <top/>
        <bottom style="thick">
          <color theme="4"/>
        </bottom>
        <vertical/>
        <horizontal/>
      </border>
    </dxf>
    <dxf>
      <border>
        <left/>
        <right/>
        <top/>
        <bottom/>
        <vertical/>
        <horizontal style="dotted">
          <color theme="0" tint="-0.24994659260841701"/>
        </horizontal>
      </border>
    </dxf>
  </dxfs>
  <tableStyles count="1" defaultTableStyle="TableStyleMedium9" defaultPivotStyle="PivotStyleLight16">
    <tableStyle name="Table Style 1" pivot="0" count="2" xr9:uid="{D3D0AFBF-87E7-476E-B173-3836A0CB0C45}">
      <tableStyleElement type="wholeTable" dxfId="15"/>
      <tableStyleElement type="headerRow" dxfId="1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5.png"/><Relationship Id="rId1" Type="http://schemas.openxmlformats.org/officeDocument/2006/relationships/image" Target="../media/image64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55.emf"/><Relationship Id="rId2" Type="http://schemas.openxmlformats.org/officeDocument/2006/relationships/image" Target="../media/image54.emf"/><Relationship Id="rId1" Type="http://schemas.openxmlformats.org/officeDocument/2006/relationships/image" Target="../media/image53.emf"/><Relationship Id="rId4" Type="http://schemas.openxmlformats.org/officeDocument/2006/relationships/image" Target="../media/image56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9.emf"/><Relationship Id="rId7" Type="http://schemas.openxmlformats.org/officeDocument/2006/relationships/image" Target="../media/image63.emf"/><Relationship Id="rId2" Type="http://schemas.openxmlformats.org/officeDocument/2006/relationships/image" Target="../media/image58.emf"/><Relationship Id="rId1" Type="http://schemas.openxmlformats.org/officeDocument/2006/relationships/image" Target="../media/image57.emf"/><Relationship Id="rId6" Type="http://schemas.openxmlformats.org/officeDocument/2006/relationships/image" Target="../media/image62.emf"/><Relationship Id="rId5" Type="http://schemas.openxmlformats.org/officeDocument/2006/relationships/image" Target="../media/image61.emf"/><Relationship Id="rId4" Type="http://schemas.openxmlformats.org/officeDocument/2006/relationships/image" Target="../media/image60.emf"/></Relationships>
</file>

<file path=xl/drawings/_rels/vmlDrawing14.vml.rels><?xml version="1.0" encoding="UTF-8" standalone="yes"?>
<Relationships xmlns="http://schemas.openxmlformats.org/package/2006/relationships"><Relationship Id="rId3" Type="http://schemas.openxmlformats.org/officeDocument/2006/relationships/image" Target="../media/image68.emf"/><Relationship Id="rId2" Type="http://schemas.openxmlformats.org/officeDocument/2006/relationships/image" Target="../media/image67.emf"/><Relationship Id="rId1" Type="http://schemas.openxmlformats.org/officeDocument/2006/relationships/image" Target="../media/image66.emf"/><Relationship Id="rId6" Type="http://schemas.openxmlformats.org/officeDocument/2006/relationships/image" Target="../media/image71.emf"/><Relationship Id="rId5" Type="http://schemas.openxmlformats.org/officeDocument/2006/relationships/image" Target="../media/image70.emf"/><Relationship Id="rId4" Type="http://schemas.openxmlformats.org/officeDocument/2006/relationships/image" Target="../media/image69.emf"/></Relationships>
</file>

<file path=xl/drawings/_rels/vmlDrawing15.vml.rels><?xml version="1.0" encoding="UTF-8" standalone="yes"?>
<Relationships xmlns="http://schemas.openxmlformats.org/package/2006/relationships"><Relationship Id="rId3" Type="http://schemas.openxmlformats.org/officeDocument/2006/relationships/image" Target="../media/image74.emf"/><Relationship Id="rId2" Type="http://schemas.openxmlformats.org/officeDocument/2006/relationships/image" Target="../media/image73.emf"/><Relationship Id="rId1" Type="http://schemas.openxmlformats.org/officeDocument/2006/relationships/image" Target="../media/image72.emf"/><Relationship Id="rId6" Type="http://schemas.openxmlformats.org/officeDocument/2006/relationships/image" Target="../media/image77.emf"/><Relationship Id="rId5" Type="http://schemas.openxmlformats.org/officeDocument/2006/relationships/image" Target="../media/image76.emf"/><Relationship Id="rId4" Type="http://schemas.openxmlformats.org/officeDocument/2006/relationships/image" Target="../media/image75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7" Type="http://schemas.openxmlformats.org/officeDocument/2006/relationships/image" Target="../media/image13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6" Type="http://schemas.openxmlformats.org/officeDocument/2006/relationships/image" Target="../media/image12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21.emf"/><Relationship Id="rId3" Type="http://schemas.openxmlformats.org/officeDocument/2006/relationships/image" Target="../media/image16.emf"/><Relationship Id="rId7" Type="http://schemas.openxmlformats.org/officeDocument/2006/relationships/image" Target="../media/image20.emf"/><Relationship Id="rId2" Type="http://schemas.openxmlformats.org/officeDocument/2006/relationships/image" Target="../media/image15.emf"/><Relationship Id="rId1" Type="http://schemas.openxmlformats.org/officeDocument/2006/relationships/image" Target="../media/image14.emf"/><Relationship Id="rId6" Type="http://schemas.openxmlformats.org/officeDocument/2006/relationships/image" Target="../media/image19.emf"/><Relationship Id="rId5" Type="http://schemas.openxmlformats.org/officeDocument/2006/relationships/image" Target="../media/image18.emf"/><Relationship Id="rId4" Type="http://schemas.openxmlformats.org/officeDocument/2006/relationships/image" Target="../media/image1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4.emf"/><Relationship Id="rId2" Type="http://schemas.openxmlformats.org/officeDocument/2006/relationships/image" Target="../media/image23.emf"/><Relationship Id="rId1" Type="http://schemas.openxmlformats.org/officeDocument/2006/relationships/image" Target="../media/image22.emf"/><Relationship Id="rId5" Type="http://schemas.openxmlformats.org/officeDocument/2006/relationships/image" Target="../media/image26.emf"/><Relationship Id="rId4" Type="http://schemas.openxmlformats.org/officeDocument/2006/relationships/image" Target="../media/image25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9.emf"/><Relationship Id="rId2" Type="http://schemas.openxmlformats.org/officeDocument/2006/relationships/image" Target="../media/image28.emf"/><Relationship Id="rId1" Type="http://schemas.openxmlformats.org/officeDocument/2006/relationships/image" Target="../media/image27.emf"/><Relationship Id="rId5" Type="http://schemas.openxmlformats.org/officeDocument/2006/relationships/image" Target="../media/image31.emf"/><Relationship Id="rId4" Type="http://schemas.openxmlformats.org/officeDocument/2006/relationships/image" Target="../media/image30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4.emf"/><Relationship Id="rId2" Type="http://schemas.openxmlformats.org/officeDocument/2006/relationships/image" Target="../media/image33.emf"/><Relationship Id="rId1" Type="http://schemas.openxmlformats.org/officeDocument/2006/relationships/image" Target="../media/image32.emf"/><Relationship Id="rId4" Type="http://schemas.openxmlformats.org/officeDocument/2006/relationships/image" Target="../media/image35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8.emf"/><Relationship Id="rId2" Type="http://schemas.openxmlformats.org/officeDocument/2006/relationships/image" Target="../media/image37.emf"/><Relationship Id="rId1" Type="http://schemas.openxmlformats.org/officeDocument/2006/relationships/image" Target="../media/image36.emf"/><Relationship Id="rId5" Type="http://schemas.openxmlformats.org/officeDocument/2006/relationships/image" Target="../media/image40.emf"/><Relationship Id="rId4" Type="http://schemas.openxmlformats.org/officeDocument/2006/relationships/image" Target="../media/image39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3.emf"/><Relationship Id="rId7" Type="http://schemas.openxmlformats.org/officeDocument/2006/relationships/image" Target="../media/image47.emf"/><Relationship Id="rId2" Type="http://schemas.openxmlformats.org/officeDocument/2006/relationships/image" Target="../media/image42.emf"/><Relationship Id="rId1" Type="http://schemas.openxmlformats.org/officeDocument/2006/relationships/image" Target="../media/image41.emf"/><Relationship Id="rId6" Type="http://schemas.openxmlformats.org/officeDocument/2006/relationships/image" Target="../media/image46.emf"/><Relationship Id="rId5" Type="http://schemas.openxmlformats.org/officeDocument/2006/relationships/image" Target="../media/image45.emf"/><Relationship Id="rId4" Type="http://schemas.openxmlformats.org/officeDocument/2006/relationships/image" Target="../media/image44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50.emf"/><Relationship Id="rId2" Type="http://schemas.openxmlformats.org/officeDocument/2006/relationships/image" Target="../media/image49.emf"/><Relationship Id="rId1" Type="http://schemas.openxmlformats.org/officeDocument/2006/relationships/image" Target="../media/image48.emf"/><Relationship Id="rId5" Type="http://schemas.openxmlformats.org/officeDocument/2006/relationships/image" Target="../media/image52.emf"/><Relationship Id="rId4" Type="http://schemas.openxmlformats.org/officeDocument/2006/relationships/image" Target="../media/image5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8</xdr:row>
          <xdr:rowOff>0</xdr:rowOff>
        </xdr:from>
        <xdr:to>
          <xdr:col>3</xdr:col>
          <xdr:colOff>236220</xdr:colOff>
          <xdr:row>12</xdr:row>
          <xdr:rowOff>30480</xdr:rowOff>
        </xdr:to>
        <xdr:sp macro="" textlink="">
          <xdr:nvSpPr>
            <xdr:cNvPr id="12289" name="cmdUpdate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7620</xdr:rowOff>
        </xdr:from>
        <xdr:to>
          <xdr:col>3</xdr:col>
          <xdr:colOff>228600</xdr:colOff>
          <xdr:row>28</xdr:row>
          <xdr:rowOff>38100</xdr:rowOff>
        </xdr:to>
        <xdr:sp macro="" textlink="">
          <xdr:nvSpPr>
            <xdr:cNvPr id="12291" name="cmdAddNewAnswerSheet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</xdr:row>
          <xdr:rowOff>7620</xdr:rowOff>
        </xdr:from>
        <xdr:to>
          <xdr:col>3</xdr:col>
          <xdr:colOff>236220</xdr:colOff>
          <xdr:row>6</xdr:row>
          <xdr:rowOff>38100</xdr:rowOff>
        </xdr:to>
        <xdr:sp macro="" textlink="">
          <xdr:nvSpPr>
            <xdr:cNvPr id="12293" name="cmdCreateNewXLS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60960</xdr:colOff>
          <xdr:row>14</xdr:row>
          <xdr:rowOff>83820</xdr:rowOff>
        </xdr:from>
        <xdr:to>
          <xdr:col>3</xdr:col>
          <xdr:colOff>563880</xdr:colOff>
          <xdr:row>16</xdr:row>
          <xdr:rowOff>7620</xdr:rowOff>
        </xdr:to>
        <xdr:sp macro="" textlink="">
          <xdr:nvSpPr>
            <xdr:cNvPr id="12298" name="optSingleRegion" hidden="1">
              <a:extLst>
                <a:ext uri="{63B3BB69-23CF-44E3-9099-C40C66FF867C}">
                  <a14:compatExt spid="_x0000_s12298"/>
                </a:ext>
                <a:ext uri="{FF2B5EF4-FFF2-40B4-BE49-F238E27FC236}">
                  <a16:creationId xmlns:a16="http://schemas.microsoft.com/office/drawing/2014/main" id="{00000000-0008-0000-0000-00000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60960</xdr:colOff>
          <xdr:row>16</xdr:row>
          <xdr:rowOff>60960</xdr:rowOff>
        </xdr:from>
        <xdr:to>
          <xdr:col>3</xdr:col>
          <xdr:colOff>571500</xdr:colOff>
          <xdr:row>18</xdr:row>
          <xdr:rowOff>83820</xdr:rowOff>
        </xdr:to>
        <xdr:sp macro="" textlink="">
          <xdr:nvSpPr>
            <xdr:cNvPr id="12299" name="optMultiRegionNotCommon" hidden="1">
              <a:extLst>
                <a:ext uri="{63B3BB69-23CF-44E3-9099-C40C66FF867C}">
                  <a14:compatExt spid="_x0000_s12299"/>
                </a:ext>
                <a:ext uri="{FF2B5EF4-FFF2-40B4-BE49-F238E27FC236}">
                  <a16:creationId xmlns:a16="http://schemas.microsoft.com/office/drawing/2014/main" id="{00000000-0008-0000-0000-00000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60960</xdr:colOff>
          <xdr:row>19</xdr:row>
          <xdr:rowOff>22860</xdr:rowOff>
        </xdr:from>
        <xdr:to>
          <xdr:col>3</xdr:col>
          <xdr:colOff>563880</xdr:colOff>
          <xdr:row>21</xdr:row>
          <xdr:rowOff>45720</xdr:rowOff>
        </xdr:to>
        <xdr:sp macro="" textlink="">
          <xdr:nvSpPr>
            <xdr:cNvPr id="12300" name="optMultiRegionCommon" hidden="1">
              <a:extLst>
                <a:ext uri="{63B3BB69-23CF-44E3-9099-C40C66FF867C}">
                  <a14:compatExt spid="_x0000_s12300"/>
                </a:ext>
                <a:ext uri="{FF2B5EF4-FFF2-40B4-BE49-F238E27FC236}">
                  <a16:creationId xmlns:a16="http://schemas.microsoft.com/office/drawing/2014/main" id="{00000000-0008-0000-0000-00000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</xdr:colOff>
          <xdr:row>4</xdr:row>
          <xdr:rowOff>22860</xdr:rowOff>
        </xdr:from>
        <xdr:to>
          <xdr:col>4</xdr:col>
          <xdr:colOff>990600</xdr:colOff>
          <xdr:row>5</xdr:row>
          <xdr:rowOff>45720</xdr:rowOff>
        </xdr:to>
        <xdr:sp macro="" textlink="">
          <xdr:nvSpPr>
            <xdr:cNvPr id="60417" name="cmdConstraintSets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0B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</xdr:row>
          <xdr:rowOff>0</xdr:rowOff>
        </xdr:from>
        <xdr:to>
          <xdr:col>0</xdr:col>
          <xdr:colOff>792480</xdr:colOff>
          <xdr:row>4</xdr:row>
          <xdr:rowOff>0</xdr:rowOff>
        </xdr:to>
        <xdr:sp macro="" textlink="">
          <xdr:nvSpPr>
            <xdr:cNvPr id="60418" name="cmdCheckConstraintsSheet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0B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4</xdr:row>
          <xdr:rowOff>7620</xdr:rowOff>
        </xdr:from>
        <xdr:to>
          <xdr:col>3</xdr:col>
          <xdr:colOff>571500</xdr:colOff>
          <xdr:row>5</xdr:row>
          <xdr:rowOff>38100</xdr:rowOff>
        </xdr:to>
        <xdr:sp macro="" textlink="">
          <xdr:nvSpPr>
            <xdr:cNvPr id="60419" name="cmdConstraintUnit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0B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2</xdr:row>
          <xdr:rowOff>45720</xdr:rowOff>
        </xdr:from>
        <xdr:to>
          <xdr:col>3</xdr:col>
          <xdr:colOff>571500</xdr:colOff>
          <xdr:row>4</xdr:row>
          <xdr:rowOff>7620</xdr:rowOff>
        </xdr:to>
        <xdr:sp macro="" textlink="">
          <xdr:nvSpPr>
            <xdr:cNvPr id="60420" name="cmdRefreshUnits" hidden="1">
              <a:extLst>
                <a:ext uri="{63B3BB69-23CF-44E3-9099-C40C66FF867C}">
                  <a14:compatExt spid="_x0000_s60420"/>
                </a:ext>
                <a:ext uri="{FF2B5EF4-FFF2-40B4-BE49-F238E27FC236}">
                  <a16:creationId xmlns:a16="http://schemas.microsoft.com/office/drawing/2014/main" id="{00000000-0008-0000-0B00-000004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1562100</xdr:colOff>
          <xdr:row>4</xdr:row>
          <xdr:rowOff>7620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C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2</xdr:row>
          <xdr:rowOff>144780</xdr:rowOff>
        </xdr:from>
        <xdr:to>
          <xdr:col>4</xdr:col>
          <xdr:colOff>601980</xdr:colOff>
          <xdr:row>4</xdr:row>
          <xdr:rowOff>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C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</xdr:colOff>
          <xdr:row>2</xdr:row>
          <xdr:rowOff>144780</xdr:rowOff>
        </xdr:from>
        <xdr:to>
          <xdr:col>5</xdr:col>
          <xdr:colOff>708660</xdr:colOff>
          <xdr:row>4</xdr:row>
          <xdr:rowOff>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C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</xdr:row>
          <xdr:rowOff>198120</xdr:rowOff>
        </xdr:from>
        <xdr:to>
          <xdr:col>0</xdr:col>
          <xdr:colOff>693420</xdr:colOff>
          <xdr:row>5</xdr:row>
          <xdr:rowOff>0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C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</xdr:row>
          <xdr:rowOff>7620</xdr:rowOff>
        </xdr:from>
        <xdr:to>
          <xdr:col>1</xdr:col>
          <xdr:colOff>7620</xdr:colOff>
          <xdr:row>6</xdr:row>
          <xdr:rowOff>30480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C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152400</xdr:rowOff>
        </xdr:from>
        <xdr:to>
          <xdr:col>1</xdr:col>
          <xdr:colOff>7620</xdr:colOff>
          <xdr:row>4</xdr:row>
          <xdr:rowOff>7620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C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22860</xdr:rowOff>
        </xdr:from>
        <xdr:to>
          <xdr:col>4</xdr:col>
          <xdr:colOff>7620</xdr:colOff>
          <xdr:row>4</xdr:row>
          <xdr:rowOff>7620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C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595311</xdr:colOff>
      <xdr:row>30</xdr:row>
      <xdr:rowOff>1</xdr:rowOff>
    </xdr:from>
    <xdr:to>
      <xdr:col>29</xdr:col>
      <xdr:colOff>154781</xdr:colOff>
      <xdr:row>58</xdr:row>
      <xdr:rowOff>93822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54236" y="4857751"/>
          <a:ext cx="5045870" cy="4641056"/>
        </a:xfrm>
        <a:prstGeom prst="rect">
          <a:avLst/>
        </a:prstGeom>
      </xdr:spPr>
    </xdr:pic>
    <xdr:clientData/>
  </xdr:twoCellAnchor>
  <xdr:twoCellAnchor editAs="oneCell">
    <xdr:from>
      <xdr:col>20</xdr:col>
      <xdr:colOff>154780</xdr:colOff>
      <xdr:row>0</xdr:row>
      <xdr:rowOff>35718</xdr:rowOff>
    </xdr:from>
    <xdr:to>
      <xdr:col>29</xdr:col>
      <xdr:colOff>398384</xdr:colOff>
      <xdr:row>27</xdr:row>
      <xdr:rowOff>131345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13705" y="35718"/>
          <a:ext cx="5726194" cy="4471412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3</xdr:row>
          <xdr:rowOff>0</xdr:rowOff>
        </xdr:from>
        <xdr:to>
          <xdr:col>2</xdr:col>
          <xdr:colOff>998220</xdr:colOff>
          <xdr:row>4</xdr:row>
          <xdr:rowOff>22860</xdr:rowOff>
        </xdr:to>
        <xdr:sp macro="" textlink="">
          <xdr:nvSpPr>
            <xdr:cNvPr id="69633" name="cmdConstrNameAndDesc" hidden="1">
              <a:extLst>
                <a:ext uri="{63B3BB69-23CF-44E3-9099-C40C66FF867C}">
                  <a14:compatExt spid="_x0000_s69633"/>
                </a:ext>
                <a:ext uri="{FF2B5EF4-FFF2-40B4-BE49-F238E27FC236}">
                  <a16:creationId xmlns:a16="http://schemas.microsoft.com/office/drawing/2014/main" id="{00000000-0008-0000-1600-000001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655320</xdr:colOff>
          <xdr:row>4</xdr:row>
          <xdr:rowOff>30480</xdr:rowOff>
        </xdr:to>
        <xdr:sp macro="" textlink="">
          <xdr:nvSpPr>
            <xdr:cNvPr id="69634" name="cmdTechName" hidden="1">
              <a:extLst>
                <a:ext uri="{63B3BB69-23CF-44E3-9099-C40C66FF867C}">
                  <a14:compatExt spid="_x0000_s69634"/>
                </a:ext>
                <a:ext uri="{FF2B5EF4-FFF2-40B4-BE49-F238E27FC236}">
                  <a16:creationId xmlns:a16="http://schemas.microsoft.com/office/drawing/2014/main" id="{00000000-0008-0000-1600-000002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4</xdr:row>
          <xdr:rowOff>0</xdr:rowOff>
        </xdr:from>
        <xdr:to>
          <xdr:col>0</xdr:col>
          <xdr:colOff>693420</xdr:colOff>
          <xdr:row>5</xdr:row>
          <xdr:rowOff>7620</xdr:rowOff>
        </xdr:to>
        <xdr:sp macro="" textlink="">
          <xdr:nvSpPr>
            <xdr:cNvPr id="69635" name="cmdAddParameter" hidden="1">
              <a:extLst>
                <a:ext uri="{63B3BB69-23CF-44E3-9099-C40C66FF867C}">
                  <a14:compatExt spid="_x0000_s69635"/>
                </a:ext>
                <a:ext uri="{FF2B5EF4-FFF2-40B4-BE49-F238E27FC236}">
                  <a16:creationId xmlns:a16="http://schemas.microsoft.com/office/drawing/2014/main" id="{00000000-0008-0000-1600-000003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152400</xdr:rowOff>
        </xdr:from>
        <xdr:to>
          <xdr:col>1</xdr:col>
          <xdr:colOff>0</xdr:colOff>
          <xdr:row>4</xdr:row>
          <xdr:rowOff>7620</xdr:rowOff>
        </xdr:to>
        <xdr:sp macro="" textlink="">
          <xdr:nvSpPr>
            <xdr:cNvPr id="69636" name="cmdCheckConstrDataSheet" hidden="1">
              <a:extLst>
                <a:ext uri="{63B3BB69-23CF-44E3-9099-C40C66FF867C}">
                  <a14:compatExt spid="_x0000_s69636"/>
                </a:ext>
                <a:ext uri="{FF2B5EF4-FFF2-40B4-BE49-F238E27FC236}">
                  <a16:creationId xmlns:a16="http://schemas.microsoft.com/office/drawing/2014/main" id="{00000000-0008-0000-1600-000004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</xdr:row>
          <xdr:rowOff>0</xdr:rowOff>
        </xdr:from>
        <xdr:to>
          <xdr:col>0</xdr:col>
          <xdr:colOff>693420</xdr:colOff>
          <xdr:row>6</xdr:row>
          <xdr:rowOff>30480</xdr:rowOff>
        </xdr:to>
        <xdr:sp macro="" textlink="">
          <xdr:nvSpPr>
            <xdr:cNvPr id="69637" name="cmdAddParamQualifier" hidden="1">
              <a:extLst>
                <a:ext uri="{63B3BB69-23CF-44E3-9099-C40C66FF867C}">
                  <a14:compatExt spid="_x0000_s69637"/>
                </a:ext>
                <a:ext uri="{FF2B5EF4-FFF2-40B4-BE49-F238E27FC236}">
                  <a16:creationId xmlns:a16="http://schemas.microsoft.com/office/drawing/2014/main" id="{00000000-0008-0000-1600-000005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1013460</xdr:colOff>
          <xdr:row>2</xdr:row>
          <xdr:rowOff>30480</xdr:rowOff>
        </xdr:from>
        <xdr:to>
          <xdr:col>3</xdr:col>
          <xdr:colOff>365760</xdr:colOff>
          <xdr:row>4</xdr:row>
          <xdr:rowOff>22860</xdr:rowOff>
        </xdr:to>
        <xdr:sp macro="" textlink="">
          <xdr:nvSpPr>
            <xdr:cNvPr id="69638" name="cmdRefreshUnits" hidden="1">
              <a:extLst>
                <a:ext uri="{63B3BB69-23CF-44E3-9099-C40C66FF867C}">
                  <a14:compatExt spid="_x0000_s69638"/>
                </a:ext>
                <a:ext uri="{FF2B5EF4-FFF2-40B4-BE49-F238E27FC236}">
                  <a16:creationId xmlns:a16="http://schemas.microsoft.com/office/drawing/2014/main" id="{00000000-0008-0000-1600-000006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3</xdr:row>
          <xdr:rowOff>0</xdr:rowOff>
        </xdr:from>
        <xdr:to>
          <xdr:col>2</xdr:col>
          <xdr:colOff>998220</xdr:colOff>
          <xdr:row>4</xdr:row>
          <xdr:rowOff>22860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17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655320</xdr:colOff>
          <xdr:row>4</xdr:row>
          <xdr:rowOff>30480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17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4</xdr:row>
          <xdr:rowOff>0</xdr:rowOff>
        </xdr:from>
        <xdr:to>
          <xdr:col>0</xdr:col>
          <xdr:colOff>693420</xdr:colOff>
          <xdr:row>5</xdr:row>
          <xdr:rowOff>7620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17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152400</xdr:rowOff>
        </xdr:from>
        <xdr:to>
          <xdr:col>1</xdr:col>
          <xdr:colOff>0</xdr:colOff>
          <xdr:row>4</xdr:row>
          <xdr:rowOff>7620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17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</xdr:row>
          <xdr:rowOff>0</xdr:rowOff>
        </xdr:from>
        <xdr:to>
          <xdr:col>0</xdr:col>
          <xdr:colOff>693420</xdr:colOff>
          <xdr:row>6</xdr:row>
          <xdr:rowOff>30480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17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1013460</xdr:colOff>
          <xdr:row>2</xdr:row>
          <xdr:rowOff>30480</xdr:rowOff>
        </xdr:from>
        <xdr:to>
          <xdr:col>3</xdr:col>
          <xdr:colOff>365760</xdr:colOff>
          <xdr:row>4</xdr:row>
          <xdr:rowOff>22860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17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3</xdr:row>
          <xdr:rowOff>99060</xdr:rowOff>
        </xdr:from>
        <xdr:to>
          <xdr:col>4</xdr:col>
          <xdr:colOff>982980</xdr:colOff>
          <xdr:row>4</xdr:row>
          <xdr:rowOff>121920</xdr:rowOff>
        </xdr:to>
        <xdr:sp macro="" textlink="">
          <xdr:nvSpPr>
            <xdr:cNvPr id="55297" name="cmdEnergySets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1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4</xdr:row>
          <xdr:rowOff>175260</xdr:rowOff>
        </xdr:from>
        <xdr:to>
          <xdr:col>4</xdr:col>
          <xdr:colOff>982980</xdr:colOff>
          <xdr:row>6</xdr:row>
          <xdr:rowOff>0</xdr:rowOff>
        </xdr:to>
        <xdr:sp macro="" textlink="">
          <xdr:nvSpPr>
            <xdr:cNvPr id="55298" name="cmdDemandSets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0000000-0008-0000-0100-000002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4</xdr:row>
          <xdr:rowOff>175260</xdr:rowOff>
        </xdr:from>
        <xdr:to>
          <xdr:col>4</xdr:col>
          <xdr:colOff>1973580</xdr:colOff>
          <xdr:row>6</xdr:row>
          <xdr:rowOff>0</xdr:rowOff>
        </xdr:to>
        <xdr:sp macro="" textlink="">
          <xdr:nvSpPr>
            <xdr:cNvPr id="55299" name="cmdEmissionSets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00000000-0008-0000-0100-000003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3</xdr:row>
          <xdr:rowOff>99060</xdr:rowOff>
        </xdr:from>
        <xdr:to>
          <xdr:col>4</xdr:col>
          <xdr:colOff>1973580</xdr:colOff>
          <xdr:row>4</xdr:row>
          <xdr:rowOff>121920</xdr:rowOff>
        </xdr:to>
        <xdr:sp macro="" textlink="">
          <xdr:nvSpPr>
            <xdr:cNvPr id="55300" name="cmdMaterialSets" hidden="1">
              <a:extLst>
                <a:ext uri="{63B3BB69-23CF-44E3-9099-C40C66FF867C}">
                  <a14:compatExt spid="_x0000_s55300"/>
                </a:ext>
                <a:ext uri="{FF2B5EF4-FFF2-40B4-BE49-F238E27FC236}">
                  <a16:creationId xmlns:a16="http://schemas.microsoft.com/office/drawing/2014/main" id="{00000000-0008-0000-0100-000004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144780</xdr:rowOff>
        </xdr:from>
        <xdr:to>
          <xdr:col>0</xdr:col>
          <xdr:colOff>830580</xdr:colOff>
          <xdr:row>4</xdr:row>
          <xdr:rowOff>0</xdr:rowOff>
        </xdr:to>
        <xdr:sp macro="" textlink="">
          <xdr:nvSpPr>
            <xdr:cNvPr id="55301" name="cmdCheckCommoditiesSheet" hidden="1">
              <a:extLst>
                <a:ext uri="{63B3BB69-23CF-44E3-9099-C40C66FF867C}">
                  <a14:compatExt spid="_x0000_s55301"/>
                </a:ext>
                <a:ext uri="{FF2B5EF4-FFF2-40B4-BE49-F238E27FC236}">
                  <a16:creationId xmlns:a16="http://schemas.microsoft.com/office/drawing/2014/main" id="{00000000-0008-0000-0100-000005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4</xdr:row>
          <xdr:rowOff>175260</xdr:rowOff>
        </xdr:from>
        <xdr:to>
          <xdr:col>3</xdr:col>
          <xdr:colOff>678180</xdr:colOff>
          <xdr:row>6</xdr:row>
          <xdr:rowOff>0</xdr:rowOff>
        </xdr:to>
        <xdr:sp macro="" textlink="">
          <xdr:nvSpPr>
            <xdr:cNvPr id="55302" name="cmdCommUnit" hidden="1">
              <a:extLst>
                <a:ext uri="{63B3BB69-23CF-44E3-9099-C40C66FF867C}">
                  <a14:compatExt spid="_x0000_s55302"/>
                </a:ext>
                <a:ext uri="{FF2B5EF4-FFF2-40B4-BE49-F238E27FC236}">
                  <a16:creationId xmlns:a16="http://schemas.microsoft.com/office/drawing/2014/main" id="{00000000-0008-0000-0100-000006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68580</xdr:colOff>
          <xdr:row>2</xdr:row>
          <xdr:rowOff>114300</xdr:rowOff>
        </xdr:from>
        <xdr:to>
          <xdr:col>3</xdr:col>
          <xdr:colOff>617220</xdr:colOff>
          <xdr:row>4</xdr:row>
          <xdr:rowOff>106680</xdr:rowOff>
        </xdr:to>
        <xdr:sp macro="" textlink="">
          <xdr:nvSpPr>
            <xdr:cNvPr id="55303" name="cmdRefreshUnits" hidden="1">
              <a:extLst>
                <a:ext uri="{63B3BB69-23CF-44E3-9099-C40C66FF867C}">
                  <a14:compatExt spid="_x0000_s55303"/>
                </a:ext>
                <a:ext uri="{FF2B5EF4-FFF2-40B4-BE49-F238E27FC236}">
                  <a16:creationId xmlns:a16="http://schemas.microsoft.com/office/drawing/2014/main" id="{00000000-0008-0000-0100-000007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3</xdr:row>
          <xdr:rowOff>99060</xdr:rowOff>
        </xdr:from>
        <xdr:to>
          <xdr:col>4</xdr:col>
          <xdr:colOff>982980</xdr:colOff>
          <xdr:row>4</xdr:row>
          <xdr:rowOff>121920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4</xdr:row>
          <xdr:rowOff>175260</xdr:rowOff>
        </xdr:from>
        <xdr:to>
          <xdr:col>4</xdr:col>
          <xdr:colOff>982980</xdr:colOff>
          <xdr:row>6</xdr:row>
          <xdr:rowOff>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4</xdr:row>
          <xdr:rowOff>175260</xdr:rowOff>
        </xdr:from>
        <xdr:to>
          <xdr:col>4</xdr:col>
          <xdr:colOff>1973580</xdr:colOff>
          <xdr:row>6</xdr:row>
          <xdr:rowOff>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3</xdr:row>
          <xdr:rowOff>99060</xdr:rowOff>
        </xdr:from>
        <xdr:to>
          <xdr:col>4</xdr:col>
          <xdr:colOff>1973580</xdr:colOff>
          <xdr:row>4</xdr:row>
          <xdr:rowOff>121920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144780</xdr:rowOff>
        </xdr:from>
        <xdr:to>
          <xdr:col>0</xdr:col>
          <xdr:colOff>830580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4</xdr:row>
          <xdr:rowOff>175260</xdr:rowOff>
        </xdr:from>
        <xdr:to>
          <xdr:col>3</xdr:col>
          <xdr:colOff>678180</xdr:colOff>
          <xdr:row>6</xdr:row>
          <xdr:rowOff>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68580</xdr:colOff>
          <xdr:row>2</xdr:row>
          <xdr:rowOff>114300</xdr:rowOff>
        </xdr:from>
        <xdr:to>
          <xdr:col>3</xdr:col>
          <xdr:colOff>617220</xdr:colOff>
          <xdr:row>4</xdr:row>
          <xdr:rowOff>106680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541020</xdr:colOff>
          <xdr:row>2</xdr:row>
          <xdr:rowOff>0</xdr:rowOff>
        </xdr:from>
        <xdr:to>
          <xdr:col>4</xdr:col>
          <xdr:colOff>1516380</xdr:colOff>
          <xdr:row>3</xdr:row>
          <xdr:rowOff>68580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</xdr:colOff>
          <xdr:row>4</xdr:row>
          <xdr:rowOff>22860</xdr:rowOff>
        </xdr:from>
        <xdr:to>
          <xdr:col>5</xdr:col>
          <xdr:colOff>1821180</xdr:colOff>
          <xdr:row>5</xdr:row>
          <xdr:rowOff>83820</xdr:rowOff>
        </xdr:to>
        <xdr:sp macro="" textlink="">
          <xdr:nvSpPr>
            <xdr:cNvPr id="57345" name="cmdTechnologySets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4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57346" name="cmdCheckTechnologiesSheet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4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4</xdr:row>
          <xdr:rowOff>22860</xdr:rowOff>
        </xdr:from>
        <xdr:to>
          <xdr:col>3</xdr:col>
          <xdr:colOff>647700</xdr:colOff>
          <xdr:row>5</xdr:row>
          <xdr:rowOff>83820</xdr:rowOff>
        </xdr:to>
        <xdr:sp macro="" textlink="">
          <xdr:nvSpPr>
            <xdr:cNvPr id="57347" name="cmdTACTUnit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0000000-0008-0000-0400-000003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4</xdr:row>
          <xdr:rowOff>22860</xdr:rowOff>
        </xdr:from>
        <xdr:to>
          <xdr:col>4</xdr:col>
          <xdr:colOff>647700</xdr:colOff>
          <xdr:row>5</xdr:row>
          <xdr:rowOff>83820</xdr:rowOff>
        </xdr:to>
        <xdr:sp macro="" textlink="">
          <xdr:nvSpPr>
            <xdr:cNvPr id="57348" name="cmdTCAPUnit" hidden="1">
              <a:extLst>
                <a:ext uri="{63B3BB69-23CF-44E3-9099-C40C66FF867C}">
                  <a14:compatExt spid="_x0000_s57348"/>
                </a:ext>
                <a:ext uri="{FF2B5EF4-FFF2-40B4-BE49-F238E27FC236}">
                  <a16:creationId xmlns:a16="http://schemas.microsoft.com/office/drawing/2014/main" id="{00000000-0008-0000-0400-000004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266700</xdr:colOff>
          <xdr:row>3</xdr:row>
          <xdr:rowOff>182880</xdr:rowOff>
        </xdr:to>
        <xdr:sp macro="" textlink="">
          <xdr:nvSpPr>
            <xdr:cNvPr id="57349" name="cmdRefreshUnits" hidden="1">
              <a:extLst>
                <a:ext uri="{63B3BB69-23CF-44E3-9099-C40C66FF867C}">
                  <a14:compatExt spid="_x0000_s57349"/>
                </a:ext>
                <a:ext uri="{FF2B5EF4-FFF2-40B4-BE49-F238E27FC236}">
                  <a16:creationId xmlns:a16="http://schemas.microsoft.com/office/drawing/2014/main" id="{00000000-0008-0000-0400-000005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</xdr:colOff>
          <xdr:row>4</xdr:row>
          <xdr:rowOff>22860</xdr:rowOff>
        </xdr:from>
        <xdr:to>
          <xdr:col>5</xdr:col>
          <xdr:colOff>1821180</xdr:colOff>
          <xdr:row>5</xdr:row>
          <xdr:rowOff>83820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5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5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4</xdr:row>
          <xdr:rowOff>22860</xdr:rowOff>
        </xdr:from>
        <xdr:to>
          <xdr:col>3</xdr:col>
          <xdr:colOff>647700</xdr:colOff>
          <xdr:row>5</xdr:row>
          <xdr:rowOff>83820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5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4</xdr:row>
          <xdr:rowOff>22860</xdr:rowOff>
        </xdr:from>
        <xdr:to>
          <xdr:col>4</xdr:col>
          <xdr:colOff>647700</xdr:colOff>
          <xdr:row>5</xdr:row>
          <xdr:rowOff>83820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5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266700</xdr:colOff>
          <xdr:row>3</xdr:row>
          <xdr:rowOff>182880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5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</xdr:colOff>
          <xdr:row>4</xdr:row>
          <xdr:rowOff>22860</xdr:rowOff>
        </xdr:from>
        <xdr:to>
          <xdr:col>4</xdr:col>
          <xdr:colOff>990600</xdr:colOff>
          <xdr:row>5</xdr:row>
          <xdr:rowOff>45720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6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</xdr:row>
          <xdr:rowOff>0</xdr:rowOff>
        </xdr:from>
        <xdr:to>
          <xdr:col>0</xdr:col>
          <xdr:colOff>792480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6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4</xdr:row>
          <xdr:rowOff>7620</xdr:rowOff>
        </xdr:from>
        <xdr:to>
          <xdr:col>3</xdr:col>
          <xdr:colOff>571500</xdr:colOff>
          <xdr:row>5</xdr:row>
          <xdr:rowOff>38100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6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2</xdr:row>
          <xdr:rowOff>45720</xdr:rowOff>
        </xdr:from>
        <xdr:to>
          <xdr:col>3</xdr:col>
          <xdr:colOff>571500</xdr:colOff>
          <xdr:row>4</xdr:row>
          <xdr:rowOff>7620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6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4</xdr:row>
          <xdr:rowOff>7620</xdr:rowOff>
        </xdr:from>
        <xdr:to>
          <xdr:col>0</xdr:col>
          <xdr:colOff>693420</xdr:colOff>
          <xdr:row>5</xdr:row>
          <xdr:rowOff>0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7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22860</xdr:rowOff>
        </xdr:from>
        <xdr:to>
          <xdr:col>2</xdr:col>
          <xdr:colOff>1394460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7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</xdr:row>
          <xdr:rowOff>0</xdr:rowOff>
        </xdr:from>
        <xdr:to>
          <xdr:col>0</xdr:col>
          <xdr:colOff>693420</xdr:colOff>
          <xdr:row>5</xdr:row>
          <xdr:rowOff>236220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7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</xdr:row>
          <xdr:rowOff>22860</xdr:rowOff>
        </xdr:from>
        <xdr:to>
          <xdr:col>0</xdr:col>
          <xdr:colOff>693420</xdr:colOff>
          <xdr:row>4</xdr:row>
          <xdr:rowOff>7620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7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312420</xdr:colOff>
          <xdr:row>4</xdr:row>
          <xdr:rowOff>7620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7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1562100</xdr:colOff>
          <xdr:row>4</xdr:row>
          <xdr:rowOff>7620</xdr:rowOff>
        </xdr:to>
        <xdr:sp macro="" textlink="">
          <xdr:nvSpPr>
            <xdr:cNvPr id="62465" name="cmdTechNameAndDesc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09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2</xdr:row>
          <xdr:rowOff>144780</xdr:rowOff>
        </xdr:from>
        <xdr:to>
          <xdr:col>4</xdr:col>
          <xdr:colOff>601980</xdr:colOff>
          <xdr:row>4</xdr:row>
          <xdr:rowOff>0</xdr:rowOff>
        </xdr:to>
        <xdr:sp macro="" textlink="">
          <xdr:nvSpPr>
            <xdr:cNvPr id="62466" name="cmdCommIN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09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</xdr:colOff>
          <xdr:row>2</xdr:row>
          <xdr:rowOff>144780</xdr:rowOff>
        </xdr:from>
        <xdr:to>
          <xdr:col>5</xdr:col>
          <xdr:colOff>708660</xdr:colOff>
          <xdr:row>4</xdr:row>
          <xdr:rowOff>0</xdr:rowOff>
        </xdr:to>
        <xdr:sp macro="" textlink="">
          <xdr:nvSpPr>
            <xdr:cNvPr id="62467" name="cmdCommOUT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09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</xdr:row>
          <xdr:rowOff>198120</xdr:rowOff>
        </xdr:from>
        <xdr:to>
          <xdr:col>0</xdr:col>
          <xdr:colOff>693420</xdr:colOff>
          <xdr:row>5</xdr:row>
          <xdr:rowOff>0</xdr:rowOff>
        </xdr:to>
        <xdr:sp macro="" textlink="">
          <xdr:nvSpPr>
            <xdr:cNvPr id="62468" name="cmdAddParameter" hidden="1">
              <a:extLst>
                <a:ext uri="{63B3BB69-23CF-44E3-9099-C40C66FF867C}">
                  <a14:compatExt spid="_x0000_s62468"/>
                </a:ext>
                <a:ext uri="{FF2B5EF4-FFF2-40B4-BE49-F238E27FC236}">
                  <a16:creationId xmlns:a16="http://schemas.microsoft.com/office/drawing/2014/main" id="{00000000-0008-0000-0900-000004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</xdr:row>
          <xdr:rowOff>7620</xdr:rowOff>
        </xdr:from>
        <xdr:to>
          <xdr:col>1</xdr:col>
          <xdr:colOff>7620</xdr:colOff>
          <xdr:row>6</xdr:row>
          <xdr:rowOff>30480</xdr:rowOff>
        </xdr:to>
        <xdr:sp macro="" textlink="">
          <xdr:nvSpPr>
            <xdr:cNvPr id="62469" name="cmdAddParamQualifier" hidden="1">
              <a:extLst>
                <a:ext uri="{63B3BB69-23CF-44E3-9099-C40C66FF867C}">
                  <a14:compatExt spid="_x0000_s62469"/>
                </a:ext>
                <a:ext uri="{FF2B5EF4-FFF2-40B4-BE49-F238E27FC236}">
                  <a16:creationId xmlns:a16="http://schemas.microsoft.com/office/drawing/2014/main" id="{00000000-0008-0000-0900-000005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152400</xdr:rowOff>
        </xdr:from>
        <xdr:to>
          <xdr:col>1</xdr:col>
          <xdr:colOff>7620</xdr:colOff>
          <xdr:row>4</xdr:row>
          <xdr:rowOff>7620</xdr:rowOff>
        </xdr:to>
        <xdr:sp macro="" textlink="">
          <xdr:nvSpPr>
            <xdr:cNvPr id="62470" name="cmdCheckTechDataSheet" hidden="1">
              <a:extLst>
                <a:ext uri="{63B3BB69-23CF-44E3-9099-C40C66FF867C}">
                  <a14:compatExt spid="_x0000_s62470"/>
                </a:ext>
                <a:ext uri="{FF2B5EF4-FFF2-40B4-BE49-F238E27FC236}">
                  <a16:creationId xmlns:a16="http://schemas.microsoft.com/office/drawing/2014/main" id="{00000000-0008-0000-0900-000006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22860</xdr:rowOff>
        </xdr:from>
        <xdr:to>
          <xdr:col>4</xdr:col>
          <xdr:colOff>7620</xdr:colOff>
          <xdr:row>4</xdr:row>
          <xdr:rowOff>7620</xdr:rowOff>
        </xdr:to>
        <xdr:sp macro="" textlink="">
          <xdr:nvSpPr>
            <xdr:cNvPr id="62471" name="cmdRefreshUnits" hidden="1">
              <a:extLst>
                <a:ext uri="{63B3BB69-23CF-44E3-9099-C40C66FF867C}">
                  <a14:compatExt spid="_x0000_s62471"/>
                </a:ext>
                <a:ext uri="{FF2B5EF4-FFF2-40B4-BE49-F238E27FC236}">
                  <a16:creationId xmlns:a16="http://schemas.microsoft.com/office/drawing/2014/main" id="{00000000-0008-0000-0900-000007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4</xdr:row>
          <xdr:rowOff>7620</xdr:rowOff>
        </xdr:from>
        <xdr:to>
          <xdr:col>0</xdr:col>
          <xdr:colOff>693420</xdr:colOff>
          <xdr:row>5</xdr:row>
          <xdr:rowOff>0</xdr:rowOff>
        </xdr:to>
        <xdr:sp macro="" textlink="">
          <xdr:nvSpPr>
            <xdr:cNvPr id="61441" name="cmdAddParameter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0A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22860</xdr:rowOff>
        </xdr:from>
        <xdr:to>
          <xdr:col>2</xdr:col>
          <xdr:colOff>1394460</xdr:colOff>
          <xdr:row>4</xdr:row>
          <xdr:rowOff>0</xdr:rowOff>
        </xdr:to>
        <xdr:sp macro="" textlink="">
          <xdr:nvSpPr>
            <xdr:cNvPr id="61442" name="cmdCommNameAndDesc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0A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</xdr:row>
          <xdr:rowOff>0</xdr:rowOff>
        </xdr:from>
        <xdr:to>
          <xdr:col>0</xdr:col>
          <xdr:colOff>693420</xdr:colOff>
          <xdr:row>5</xdr:row>
          <xdr:rowOff>236220</xdr:rowOff>
        </xdr:to>
        <xdr:sp macro="" textlink="">
          <xdr:nvSpPr>
            <xdr:cNvPr id="61443" name="cmdAddParamQualifier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0A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</xdr:row>
          <xdr:rowOff>22860</xdr:rowOff>
        </xdr:from>
        <xdr:to>
          <xdr:col>0</xdr:col>
          <xdr:colOff>693420</xdr:colOff>
          <xdr:row>4</xdr:row>
          <xdr:rowOff>7620</xdr:rowOff>
        </xdr:to>
        <xdr:sp macro="" textlink="">
          <xdr:nvSpPr>
            <xdr:cNvPr id="61444" name="cmdCheckCommDataSheet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00000000-0008-0000-0A00-000004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312420</xdr:colOff>
          <xdr:row>4</xdr:row>
          <xdr:rowOff>7620</xdr:rowOff>
        </xdr:to>
        <xdr:sp macro="" textlink="">
          <xdr:nvSpPr>
            <xdr:cNvPr id="61445" name="cmdRefreshUnits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00000000-0008-0000-0A00-000005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3.xml"/><Relationship Id="rId13" Type="http://schemas.openxmlformats.org/officeDocument/2006/relationships/image" Target="../media/image45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42.emf"/><Relationship Id="rId12" Type="http://schemas.openxmlformats.org/officeDocument/2006/relationships/control" Target="../activeX/activeX45.xml"/><Relationship Id="rId17" Type="http://schemas.openxmlformats.org/officeDocument/2006/relationships/image" Target="../media/image47.emf"/><Relationship Id="rId2" Type="http://schemas.openxmlformats.org/officeDocument/2006/relationships/drawing" Target="../drawings/drawing8.xml"/><Relationship Id="rId16" Type="http://schemas.openxmlformats.org/officeDocument/2006/relationships/control" Target="../activeX/activeX47.xml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42.xml"/><Relationship Id="rId11" Type="http://schemas.openxmlformats.org/officeDocument/2006/relationships/image" Target="../media/image44.emf"/><Relationship Id="rId5" Type="http://schemas.openxmlformats.org/officeDocument/2006/relationships/image" Target="../media/image41.emf"/><Relationship Id="rId15" Type="http://schemas.openxmlformats.org/officeDocument/2006/relationships/image" Target="../media/image46.emf"/><Relationship Id="rId10" Type="http://schemas.openxmlformats.org/officeDocument/2006/relationships/control" Target="../activeX/activeX44.xml"/><Relationship Id="rId4" Type="http://schemas.openxmlformats.org/officeDocument/2006/relationships/control" Target="../activeX/activeX41.xml"/><Relationship Id="rId9" Type="http://schemas.openxmlformats.org/officeDocument/2006/relationships/image" Target="../media/image43.emf"/><Relationship Id="rId14" Type="http://schemas.openxmlformats.org/officeDocument/2006/relationships/control" Target="../activeX/activeX46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0.xml"/><Relationship Id="rId13" Type="http://schemas.openxmlformats.org/officeDocument/2006/relationships/image" Target="../media/image52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49.emf"/><Relationship Id="rId12" Type="http://schemas.openxmlformats.org/officeDocument/2006/relationships/control" Target="../activeX/activeX52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49.xml"/><Relationship Id="rId11" Type="http://schemas.openxmlformats.org/officeDocument/2006/relationships/image" Target="../media/image51.emf"/><Relationship Id="rId5" Type="http://schemas.openxmlformats.org/officeDocument/2006/relationships/image" Target="../media/image48.emf"/><Relationship Id="rId10" Type="http://schemas.openxmlformats.org/officeDocument/2006/relationships/control" Target="../activeX/activeX51.xml"/><Relationship Id="rId4" Type="http://schemas.openxmlformats.org/officeDocument/2006/relationships/control" Target="../activeX/activeX48.xml"/><Relationship Id="rId9" Type="http://schemas.openxmlformats.org/officeDocument/2006/relationships/image" Target="../media/image50.emf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5.xml"/><Relationship Id="rId3" Type="http://schemas.openxmlformats.org/officeDocument/2006/relationships/vmlDrawing" Target="../drawings/vmlDrawing10.vml"/><Relationship Id="rId7" Type="http://schemas.openxmlformats.org/officeDocument/2006/relationships/image" Target="../media/image54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54.xml"/><Relationship Id="rId11" Type="http://schemas.openxmlformats.org/officeDocument/2006/relationships/image" Target="../media/image56.emf"/><Relationship Id="rId5" Type="http://schemas.openxmlformats.org/officeDocument/2006/relationships/image" Target="../media/image53.emf"/><Relationship Id="rId10" Type="http://schemas.openxmlformats.org/officeDocument/2006/relationships/control" Target="../activeX/activeX56.xml"/><Relationship Id="rId4" Type="http://schemas.openxmlformats.org/officeDocument/2006/relationships/control" Target="../activeX/activeX53.xml"/><Relationship Id="rId9" Type="http://schemas.openxmlformats.org/officeDocument/2006/relationships/image" Target="../media/image55.emf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9.xml"/><Relationship Id="rId13" Type="http://schemas.openxmlformats.org/officeDocument/2006/relationships/image" Target="../media/image61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8.emf"/><Relationship Id="rId12" Type="http://schemas.openxmlformats.org/officeDocument/2006/relationships/control" Target="../activeX/activeX61.xml"/><Relationship Id="rId17" Type="http://schemas.openxmlformats.org/officeDocument/2006/relationships/image" Target="../media/image63.emf"/><Relationship Id="rId2" Type="http://schemas.openxmlformats.org/officeDocument/2006/relationships/drawing" Target="../drawings/drawing11.xml"/><Relationship Id="rId16" Type="http://schemas.openxmlformats.org/officeDocument/2006/relationships/control" Target="../activeX/activeX63.xml"/><Relationship Id="rId1" Type="http://schemas.openxmlformats.org/officeDocument/2006/relationships/printerSettings" Target="../printerSettings/printerSettings13.bin"/><Relationship Id="rId6" Type="http://schemas.openxmlformats.org/officeDocument/2006/relationships/control" Target="../activeX/activeX58.xml"/><Relationship Id="rId11" Type="http://schemas.openxmlformats.org/officeDocument/2006/relationships/image" Target="../media/image60.emf"/><Relationship Id="rId5" Type="http://schemas.openxmlformats.org/officeDocument/2006/relationships/image" Target="../media/image57.emf"/><Relationship Id="rId15" Type="http://schemas.openxmlformats.org/officeDocument/2006/relationships/image" Target="../media/image62.emf"/><Relationship Id="rId10" Type="http://schemas.openxmlformats.org/officeDocument/2006/relationships/control" Target="../activeX/activeX60.xml"/><Relationship Id="rId4" Type="http://schemas.openxmlformats.org/officeDocument/2006/relationships/control" Target="../activeX/activeX57.xml"/><Relationship Id="rId9" Type="http://schemas.openxmlformats.org/officeDocument/2006/relationships/image" Target="../media/image59.emf"/><Relationship Id="rId14" Type="http://schemas.openxmlformats.org/officeDocument/2006/relationships/control" Target="../activeX/activeX6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eia.gov/electricity/wholesale/" TargetMode="External"/><Relationship Id="rId1" Type="http://schemas.openxmlformats.org/officeDocument/2006/relationships/hyperlink" Target="https://www.eia.gov/electricity/gridmonitor/dashboard/electric_overview/balancing_authority/PJM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http://anbarictransmission.com/wp_content/uploads/2013/10/MD_20131014excerpt.pdf" TargetMode="External"/><Relationship Id="rId2" Type="http://schemas.openxmlformats.org/officeDocument/2006/relationships/hyperlink" Target="http://documents.dps.ny.gov/public/Common/ViewDoc.aspx?DocRefId=%7BFA6E8548-E790-4E6A-8BF2-61DDF62EAB4E%7D" TargetMode="External"/><Relationship Id="rId1" Type="http://schemas.openxmlformats.org/officeDocument/2006/relationships/hyperlink" Target="http://www.coned.com/tp/Long-Term-Transmission-Plan-2014-2024.pdf" TargetMode="External"/><Relationship Id="rId6" Type="http://schemas.openxmlformats.org/officeDocument/2006/relationships/drawing" Target="../drawings/drawing12.xml"/><Relationship Id="rId5" Type="http://schemas.openxmlformats.org/officeDocument/2006/relationships/hyperlink" Target="http://anbarictransmission.com/wp_content/uploads/2013/10/MD_20131014excerpt.pdf" TargetMode="External"/><Relationship Id="rId4" Type="http://schemas.openxmlformats.org/officeDocument/2006/relationships/hyperlink" Target="http://anbarictransmission.com/wp_content/uploads/2013/10/MD_20131014excerpt.pdf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9.xml"/><Relationship Id="rId13" Type="http://schemas.openxmlformats.org/officeDocument/2006/relationships/image" Target="../media/image11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8.emf"/><Relationship Id="rId12" Type="http://schemas.openxmlformats.org/officeDocument/2006/relationships/control" Target="../activeX/activeX11.xml"/><Relationship Id="rId17" Type="http://schemas.openxmlformats.org/officeDocument/2006/relationships/image" Target="../media/image13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3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8.xml"/><Relationship Id="rId11" Type="http://schemas.openxmlformats.org/officeDocument/2006/relationships/image" Target="../media/image10.emf"/><Relationship Id="rId5" Type="http://schemas.openxmlformats.org/officeDocument/2006/relationships/image" Target="../media/image7.emf"/><Relationship Id="rId15" Type="http://schemas.openxmlformats.org/officeDocument/2006/relationships/image" Target="../media/image12.emf"/><Relationship Id="rId10" Type="http://schemas.openxmlformats.org/officeDocument/2006/relationships/control" Target="../activeX/activeX10.xml"/><Relationship Id="rId4" Type="http://schemas.openxmlformats.org/officeDocument/2006/relationships/control" Target="../activeX/activeX7.xml"/><Relationship Id="rId9" Type="http://schemas.openxmlformats.org/officeDocument/2006/relationships/image" Target="../media/image9.emf"/><Relationship Id="rId14" Type="http://schemas.openxmlformats.org/officeDocument/2006/relationships/control" Target="../activeX/activeX1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6.xml"/><Relationship Id="rId13" Type="http://schemas.openxmlformats.org/officeDocument/2006/relationships/image" Target="../media/image70.emf"/><Relationship Id="rId3" Type="http://schemas.openxmlformats.org/officeDocument/2006/relationships/vmlDrawing" Target="../drawings/vmlDrawing14.vml"/><Relationship Id="rId7" Type="http://schemas.openxmlformats.org/officeDocument/2006/relationships/image" Target="../media/image67.emf"/><Relationship Id="rId12" Type="http://schemas.openxmlformats.org/officeDocument/2006/relationships/control" Target="../activeX/activeX6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0.bin"/><Relationship Id="rId6" Type="http://schemas.openxmlformats.org/officeDocument/2006/relationships/control" Target="../activeX/activeX65.xml"/><Relationship Id="rId11" Type="http://schemas.openxmlformats.org/officeDocument/2006/relationships/image" Target="../media/image69.emf"/><Relationship Id="rId5" Type="http://schemas.openxmlformats.org/officeDocument/2006/relationships/image" Target="../media/image66.emf"/><Relationship Id="rId15" Type="http://schemas.openxmlformats.org/officeDocument/2006/relationships/image" Target="../media/image71.emf"/><Relationship Id="rId10" Type="http://schemas.openxmlformats.org/officeDocument/2006/relationships/control" Target="../activeX/activeX67.xml"/><Relationship Id="rId4" Type="http://schemas.openxmlformats.org/officeDocument/2006/relationships/control" Target="../activeX/activeX64.xml"/><Relationship Id="rId9" Type="http://schemas.openxmlformats.org/officeDocument/2006/relationships/image" Target="../media/image68.emf"/><Relationship Id="rId14" Type="http://schemas.openxmlformats.org/officeDocument/2006/relationships/control" Target="../activeX/activeX69.xml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72.xml"/><Relationship Id="rId13" Type="http://schemas.openxmlformats.org/officeDocument/2006/relationships/image" Target="../media/image76.emf"/><Relationship Id="rId3" Type="http://schemas.openxmlformats.org/officeDocument/2006/relationships/vmlDrawing" Target="../drawings/vmlDrawing15.vml"/><Relationship Id="rId7" Type="http://schemas.openxmlformats.org/officeDocument/2006/relationships/image" Target="../media/image73.emf"/><Relationship Id="rId12" Type="http://schemas.openxmlformats.org/officeDocument/2006/relationships/control" Target="../activeX/activeX74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Relationship Id="rId6" Type="http://schemas.openxmlformats.org/officeDocument/2006/relationships/control" Target="../activeX/activeX71.xml"/><Relationship Id="rId11" Type="http://schemas.openxmlformats.org/officeDocument/2006/relationships/image" Target="../media/image75.emf"/><Relationship Id="rId5" Type="http://schemas.openxmlformats.org/officeDocument/2006/relationships/image" Target="../media/image72.emf"/><Relationship Id="rId15" Type="http://schemas.openxmlformats.org/officeDocument/2006/relationships/image" Target="../media/image77.emf"/><Relationship Id="rId10" Type="http://schemas.openxmlformats.org/officeDocument/2006/relationships/control" Target="../activeX/activeX73.xml"/><Relationship Id="rId4" Type="http://schemas.openxmlformats.org/officeDocument/2006/relationships/control" Target="../activeX/activeX70.xml"/><Relationship Id="rId9" Type="http://schemas.openxmlformats.org/officeDocument/2006/relationships/image" Target="../media/image74.emf"/><Relationship Id="rId14" Type="http://schemas.openxmlformats.org/officeDocument/2006/relationships/control" Target="../activeX/activeX75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6.xml"/><Relationship Id="rId13" Type="http://schemas.openxmlformats.org/officeDocument/2006/relationships/image" Target="../media/image18.emf"/><Relationship Id="rId18" Type="http://schemas.openxmlformats.org/officeDocument/2006/relationships/control" Target="../activeX/activeX21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5.emf"/><Relationship Id="rId12" Type="http://schemas.openxmlformats.org/officeDocument/2006/relationships/control" Target="../activeX/activeX18.xml"/><Relationship Id="rId17" Type="http://schemas.openxmlformats.org/officeDocument/2006/relationships/image" Target="../media/image20.emf"/><Relationship Id="rId2" Type="http://schemas.openxmlformats.org/officeDocument/2006/relationships/drawing" Target="../drawings/drawing3.xml"/><Relationship Id="rId16" Type="http://schemas.openxmlformats.org/officeDocument/2006/relationships/control" Target="../activeX/activeX20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5.xml"/><Relationship Id="rId11" Type="http://schemas.openxmlformats.org/officeDocument/2006/relationships/image" Target="../media/image17.emf"/><Relationship Id="rId5" Type="http://schemas.openxmlformats.org/officeDocument/2006/relationships/image" Target="../media/image14.emf"/><Relationship Id="rId15" Type="http://schemas.openxmlformats.org/officeDocument/2006/relationships/image" Target="../media/image19.emf"/><Relationship Id="rId10" Type="http://schemas.openxmlformats.org/officeDocument/2006/relationships/control" Target="../activeX/activeX17.xml"/><Relationship Id="rId19" Type="http://schemas.openxmlformats.org/officeDocument/2006/relationships/image" Target="../media/image21.emf"/><Relationship Id="rId4" Type="http://schemas.openxmlformats.org/officeDocument/2006/relationships/control" Target="../activeX/activeX14.xml"/><Relationship Id="rId9" Type="http://schemas.openxmlformats.org/officeDocument/2006/relationships/image" Target="../media/image16.emf"/><Relationship Id="rId14" Type="http://schemas.openxmlformats.org/officeDocument/2006/relationships/control" Target="../activeX/activeX1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4.xml"/><Relationship Id="rId13" Type="http://schemas.openxmlformats.org/officeDocument/2006/relationships/image" Target="../media/image26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23.emf"/><Relationship Id="rId12" Type="http://schemas.openxmlformats.org/officeDocument/2006/relationships/control" Target="../activeX/activeX2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23.xml"/><Relationship Id="rId11" Type="http://schemas.openxmlformats.org/officeDocument/2006/relationships/image" Target="../media/image25.emf"/><Relationship Id="rId5" Type="http://schemas.openxmlformats.org/officeDocument/2006/relationships/image" Target="../media/image22.emf"/><Relationship Id="rId10" Type="http://schemas.openxmlformats.org/officeDocument/2006/relationships/control" Target="../activeX/activeX25.xml"/><Relationship Id="rId4" Type="http://schemas.openxmlformats.org/officeDocument/2006/relationships/control" Target="../activeX/activeX22.xml"/><Relationship Id="rId9" Type="http://schemas.openxmlformats.org/officeDocument/2006/relationships/image" Target="../media/image24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9.xml"/><Relationship Id="rId13" Type="http://schemas.openxmlformats.org/officeDocument/2006/relationships/image" Target="../media/image31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28.emf"/><Relationship Id="rId12" Type="http://schemas.openxmlformats.org/officeDocument/2006/relationships/control" Target="../activeX/activeX3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28.xml"/><Relationship Id="rId11" Type="http://schemas.openxmlformats.org/officeDocument/2006/relationships/image" Target="../media/image30.emf"/><Relationship Id="rId5" Type="http://schemas.openxmlformats.org/officeDocument/2006/relationships/image" Target="../media/image27.emf"/><Relationship Id="rId10" Type="http://schemas.openxmlformats.org/officeDocument/2006/relationships/control" Target="../activeX/activeX30.xml"/><Relationship Id="rId4" Type="http://schemas.openxmlformats.org/officeDocument/2006/relationships/control" Target="../activeX/activeX27.xml"/><Relationship Id="rId9" Type="http://schemas.openxmlformats.org/officeDocument/2006/relationships/image" Target="../media/image29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4.xml"/><Relationship Id="rId3" Type="http://schemas.openxmlformats.org/officeDocument/2006/relationships/vmlDrawing" Target="../drawings/vmlDrawing6.vml"/><Relationship Id="rId7" Type="http://schemas.openxmlformats.org/officeDocument/2006/relationships/image" Target="../media/image33.emf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33.xml"/><Relationship Id="rId11" Type="http://schemas.openxmlformats.org/officeDocument/2006/relationships/image" Target="../media/image35.emf"/><Relationship Id="rId5" Type="http://schemas.openxmlformats.org/officeDocument/2006/relationships/image" Target="../media/image32.emf"/><Relationship Id="rId10" Type="http://schemas.openxmlformats.org/officeDocument/2006/relationships/control" Target="../activeX/activeX35.xml"/><Relationship Id="rId4" Type="http://schemas.openxmlformats.org/officeDocument/2006/relationships/control" Target="../activeX/activeX32.xml"/><Relationship Id="rId9" Type="http://schemas.openxmlformats.org/officeDocument/2006/relationships/image" Target="../media/image34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8.xml"/><Relationship Id="rId13" Type="http://schemas.openxmlformats.org/officeDocument/2006/relationships/image" Target="../media/image40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7.emf"/><Relationship Id="rId12" Type="http://schemas.openxmlformats.org/officeDocument/2006/relationships/control" Target="../activeX/activeX40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37.xml"/><Relationship Id="rId11" Type="http://schemas.openxmlformats.org/officeDocument/2006/relationships/image" Target="../media/image39.emf"/><Relationship Id="rId5" Type="http://schemas.openxmlformats.org/officeDocument/2006/relationships/image" Target="../media/image36.emf"/><Relationship Id="rId10" Type="http://schemas.openxmlformats.org/officeDocument/2006/relationships/control" Target="../activeX/activeX39.xml"/><Relationship Id="rId4" Type="http://schemas.openxmlformats.org/officeDocument/2006/relationships/control" Target="../activeX/activeX36.xml"/><Relationship Id="rId9" Type="http://schemas.openxmlformats.org/officeDocument/2006/relationships/image" Target="../media/image38.emf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wksAnsHome"/>
  <dimension ref="A1:D22"/>
  <sheetViews>
    <sheetView workbookViewId="0"/>
  </sheetViews>
  <sheetFormatPr defaultRowHeight="13.2"/>
  <cols>
    <col min="1" max="1" width="14.33203125" customWidth="1"/>
  </cols>
  <sheetData>
    <row r="1" spans="1:4">
      <c r="A1" s="1" t="s">
        <v>20</v>
      </c>
    </row>
    <row r="15" spans="1:4">
      <c r="B15" s="13"/>
      <c r="C15" s="14"/>
      <c r="D15" s="15"/>
    </row>
    <row r="16" spans="1:4">
      <c r="B16" s="16"/>
      <c r="C16" s="17"/>
      <c r="D16" s="18"/>
    </row>
    <row r="17" spans="2:4">
      <c r="B17" s="16"/>
      <c r="C17" s="17"/>
      <c r="D17" s="18"/>
    </row>
    <row r="18" spans="2:4">
      <c r="B18" s="16"/>
      <c r="C18" s="17"/>
      <c r="D18" s="18"/>
    </row>
    <row r="19" spans="2:4">
      <c r="B19" s="16"/>
      <c r="C19" s="17"/>
      <c r="D19" s="18"/>
    </row>
    <row r="20" spans="2:4">
      <c r="B20" s="16"/>
      <c r="C20" s="17"/>
      <c r="D20" s="18"/>
    </row>
    <row r="21" spans="2:4">
      <c r="B21" s="16"/>
      <c r="C21" s="17"/>
      <c r="D21" s="18"/>
    </row>
    <row r="22" spans="2:4">
      <c r="B22" s="19"/>
      <c r="C22" s="20"/>
      <c r="D22" s="21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289" r:id="rId4" name="cmdUpdate">
          <controlPr defaultSize="0" disabled="1" autoLine="0" r:id="rId5">
            <anchor moveWithCells="1">
              <from>
                <xdr:col>1</xdr:col>
                <xdr:colOff>7620</xdr:colOff>
                <xdr:row>8</xdr:row>
                <xdr:rowOff>0</xdr:rowOff>
              </from>
              <to>
                <xdr:col>3</xdr:col>
                <xdr:colOff>236220</xdr:colOff>
                <xdr:row>12</xdr:row>
                <xdr:rowOff>45720</xdr:rowOff>
              </to>
            </anchor>
          </controlPr>
        </control>
      </mc:Choice>
      <mc:Fallback>
        <control shapeId="12289" r:id="rId4" name="cmdUpdate"/>
      </mc:Fallback>
    </mc:AlternateContent>
    <mc:AlternateContent xmlns:mc="http://schemas.openxmlformats.org/markup-compatibility/2006">
      <mc:Choice Requires="x14">
        <control shapeId="12291" r:id="rId6" name="cmdAddNewAnswerSheet">
          <controlPr defaultSize="0" autoLine="0" r:id="rId7">
            <anchor moveWithCells="1">
              <from>
                <xdr:col>1</xdr:col>
                <xdr:colOff>0</xdr:colOff>
                <xdr:row>24</xdr:row>
                <xdr:rowOff>7620</xdr:rowOff>
              </from>
              <to>
                <xdr:col>3</xdr:col>
                <xdr:colOff>228600</xdr:colOff>
                <xdr:row>28</xdr:row>
                <xdr:rowOff>53340</xdr:rowOff>
              </to>
            </anchor>
          </controlPr>
        </control>
      </mc:Choice>
      <mc:Fallback>
        <control shapeId="12291" r:id="rId6" name="cmdAddNewAnswerSheet"/>
      </mc:Fallback>
    </mc:AlternateContent>
    <mc:AlternateContent xmlns:mc="http://schemas.openxmlformats.org/markup-compatibility/2006">
      <mc:Choice Requires="x14">
        <control shapeId="12293" r:id="rId8" name="cmdCreateNewXLS">
          <controlPr defaultSize="0" disabled="1" autoLine="0" r:id="rId9">
            <anchor moveWithCells="1">
              <from>
                <xdr:col>1</xdr:col>
                <xdr:colOff>7620</xdr:colOff>
                <xdr:row>2</xdr:row>
                <xdr:rowOff>7620</xdr:rowOff>
              </from>
              <to>
                <xdr:col>3</xdr:col>
                <xdr:colOff>236220</xdr:colOff>
                <xdr:row>6</xdr:row>
                <xdr:rowOff>53340</xdr:rowOff>
              </to>
            </anchor>
          </controlPr>
        </control>
      </mc:Choice>
      <mc:Fallback>
        <control shapeId="12293" r:id="rId8" name="cmdCreateNewXLS"/>
      </mc:Fallback>
    </mc:AlternateContent>
    <mc:AlternateContent xmlns:mc="http://schemas.openxmlformats.org/markup-compatibility/2006">
      <mc:Choice Requires="x14">
        <control shapeId="12298" r:id="rId10" name="optSingleRegion">
          <controlPr defaultSize="0" autoLine="0" autoPict="0" r:id="rId11">
            <anchor moveWithCells="1">
              <from>
                <xdr:col>1</xdr:col>
                <xdr:colOff>60960</xdr:colOff>
                <xdr:row>14</xdr:row>
                <xdr:rowOff>83820</xdr:rowOff>
              </from>
              <to>
                <xdr:col>3</xdr:col>
                <xdr:colOff>563880</xdr:colOff>
                <xdr:row>16</xdr:row>
                <xdr:rowOff>7620</xdr:rowOff>
              </to>
            </anchor>
          </controlPr>
        </control>
      </mc:Choice>
      <mc:Fallback>
        <control shapeId="12298" r:id="rId10" name="optSingleRegion"/>
      </mc:Fallback>
    </mc:AlternateContent>
    <mc:AlternateContent xmlns:mc="http://schemas.openxmlformats.org/markup-compatibility/2006">
      <mc:Choice Requires="x14">
        <control shapeId="12299" r:id="rId12" name="optMultiRegionNotCommon">
          <controlPr defaultSize="0" autoLine="0" r:id="rId13">
            <anchor moveWithCells="1">
              <from>
                <xdr:col>1</xdr:col>
                <xdr:colOff>60960</xdr:colOff>
                <xdr:row>16</xdr:row>
                <xdr:rowOff>60960</xdr:rowOff>
              </from>
              <to>
                <xdr:col>3</xdr:col>
                <xdr:colOff>571500</xdr:colOff>
                <xdr:row>18</xdr:row>
                <xdr:rowOff>99060</xdr:rowOff>
              </to>
            </anchor>
          </controlPr>
        </control>
      </mc:Choice>
      <mc:Fallback>
        <control shapeId="12299" r:id="rId12" name="optMultiRegionNotCommon"/>
      </mc:Fallback>
    </mc:AlternateContent>
    <mc:AlternateContent xmlns:mc="http://schemas.openxmlformats.org/markup-compatibility/2006">
      <mc:Choice Requires="x14">
        <control shapeId="12300" r:id="rId14" name="optMultiRegionCommon">
          <controlPr defaultSize="0" autoLine="0" r:id="rId15">
            <anchor moveWithCells="1">
              <from>
                <xdr:col>1</xdr:col>
                <xdr:colOff>60960</xdr:colOff>
                <xdr:row>19</xdr:row>
                <xdr:rowOff>22860</xdr:rowOff>
              </from>
              <to>
                <xdr:col>3</xdr:col>
                <xdr:colOff>563880</xdr:colOff>
                <xdr:row>21</xdr:row>
                <xdr:rowOff>60960</xdr:rowOff>
              </to>
            </anchor>
          </controlPr>
        </control>
      </mc:Choice>
      <mc:Fallback>
        <control shapeId="12300" r:id="rId14" name="optMultiRegionCommon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3.2"/>
  <cols>
    <col min="1" max="2" width="10.33203125" customWidth="1"/>
    <col min="3" max="3" width="24.33203125" customWidth="1"/>
    <col min="4" max="4" width="7.88671875" customWidth="1"/>
    <col min="6" max="6" width="10.5546875" customWidth="1"/>
    <col min="7" max="7" width="9.88671875" customWidth="1"/>
    <col min="8" max="8" width="8.109375" customWidth="1"/>
    <col min="9" max="11" width="9.33203125" customWidth="1"/>
    <col min="12" max="12" width="12.5546875" customWidth="1"/>
    <col min="13" max="13" width="12.44140625" customWidth="1"/>
  </cols>
  <sheetData>
    <row r="1" spans="1:16">
      <c r="A1" s="1" t="s">
        <v>18</v>
      </c>
      <c r="B1" s="2"/>
    </row>
    <row r="4" spans="1:16" ht="17.25" customHeight="1"/>
    <row r="5" spans="1:16" ht="18" customHeight="1">
      <c r="G5" s="3"/>
      <c r="H5" s="3"/>
      <c r="I5" s="3"/>
      <c r="J5" s="12"/>
      <c r="K5" s="12"/>
      <c r="L5" s="3"/>
      <c r="M5" s="10"/>
      <c r="N5" s="3"/>
      <c r="O5" s="10"/>
      <c r="P5" s="10"/>
    </row>
    <row r="6" spans="1:16" ht="17.25" customHeight="1">
      <c r="G6" s="3"/>
      <c r="H6" s="3"/>
      <c r="I6" s="3"/>
      <c r="J6" s="3"/>
      <c r="K6" s="3"/>
      <c r="L6" s="3"/>
      <c r="M6" s="9"/>
      <c r="N6" s="3"/>
      <c r="O6" s="9"/>
    </row>
    <row r="7" spans="1:16" ht="15.75" customHeight="1"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3"/>
      <c r="H7" s="3"/>
      <c r="I7" s="3"/>
      <c r="J7" s="12"/>
      <c r="K7" s="3"/>
      <c r="L7" s="3"/>
      <c r="M7" s="9"/>
      <c r="N7" s="3"/>
      <c r="P7" s="9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2465" r:id="rId4" name="cmdTechNameAndDesc">
          <controlPr defaultSize="0" autoLine="0" r:id="rId5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1554480</xdr:colOff>
                <xdr:row>4</xdr:row>
                <xdr:rowOff>7620</xdr:rowOff>
              </to>
            </anchor>
          </controlPr>
        </control>
      </mc:Choice>
      <mc:Fallback>
        <control shapeId="62465" r:id="rId4" name="cmdTechNameAndDesc"/>
      </mc:Fallback>
    </mc:AlternateContent>
    <mc:AlternateContent xmlns:mc="http://schemas.openxmlformats.org/markup-compatibility/2006">
      <mc:Choice Requires="x14">
        <control shapeId="62466" r:id="rId6" name="cmdCommIN">
          <controlPr defaultSize="0" autoLine="0" r:id="rId7">
            <anchor moveWithCells="1">
              <from>
                <xdr:col>4</xdr:col>
                <xdr:colOff>7620</xdr:colOff>
                <xdr:row>2</xdr:row>
                <xdr:rowOff>144780</xdr:rowOff>
              </from>
              <to>
                <xdr:col>4</xdr:col>
                <xdr:colOff>594360</xdr:colOff>
                <xdr:row>4</xdr:row>
                <xdr:rowOff>0</xdr:rowOff>
              </to>
            </anchor>
          </controlPr>
        </control>
      </mc:Choice>
      <mc:Fallback>
        <control shapeId="62466" r:id="rId6" name="cmdCommIN"/>
      </mc:Fallback>
    </mc:AlternateContent>
    <mc:AlternateContent xmlns:mc="http://schemas.openxmlformats.org/markup-compatibility/2006">
      <mc:Choice Requires="x14">
        <control shapeId="62467" r:id="rId8" name="cmdCommOUT">
          <controlPr defaultSize="0" autoLine="0" r:id="rId9">
            <anchor moveWithCells="1">
              <from>
                <xdr:col>5</xdr:col>
                <xdr:colOff>7620</xdr:colOff>
                <xdr:row>2</xdr:row>
                <xdr:rowOff>144780</xdr:rowOff>
              </from>
              <to>
                <xdr:col>5</xdr:col>
                <xdr:colOff>701040</xdr:colOff>
                <xdr:row>4</xdr:row>
                <xdr:rowOff>0</xdr:rowOff>
              </to>
            </anchor>
          </controlPr>
        </control>
      </mc:Choice>
      <mc:Fallback>
        <control shapeId="62467" r:id="rId8" name="cmdCommOUT"/>
      </mc:Fallback>
    </mc:AlternateContent>
    <mc:AlternateContent xmlns:mc="http://schemas.openxmlformats.org/markup-compatibility/2006">
      <mc:Choice Requires="x14">
        <control shapeId="62468" r:id="rId10" name="cmdAddParameter">
          <controlPr defaultSize="0" autoLine="0" r:id="rId11">
            <anchor moveWithCells="1">
              <from>
                <xdr:col>0</xdr:col>
                <xdr:colOff>7620</xdr:colOff>
                <xdr:row>3</xdr:row>
                <xdr:rowOff>198120</xdr:rowOff>
              </from>
              <to>
                <xdr:col>0</xdr:col>
                <xdr:colOff>693420</xdr:colOff>
                <xdr:row>4</xdr:row>
                <xdr:rowOff>220980</xdr:rowOff>
              </to>
            </anchor>
          </controlPr>
        </control>
      </mc:Choice>
      <mc:Fallback>
        <control shapeId="62468" r:id="rId10" name="cmdAddParameter"/>
      </mc:Fallback>
    </mc:AlternateContent>
    <mc:AlternateContent xmlns:mc="http://schemas.openxmlformats.org/markup-compatibility/2006">
      <mc:Choice Requires="x14">
        <control shapeId="62469" r:id="rId12" name="cmdAddParamQualifier">
          <controlPr defaultSize="0" autoLine="0" autoPict="0" r:id="rId13">
            <anchor moveWithCells="1">
              <from>
                <xdr:col>0</xdr:col>
                <xdr:colOff>7620</xdr:colOff>
                <xdr:row>5</xdr:row>
                <xdr:rowOff>7620</xdr:rowOff>
              </from>
              <to>
                <xdr:col>1</xdr:col>
                <xdr:colOff>7620</xdr:colOff>
                <xdr:row>6</xdr:row>
                <xdr:rowOff>30480</xdr:rowOff>
              </to>
            </anchor>
          </controlPr>
        </control>
      </mc:Choice>
      <mc:Fallback>
        <control shapeId="62469" r:id="rId12" name="cmdAddParamQualifier"/>
      </mc:Fallback>
    </mc:AlternateContent>
    <mc:AlternateContent xmlns:mc="http://schemas.openxmlformats.org/markup-compatibility/2006">
      <mc:Choice Requires="x14">
        <control shapeId="62470" r:id="rId14" name="cmdCheckTechDataSheet">
          <controlPr defaultSize="0" autoLine="0" autoPict="0" r:id="rId15">
            <anchor moveWithCells="1">
              <from>
                <xdr:col>0</xdr:col>
                <xdr:colOff>7620</xdr:colOff>
                <xdr:row>2</xdr:row>
                <xdr:rowOff>152400</xdr:rowOff>
              </from>
              <to>
                <xdr:col>1</xdr:col>
                <xdr:colOff>7620</xdr:colOff>
                <xdr:row>4</xdr:row>
                <xdr:rowOff>7620</xdr:rowOff>
              </to>
            </anchor>
          </controlPr>
        </control>
      </mc:Choice>
      <mc:Fallback>
        <control shapeId="62470" r:id="rId14" name="cmdCheckTechDataSheet"/>
      </mc:Fallback>
    </mc:AlternateContent>
    <mc:AlternateContent xmlns:mc="http://schemas.openxmlformats.org/markup-compatibility/2006">
      <mc:Choice Requires="x14">
        <control shapeId="62471" r:id="rId16" name="cmdRefreshUnits">
          <controlPr defaultSize="0" autoLine="0" r:id="rId17">
            <anchor moveWithCells="1">
              <from>
                <xdr:col>3</xdr:col>
                <xdr:colOff>0</xdr:colOff>
                <xdr:row>2</xdr:row>
                <xdr:rowOff>22860</xdr:rowOff>
              </from>
              <to>
                <xdr:col>4</xdr:col>
                <xdr:colOff>15240</xdr:colOff>
                <xdr:row>4</xdr:row>
                <xdr:rowOff>15240</xdr:rowOff>
              </to>
            </anchor>
          </controlPr>
        </control>
      </mc:Choice>
      <mc:Fallback>
        <control shapeId="62471" r:id="rId16" name="cmdRefreshUnits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3.2"/>
  <cols>
    <col min="1" max="1" width="10.5546875" customWidth="1"/>
    <col min="2" max="2" width="11.6640625" customWidth="1"/>
    <col min="3" max="3" width="24" customWidth="1"/>
    <col min="4" max="4" width="5.44140625" customWidth="1"/>
    <col min="6" max="6" width="10.109375" bestFit="1" customWidth="1"/>
  </cols>
  <sheetData>
    <row r="1" spans="1:8">
      <c r="A1" s="1" t="s">
        <v>17</v>
      </c>
      <c r="B1" s="2"/>
    </row>
    <row r="3" spans="1:8" ht="15" customHeight="1"/>
    <row r="4" spans="1:8" ht="20.25" customHeight="1"/>
    <row r="5" spans="1:8" ht="19.5" customHeight="1">
      <c r="E5" s="3"/>
      <c r="F5" s="3"/>
      <c r="G5" s="12"/>
      <c r="H5" s="12"/>
    </row>
    <row r="6" spans="1:8" ht="19.5" customHeight="1">
      <c r="E6" s="9"/>
      <c r="F6" s="9"/>
      <c r="G6" s="12"/>
      <c r="H6" s="12"/>
    </row>
    <row r="7" spans="1:8">
      <c r="B7" s="1" t="s">
        <v>5</v>
      </c>
      <c r="C7" s="1" t="s">
        <v>6</v>
      </c>
      <c r="D7" s="1" t="s">
        <v>9</v>
      </c>
      <c r="E7" s="11"/>
      <c r="F7" s="7"/>
      <c r="G7" s="7"/>
      <c r="H7" s="12"/>
    </row>
    <row r="9" spans="1:8">
      <c r="B9" s="9"/>
      <c r="C9" s="9"/>
      <c r="D9" s="9"/>
    </row>
    <row r="10" spans="1:8">
      <c r="B10" s="9"/>
      <c r="C10" s="9"/>
      <c r="D10" s="9"/>
    </row>
    <row r="13" spans="1:8">
      <c r="B13" s="9"/>
      <c r="C13" s="9"/>
      <c r="D13" s="9"/>
    </row>
    <row r="15" spans="1:8">
      <c r="B15" s="9"/>
      <c r="C15" s="9"/>
      <c r="D15" s="9"/>
    </row>
    <row r="17" spans="2:4">
      <c r="B17" s="9"/>
      <c r="C17" s="9"/>
      <c r="D17" s="9"/>
    </row>
    <row r="19" spans="2:4">
      <c r="B19" s="9"/>
      <c r="C19" s="9"/>
      <c r="D19" s="9"/>
    </row>
    <row r="21" spans="2:4">
      <c r="B21" s="9"/>
      <c r="C21" s="9"/>
      <c r="D21" s="9"/>
    </row>
    <row r="23" spans="2:4">
      <c r="B23" s="9"/>
      <c r="C23" s="9"/>
      <c r="D23" s="9"/>
    </row>
  </sheetData>
  <phoneticPr fontId="0" type="noConversion"/>
  <conditionalFormatting sqref="B13">
    <cfRule type="cellIs" dxfId="12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1441" r:id="rId4" name="cmdAddParameter">
          <controlPr defaultSize="0" autoLine="0" r:id="rId5">
            <anchor moveWithCells="1">
              <from>
                <xdr:col>0</xdr:col>
                <xdr:colOff>7620</xdr:colOff>
                <xdr:row>4</xdr:row>
                <xdr:rowOff>7620</xdr:rowOff>
              </from>
              <to>
                <xdr:col>0</xdr:col>
                <xdr:colOff>693420</xdr:colOff>
                <xdr:row>5</xdr:row>
                <xdr:rowOff>0</xdr:rowOff>
              </to>
            </anchor>
          </controlPr>
        </control>
      </mc:Choice>
      <mc:Fallback>
        <control shapeId="61441" r:id="rId4" name="cmdAddParameter"/>
      </mc:Fallback>
    </mc:AlternateContent>
    <mc:AlternateContent xmlns:mc="http://schemas.openxmlformats.org/markup-compatibility/2006">
      <mc:Choice Requires="x14">
        <control shapeId="61442" r:id="rId6" name="cmdCommNameAndDesc">
          <controlPr defaultSize="0" autoLine="0" autoPict="0" r:id="rId7">
            <anchor moveWithCells="1">
              <from>
                <xdr:col>1</xdr:col>
                <xdr:colOff>0</xdr:colOff>
                <xdr:row>3</xdr:row>
                <xdr:rowOff>22860</xdr:rowOff>
              </from>
              <to>
                <xdr:col>2</xdr:col>
                <xdr:colOff>1394460</xdr:colOff>
                <xdr:row>4</xdr:row>
                <xdr:rowOff>0</xdr:rowOff>
              </to>
            </anchor>
          </controlPr>
        </control>
      </mc:Choice>
      <mc:Fallback>
        <control shapeId="61442" r:id="rId6" name="cmdCommNameAndDesc"/>
      </mc:Fallback>
    </mc:AlternateContent>
    <mc:AlternateContent xmlns:mc="http://schemas.openxmlformats.org/markup-compatibility/2006">
      <mc:Choice Requires="x14">
        <control shapeId="61443" r:id="rId8" name="cmdAddParamQualifier">
          <controlPr defaultSize="0" autoLine="0" r:id="rId9">
            <anchor moveWithCells="1">
              <from>
                <xdr:col>0</xdr:col>
                <xdr:colOff>7620</xdr:colOff>
                <xdr:row>5</xdr:row>
                <xdr:rowOff>0</xdr:rowOff>
              </from>
              <to>
                <xdr:col>0</xdr:col>
                <xdr:colOff>693420</xdr:colOff>
                <xdr:row>5</xdr:row>
                <xdr:rowOff>236220</xdr:rowOff>
              </to>
            </anchor>
          </controlPr>
        </control>
      </mc:Choice>
      <mc:Fallback>
        <control shapeId="61443" r:id="rId8" name="cmdAddParamQualifier"/>
      </mc:Fallback>
    </mc:AlternateContent>
    <mc:AlternateContent xmlns:mc="http://schemas.openxmlformats.org/markup-compatibility/2006">
      <mc:Choice Requires="x14">
        <control shapeId="61444" r:id="rId10" name="cmdCheckCommDataSheet">
          <controlPr defaultSize="0" autoLine="0" r:id="rId11">
            <anchor moveWithCells="1">
              <from>
                <xdr:col>0</xdr:col>
                <xdr:colOff>7620</xdr:colOff>
                <xdr:row>3</xdr:row>
                <xdr:rowOff>22860</xdr:rowOff>
              </from>
              <to>
                <xdr:col>0</xdr:col>
                <xdr:colOff>693420</xdr:colOff>
                <xdr:row>4</xdr:row>
                <xdr:rowOff>7620</xdr:rowOff>
              </to>
            </anchor>
          </controlPr>
        </control>
      </mc:Choice>
      <mc:Fallback>
        <control shapeId="61444" r:id="rId10" name="cmdCheckCommDataSheet"/>
      </mc:Fallback>
    </mc:AlternateContent>
    <mc:AlternateContent xmlns:mc="http://schemas.openxmlformats.org/markup-compatibility/2006">
      <mc:Choice Requires="x14">
        <control shapeId="61445" r:id="rId12" name="cmdRefreshUnits">
          <controlPr defaultSize="0" autoLine="0" r:id="rId13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3</xdr:col>
                <xdr:colOff>320040</xdr:colOff>
                <xdr:row>4</xdr:row>
                <xdr:rowOff>7620</xdr:rowOff>
              </to>
            </anchor>
          </controlPr>
        </control>
      </mc:Choice>
      <mc:Fallback>
        <control shapeId="61445" r:id="rId12" name="cmdRefreshUnits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2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3.2"/>
  <cols>
    <col min="1" max="1" width="12" customWidth="1"/>
    <col min="2" max="2" width="11.6640625" customWidth="1"/>
    <col min="3" max="3" width="21.44140625" customWidth="1"/>
    <col min="4" max="4" width="8.6640625" customWidth="1"/>
    <col min="5" max="5" width="18.109375" customWidth="1"/>
    <col min="6" max="6" width="10.33203125" customWidth="1"/>
  </cols>
  <sheetData>
    <row r="1" spans="1:6">
      <c r="A1" s="1" t="s">
        <v>16</v>
      </c>
      <c r="B1" s="2"/>
    </row>
    <row r="4" spans="1:6" ht="18.75" customHeight="1"/>
    <row r="5" spans="1:6" ht="17.25" customHeight="1">
      <c r="C5" s="3"/>
    </row>
    <row r="6" spans="1:6" ht="15.75" customHeight="1"/>
    <row r="7" spans="1:6">
      <c r="B7" s="4" t="s">
        <v>12</v>
      </c>
      <c r="C7" s="1" t="s">
        <v>13</v>
      </c>
      <c r="D7" s="1" t="s">
        <v>9</v>
      </c>
      <c r="E7" s="1" t="s">
        <v>4</v>
      </c>
      <c r="F7" s="1" t="s">
        <v>1</v>
      </c>
    </row>
    <row r="8" spans="1:6">
      <c r="B8" s="1"/>
      <c r="C8" s="1"/>
      <c r="D8" s="1"/>
      <c r="E8" s="3"/>
      <c r="F8" s="1"/>
    </row>
    <row r="10" spans="1:6">
      <c r="B10" s="3"/>
      <c r="C10" s="3"/>
      <c r="D10" s="12"/>
      <c r="E10" s="12"/>
    </row>
    <row r="11" spans="1:6">
      <c r="B11" s="3"/>
      <c r="C11" s="3"/>
    </row>
    <row r="12" spans="1:6">
      <c r="B12" s="3"/>
      <c r="C12" s="3"/>
      <c r="D12" s="3"/>
      <c r="E12" s="3"/>
    </row>
    <row r="13" spans="1:6">
      <c r="B13" s="3"/>
      <c r="C13" s="3"/>
      <c r="D13" s="6"/>
      <c r="E13" s="3"/>
    </row>
    <row r="14" spans="1:6">
      <c r="B14" s="3"/>
      <c r="C14" s="3"/>
      <c r="D14" s="3"/>
      <c r="E14" s="3"/>
    </row>
    <row r="15" spans="1:6">
      <c r="B15" s="3"/>
      <c r="C15" s="3"/>
      <c r="E15" s="3"/>
    </row>
    <row r="16" spans="1:6">
      <c r="B16" s="3"/>
      <c r="C16" s="3"/>
    </row>
    <row r="17" spans="2:5">
      <c r="B17" s="3"/>
      <c r="C17" s="3"/>
      <c r="D17" s="6"/>
      <c r="E17" s="3"/>
    </row>
    <row r="18" spans="2:5">
      <c r="B18" s="4"/>
      <c r="C18" s="3"/>
      <c r="E18" s="3"/>
    </row>
    <row r="19" spans="2:5">
      <c r="E19" s="3"/>
    </row>
    <row r="21" spans="2:5">
      <c r="B21" s="3"/>
      <c r="C21" s="3"/>
      <c r="D21" s="3"/>
      <c r="E21" s="3"/>
    </row>
    <row r="22" spans="2:5">
      <c r="B22" s="3"/>
      <c r="C22" s="3"/>
    </row>
    <row r="23" spans="2:5">
      <c r="B23" s="3"/>
      <c r="C23" s="3"/>
      <c r="E23" s="3"/>
    </row>
    <row r="24" spans="2:5">
      <c r="D24" s="3"/>
      <c r="E24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0417" r:id="rId4" name="cmdConstraintSets">
          <controlPr defaultSize="0" autoLine="0" r:id="rId5">
            <anchor moveWithCells="1">
              <from>
                <xdr:col>4</xdr:col>
                <xdr:colOff>22860</xdr:colOff>
                <xdr:row>4</xdr:row>
                <xdr:rowOff>22860</xdr:rowOff>
              </from>
              <to>
                <xdr:col>4</xdr:col>
                <xdr:colOff>998220</xdr:colOff>
                <xdr:row>5</xdr:row>
                <xdr:rowOff>45720</xdr:rowOff>
              </to>
            </anchor>
          </controlPr>
        </control>
      </mc:Choice>
      <mc:Fallback>
        <control shapeId="60417" r:id="rId4" name="cmdConstraintSets"/>
      </mc:Fallback>
    </mc:AlternateContent>
    <mc:AlternateContent xmlns:mc="http://schemas.openxmlformats.org/markup-compatibility/2006">
      <mc:Choice Requires="x14">
        <control shapeId="60418" r:id="rId6" name="cmdCheckConstraintsSheet">
          <controlPr defaultSize="0" autoLine="0" r:id="rId7">
            <anchor moveWithCells="1">
              <from>
                <xdr:col>0</xdr:col>
                <xdr:colOff>7620</xdr:colOff>
                <xdr:row>3</xdr:row>
                <xdr:rowOff>0</xdr:rowOff>
              </from>
              <to>
                <xdr:col>0</xdr:col>
                <xdr:colOff>792480</xdr:colOff>
                <xdr:row>4</xdr:row>
                <xdr:rowOff>0</xdr:rowOff>
              </to>
            </anchor>
          </controlPr>
        </control>
      </mc:Choice>
      <mc:Fallback>
        <control shapeId="60418" r:id="rId6" name="cmdCheckConstraintsSheet"/>
      </mc:Fallback>
    </mc:AlternateContent>
    <mc:AlternateContent xmlns:mc="http://schemas.openxmlformats.org/markup-compatibility/2006">
      <mc:Choice Requires="x14">
        <control shapeId="60419" r:id="rId8" name="cmdConstraintUnit">
          <controlPr defaultSize="0" autoLine="0" r:id="rId9">
            <anchor moveWithCells="1">
              <from>
                <xdr:col>3</xdr:col>
                <xdr:colOff>22860</xdr:colOff>
                <xdr:row>4</xdr:row>
                <xdr:rowOff>7620</xdr:rowOff>
              </from>
              <to>
                <xdr:col>3</xdr:col>
                <xdr:colOff>579120</xdr:colOff>
                <xdr:row>5</xdr:row>
                <xdr:rowOff>30480</xdr:rowOff>
              </to>
            </anchor>
          </controlPr>
        </control>
      </mc:Choice>
      <mc:Fallback>
        <control shapeId="60419" r:id="rId8" name="cmdConstraintUnit"/>
      </mc:Fallback>
    </mc:AlternateContent>
    <mc:AlternateContent xmlns:mc="http://schemas.openxmlformats.org/markup-compatibility/2006">
      <mc:Choice Requires="x14">
        <control shapeId="60420" r:id="rId10" name="cmdRefreshUnits">
          <controlPr defaultSize="0" autoLine="0" r:id="rId11">
            <anchor moveWithCells="1">
              <from>
                <xdr:col>3</xdr:col>
                <xdr:colOff>22860</xdr:colOff>
                <xdr:row>2</xdr:row>
                <xdr:rowOff>45720</xdr:rowOff>
              </from>
              <to>
                <xdr:col>3</xdr:col>
                <xdr:colOff>579120</xdr:colOff>
                <xdr:row>4</xdr:row>
                <xdr:rowOff>15240</xdr:rowOff>
              </to>
            </anchor>
          </controlPr>
        </control>
      </mc:Choice>
      <mc:Fallback>
        <control shapeId="60420" r:id="rId10" name="cmdRefreshUnits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3.2"/>
  <cols>
    <col min="1" max="2" width="10.33203125" customWidth="1"/>
    <col min="3" max="3" width="24.33203125" customWidth="1"/>
    <col min="4" max="4" width="7.88671875" customWidth="1"/>
    <col min="6" max="6" width="10.5546875" customWidth="1"/>
    <col min="7" max="7" width="9.88671875" customWidth="1"/>
    <col min="8" max="8" width="8.109375" customWidth="1"/>
    <col min="9" max="11" width="9.33203125" customWidth="1"/>
    <col min="12" max="12" width="12.5546875" customWidth="1"/>
    <col min="13" max="13" width="12.44140625" customWidth="1"/>
  </cols>
  <sheetData>
    <row r="1" spans="1:16">
      <c r="A1" s="1" t="s">
        <v>18</v>
      </c>
      <c r="B1" s="2"/>
    </row>
    <row r="4" spans="1:16" ht="17.25" customHeight="1"/>
    <row r="5" spans="1:16" ht="18" customHeight="1">
      <c r="G5" s="3"/>
      <c r="H5" s="3"/>
      <c r="I5" s="3"/>
      <c r="J5" s="12"/>
      <c r="K5" s="12"/>
      <c r="L5" s="3"/>
      <c r="M5" s="10"/>
      <c r="N5" s="3"/>
      <c r="O5" s="10"/>
      <c r="P5" s="10"/>
    </row>
    <row r="6" spans="1:16" ht="17.25" customHeight="1">
      <c r="G6" s="3"/>
      <c r="H6" s="3"/>
      <c r="I6" s="3"/>
      <c r="J6" s="3"/>
      <c r="K6" s="3"/>
      <c r="L6" s="3"/>
      <c r="M6" s="9"/>
      <c r="N6" s="3"/>
      <c r="O6" s="9"/>
    </row>
    <row r="7" spans="1:16" ht="15.75" customHeight="1"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3"/>
      <c r="H7" s="3"/>
      <c r="I7" s="3"/>
      <c r="J7" s="12"/>
      <c r="K7" s="3"/>
      <c r="L7" s="3"/>
      <c r="M7" s="9"/>
      <c r="N7" s="3"/>
      <c r="P7" s="9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074" r:id="rId4" name="cmdTechNameAndDesc">
          <controlPr defaultSize="0" autoLine="0" r:id="rId5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1554480</xdr:colOff>
                <xdr:row>4</xdr:row>
                <xdr:rowOff>7620</xdr:rowOff>
              </to>
            </anchor>
          </controlPr>
        </control>
      </mc:Choice>
      <mc:Fallback>
        <control shapeId="3074" r:id="rId4" name="cmdTechNameAndDesc"/>
      </mc:Fallback>
    </mc:AlternateContent>
    <mc:AlternateContent xmlns:mc="http://schemas.openxmlformats.org/markup-compatibility/2006">
      <mc:Choice Requires="x14">
        <control shapeId="3075" r:id="rId6" name="cmdCommIN">
          <controlPr defaultSize="0" autoLine="0" r:id="rId7">
            <anchor moveWithCells="1">
              <from>
                <xdr:col>4</xdr:col>
                <xdr:colOff>7620</xdr:colOff>
                <xdr:row>2</xdr:row>
                <xdr:rowOff>144780</xdr:rowOff>
              </from>
              <to>
                <xdr:col>4</xdr:col>
                <xdr:colOff>594360</xdr:colOff>
                <xdr:row>4</xdr:row>
                <xdr:rowOff>0</xdr:rowOff>
              </to>
            </anchor>
          </controlPr>
        </control>
      </mc:Choice>
      <mc:Fallback>
        <control shapeId="3075" r:id="rId6" name="cmdCommIN"/>
      </mc:Fallback>
    </mc:AlternateContent>
    <mc:AlternateContent xmlns:mc="http://schemas.openxmlformats.org/markup-compatibility/2006">
      <mc:Choice Requires="x14">
        <control shapeId="3076" r:id="rId8" name="cmdCommOUT">
          <controlPr defaultSize="0" autoLine="0" r:id="rId9">
            <anchor moveWithCells="1">
              <from>
                <xdr:col>5</xdr:col>
                <xdr:colOff>7620</xdr:colOff>
                <xdr:row>2</xdr:row>
                <xdr:rowOff>144780</xdr:rowOff>
              </from>
              <to>
                <xdr:col>5</xdr:col>
                <xdr:colOff>701040</xdr:colOff>
                <xdr:row>4</xdr:row>
                <xdr:rowOff>0</xdr:rowOff>
              </to>
            </anchor>
          </controlPr>
        </control>
      </mc:Choice>
      <mc:Fallback>
        <control shapeId="3076" r:id="rId8" name="cmdCommOUT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7620</xdr:colOff>
                <xdr:row>3</xdr:row>
                <xdr:rowOff>198120</xdr:rowOff>
              </from>
              <to>
                <xdr:col>0</xdr:col>
                <xdr:colOff>693420</xdr:colOff>
                <xdr:row>4</xdr:row>
                <xdr:rowOff>220980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9" r:id="rId12" name="cmdAddParamQualifier">
          <controlPr defaultSize="0" autoLine="0" autoPict="0" r:id="rId13">
            <anchor moveWithCells="1">
              <from>
                <xdr:col>0</xdr:col>
                <xdr:colOff>7620</xdr:colOff>
                <xdr:row>5</xdr:row>
                <xdr:rowOff>7620</xdr:rowOff>
              </from>
              <to>
                <xdr:col>1</xdr:col>
                <xdr:colOff>7620</xdr:colOff>
                <xdr:row>6</xdr:row>
                <xdr:rowOff>30480</xdr:rowOff>
              </to>
            </anchor>
          </controlPr>
        </control>
      </mc:Choice>
      <mc:Fallback>
        <control shapeId="3079" r:id="rId12" name="cmdAddParamQualifier"/>
      </mc:Fallback>
    </mc:AlternateContent>
    <mc:AlternateContent xmlns:mc="http://schemas.openxmlformats.org/markup-compatibility/2006">
      <mc:Choice Requires="x14">
        <control shapeId="3080" r:id="rId14" name="cmdCheckTechDataSheet">
          <controlPr defaultSize="0" autoLine="0" autoPict="0" r:id="rId15">
            <anchor moveWithCells="1">
              <from>
                <xdr:col>0</xdr:col>
                <xdr:colOff>7620</xdr:colOff>
                <xdr:row>2</xdr:row>
                <xdr:rowOff>152400</xdr:rowOff>
              </from>
              <to>
                <xdr:col>1</xdr:col>
                <xdr:colOff>7620</xdr:colOff>
                <xdr:row>4</xdr:row>
                <xdr:rowOff>7620</xdr:rowOff>
              </to>
            </anchor>
          </controlPr>
        </control>
      </mc:Choice>
      <mc:Fallback>
        <control shapeId="3080" r:id="rId14" name="cmdCheckTechDataSheet"/>
      </mc:Fallback>
    </mc:AlternateContent>
    <mc:AlternateContent xmlns:mc="http://schemas.openxmlformats.org/markup-compatibility/2006">
      <mc:Choice Requires="x14">
        <control shapeId="3112" r:id="rId16" name="cmdRefreshUnits">
          <controlPr defaultSize="0" autoLine="0" r:id="rId17">
            <anchor moveWithCells="1">
              <from>
                <xdr:col>3</xdr:col>
                <xdr:colOff>0</xdr:colOff>
                <xdr:row>2</xdr:row>
                <xdr:rowOff>22860</xdr:rowOff>
              </from>
              <to>
                <xdr:col>4</xdr:col>
                <xdr:colOff>15240</xdr:colOff>
                <xdr:row>4</xdr:row>
                <xdr:rowOff>15240</xdr:rowOff>
              </to>
            </anchor>
          </controlPr>
        </control>
      </mc:Choice>
      <mc:Fallback>
        <control shapeId="3112" r:id="rId16" name="cmdRefreshUnits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rgb="FF92D050"/>
  </sheetPr>
  <dimension ref="A1:AF139"/>
  <sheetViews>
    <sheetView tabSelected="1" zoomScale="75" workbookViewId="0">
      <pane xSplit="5" ySplit="15" topLeftCell="K34" activePane="bottomRight" state="frozen"/>
      <selection activeCell="A2" sqref="A2"/>
      <selection pane="topRight" activeCell="A2" sqref="A2"/>
      <selection pane="bottomLeft" activeCell="A2" sqref="A2"/>
      <selection pane="bottomRight" activeCell="O131" sqref="O131:O135"/>
    </sheetView>
  </sheetViews>
  <sheetFormatPr defaultColWidth="9.109375" defaultRowHeight="13.2"/>
  <cols>
    <col min="1" max="1" width="47.33203125" style="2" bestFit="1" customWidth="1"/>
    <col min="2" max="2" width="21.44140625" style="2" bestFit="1" customWidth="1"/>
    <col min="3" max="3" width="39.33203125" style="2" bestFit="1" customWidth="1"/>
    <col min="4" max="4" width="9" style="2" bestFit="1" customWidth="1"/>
    <col min="5" max="5" width="11.109375" style="2" bestFit="1" customWidth="1"/>
    <col min="6" max="6" width="13.88671875" style="107" bestFit="1" customWidth="1"/>
    <col min="7" max="7" width="11.5546875" style="107" bestFit="1" customWidth="1"/>
    <col min="8" max="8" width="11.5546875" style="107" customWidth="1"/>
    <col min="9" max="9" width="16.6640625" style="107" bestFit="1" customWidth="1"/>
    <col min="10" max="10" width="20.109375" style="107" bestFit="1" customWidth="1"/>
    <col min="11" max="11" width="15.44140625" style="2" bestFit="1" customWidth="1"/>
    <col min="12" max="12" width="13.44140625" style="2" bestFit="1" customWidth="1"/>
    <col min="13" max="13" width="17.88671875" style="2" bestFit="1" customWidth="1"/>
    <col min="14" max="14" width="18.33203125" style="2" bestFit="1" customWidth="1"/>
    <col min="15" max="15" width="18.33203125" style="109" customWidth="1"/>
    <col min="16" max="17" width="14.88671875" style="107" bestFit="1" customWidth="1"/>
    <col min="18" max="18" width="11.6640625" style="107" bestFit="1" customWidth="1"/>
    <col min="19" max="19" width="11.6640625" style="2" bestFit="1" customWidth="1"/>
    <col min="20" max="21" width="15.6640625" style="2" bestFit="1" customWidth="1"/>
    <col min="22" max="23" width="12.6640625" style="2" bestFit="1" customWidth="1"/>
    <col min="24" max="25" width="16.44140625" style="2" bestFit="1" customWidth="1"/>
    <col min="26" max="27" width="13.33203125" style="2" bestFit="1" customWidth="1"/>
    <col min="28" max="28" width="12" style="107" customWidth="1"/>
    <col min="29" max="29" width="6" style="107" bestFit="1" customWidth="1"/>
    <col min="30" max="30" width="7.33203125" style="107" bestFit="1" customWidth="1"/>
    <col min="31" max="31" width="9.109375" style="2"/>
    <col min="32" max="32" width="10" style="2" bestFit="1" customWidth="1"/>
    <col min="33" max="16384" width="9.109375" style="2"/>
  </cols>
  <sheetData>
    <row r="1" spans="1:32">
      <c r="A1" s="1" t="s">
        <v>61</v>
      </c>
      <c r="B1" s="2" t="s">
        <v>162</v>
      </c>
      <c r="K1" s="107"/>
      <c r="S1" s="107"/>
      <c r="T1" s="107"/>
      <c r="U1" s="107"/>
      <c r="V1" s="107"/>
      <c r="W1" s="107"/>
      <c r="X1" s="107"/>
      <c r="Y1" s="107"/>
      <c r="Z1" s="107"/>
      <c r="AA1" s="107"/>
      <c r="AF1" s="107"/>
    </row>
    <row r="4" spans="1:32">
      <c r="E4" s="115" t="s">
        <v>299</v>
      </c>
    </row>
    <row r="5" spans="1:32">
      <c r="A5" s="98" t="s">
        <v>139</v>
      </c>
      <c r="B5" s="98" t="s">
        <v>7</v>
      </c>
      <c r="C5" s="98" t="s">
        <v>298</v>
      </c>
      <c r="D5" s="98" t="s">
        <v>10</v>
      </c>
      <c r="E5" s="98" t="s">
        <v>11</v>
      </c>
      <c r="F5" s="98" t="s">
        <v>300</v>
      </c>
      <c r="H5" s="2"/>
      <c r="I5" s="2"/>
      <c r="J5" s="2"/>
      <c r="M5" s="107"/>
      <c r="N5" s="107"/>
      <c r="O5" s="108"/>
      <c r="Q5" s="2"/>
      <c r="R5" s="2"/>
    </row>
    <row r="6" spans="1:32">
      <c r="A6" s="125" t="s">
        <v>326</v>
      </c>
      <c r="B6" s="112"/>
      <c r="C6" s="112"/>
      <c r="D6" s="114"/>
      <c r="E6" s="114"/>
      <c r="F6" s="113"/>
      <c r="H6" s="2"/>
      <c r="I6" s="2"/>
      <c r="J6" s="2"/>
      <c r="M6" s="107"/>
      <c r="N6" s="107"/>
      <c r="O6" s="108"/>
      <c r="Q6" s="2"/>
      <c r="R6" s="2"/>
    </row>
    <row r="7" spans="1:32">
      <c r="A7" s="121" t="s">
        <v>63</v>
      </c>
      <c r="B7" s="121" t="s">
        <v>333</v>
      </c>
      <c r="C7" s="121" t="s">
        <v>327</v>
      </c>
      <c r="D7" s="109" t="s">
        <v>23</v>
      </c>
      <c r="E7" s="104" t="s">
        <v>320</v>
      </c>
      <c r="F7" s="110">
        <v>1</v>
      </c>
      <c r="H7" s="2"/>
      <c r="I7" s="2"/>
      <c r="J7" s="2"/>
      <c r="M7" s="107"/>
      <c r="N7" s="107"/>
      <c r="O7" s="108"/>
      <c r="Q7" s="2"/>
      <c r="R7" s="2"/>
    </row>
    <row r="8" spans="1:32">
      <c r="A8" s="121" t="s">
        <v>27</v>
      </c>
      <c r="B8" s="121" t="s">
        <v>334</v>
      </c>
      <c r="C8" s="121" t="s">
        <v>328</v>
      </c>
      <c r="D8" s="109" t="s">
        <v>23</v>
      </c>
      <c r="E8" s="104" t="s">
        <v>321</v>
      </c>
      <c r="F8" s="110">
        <v>1</v>
      </c>
      <c r="H8" s="2"/>
      <c r="I8" s="2"/>
      <c r="J8" s="2"/>
      <c r="M8" s="107"/>
      <c r="N8" s="107"/>
      <c r="O8" s="108"/>
      <c r="Q8" s="2"/>
      <c r="R8" s="2"/>
    </row>
    <row r="9" spans="1:32">
      <c r="A9" s="121" t="s">
        <v>64</v>
      </c>
      <c r="B9" s="121" t="s">
        <v>335</v>
      </c>
      <c r="C9" s="121" t="s">
        <v>329</v>
      </c>
      <c r="D9" s="109" t="s">
        <v>23</v>
      </c>
      <c r="E9" s="104" t="s">
        <v>322</v>
      </c>
      <c r="F9" s="110">
        <v>1</v>
      </c>
      <c r="H9" s="2"/>
      <c r="I9" s="2"/>
      <c r="J9" s="2"/>
      <c r="M9" s="107"/>
      <c r="N9" s="107"/>
      <c r="O9" s="108"/>
      <c r="Q9" s="2"/>
      <c r="R9" s="2"/>
    </row>
    <row r="10" spans="1:32">
      <c r="A10" s="121" t="s">
        <v>65</v>
      </c>
      <c r="B10" s="121" t="s">
        <v>336</v>
      </c>
      <c r="C10" s="121" t="s">
        <v>330</v>
      </c>
      <c r="D10" s="109" t="s">
        <v>23</v>
      </c>
      <c r="E10" s="104" t="s">
        <v>323</v>
      </c>
      <c r="F10" s="110">
        <v>1</v>
      </c>
      <c r="H10" s="2"/>
      <c r="I10" s="2"/>
      <c r="J10" s="2"/>
      <c r="M10" s="107"/>
      <c r="N10" s="107"/>
      <c r="O10" s="108"/>
      <c r="Q10" s="2"/>
      <c r="R10" s="2"/>
    </row>
    <row r="11" spans="1:32">
      <c r="A11" s="121" t="s">
        <v>66</v>
      </c>
      <c r="B11" s="121" t="s">
        <v>337</v>
      </c>
      <c r="C11" s="121" t="s">
        <v>331</v>
      </c>
      <c r="D11" s="109" t="s">
        <v>23</v>
      </c>
      <c r="E11" s="104" t="s">
        <v>324</v>
      </c>
      <c r="F11" s="110">
        <v>1</v>
      </c>
      <c r="H11" s="2"/>
      <c r="I11" s="2"/>
      <c r="J11" s="2"/>
      <c r="M11" s="107"/>
      <c r="N11" s="107"/>
      <c r="O11" s="108"/>
      <c r="Q11" s="2"/>
      <c r="R11" s="2"/>
    </row>
    <row r="12" spans="1:32">
      <c r="A12" s="121" t="s">
        <v>67</v>
      </c>
      <c r="B12" s="121" t="s">
        <v>338</v>
      </c>
      <c r="C12" s="121" t="s">
        <v>332</v>
      </c>
      <c r="D12" s="109" t="s">
        <v>23</v>
      </c>
      <c r="E12" s="104" t="s">
        <v>325</v>
      </c>
      <c r="F12" s="110">
        <v>1</v>
      </c>
      <c r="H12" s="2"/>
      <c r="I12" s="2"/>
      <c r="J12" s="2"/>
      <c r="M12" s="107"/>
      <c r="N12" s="107"/>
      <c r="O12" s="108"/>
      <c r="Q12" s="2"/>
      <c r="R12" s="2"/>
    </row>
    <row r="14" spans="1:32" ht="17.25" customHeight="1">
      <c r="E14" s="115" t="s">
        <v>299</v>
      </c>
    </row>
    <row r="15" spans="1:32" ht="15.75" customHeight="1">
      <c r="A15" s="98" t="s">
        <v>139</v>
      </c>
      <c r="B15" s="98" t="s">
        <v>7</v>
      </c>
      <c r="C15" s="98" t="s">
        <v>298</v>
      </c>
      <c r="D15" s="98" t="s">
        <v>10</v>
      </c>
      <c r="E15" s="98" t="s">
        <v>11</v>
      </c>
      <c r="F15" s="98" t="s">
        <v>290</v>
      </c>
      <c r="G15" s="98" t="s">
        <v>351</v>
      </c>
      <c r="H15" s="98" t="s">
        <v>300</v>
      </c>
      <c r="I15" s="98" t="s">
        <v>359</v>
      </c>
      <c r="J15" s="98" t="s">
        <v>356</v>
      </c>
      <c r="K15" s="98" t="s">
        <v>294</v>
      </c>
      <c r="L15" s="98" t="s">
        <v>295</v>
      </c>
      <c r="M15" s="98" t="s">
        <v>360</v>
      </c>
      <c r="N15" s="98" t="s">
        <v>361</v>
      </c>
      <c r="O15" s="98" t="s">
        <v>407</v>
      </c>
      <c r="P15" s="107" t="s">
        <v>339</v>
      </c>
      <c r="Q15" s="107" t="s">
        <v>340</v>
      </c>
      <c r="R15" s="107" t="s">
        <v>341</v>
      </c>
      <c r="S15" s="107" t="s">
        <v>342</v>
      </c>
      <c r="T15" s="108" t="s">
        <v>343</v>
      </c>
      <c r="U15" s="107" t="s">
        <v>344</v>
      </c>
      <c r="V15" s="107" t="s">
        <v>345</v>
      </c>
      <c r="W15" s="107" t="s">
        <v>346</v>
      </c>
      <c r="X15" s="107" t="s">
        <v>347</v>
      </c>
      <c r="Y15" s="107" t="s">
        <v>348</v>
      </c>
      <c r="Z15" s="107" t="s">
        <v>349</v>
      </c>
      <c r="AA15" s="107" t="s">
        <v>350</v>
      </c>
      <c r="AB15" s="108"/>
      <c r="AC15" s="98" t="s">
        <v>291</v>
      </c>
      <c r="AD15" s="98" t="s">
        <v>292</v>
      </c>
      <c r="AF15" s="98" t="s">
        <v>358</v>
      </c>
    </row>
    <row r="16" spans="1:32">
      <c r="A16" s="112" t="s">
        <v>70</v>
      </c>
      <c r="B16" s="112"/>
      <c r="C16" s="112"/>
      <c r="D16" s="112"/>
      <c r="E16" s="112"/>
      <c r="F16" s="113"/>
      <c r="G16" s="113"/>
      <c r="H16" s="113"/>
      <c r="I16" s="113"/>
      <c r="J16" s="113"/>
      <c r="K16" s="112"/>
      <c r="L16" s="112"/>
      <c r="M16" s="112"/>
      <c r="N16" s="112"/>
      <c r="O16" s="125"/>
      <c r="AC16" s="113"/>
      <c r="AD16" s="113"/>
      <c r="AF16" s="112"/>
    </row>
    <row r="17" spans="1:32">
      <c r="A17" s="112" t="s">
        <v>71</v>
      </c>
      <c r="B17" s="112"/>
      <c r="C17" s="112"/>
      <c r="D17" s="114"/>
      <c r="E17" s="114"/>
      <c r="F17" s="113"/>
      <c r="G17" s="113"/>
      <c r="H17" s="113"/>
      <c r="I17" s="113"/>
      <c r="J17" s="113"/>
      <c r="K17" s="112"/>
      <c r="L17" s="112"/>
      <c r="M17" s="112"/>
      <c r="N17" s="112"/>
      <c r="O17" s="125"/>
      <c r="AC17" s="113"/>
      <c r="AD17" s="113"/>
      <c r="AF17" s="112"/>
    </row>
    <row r="18" spans="1:32">
      <c r="A18" s="101" t="str">
        <f>Technologies!B16</f>
        <v>* Not Allowed</v>
      </c>
      <c r="B18" s="101" t="str">
        <f>Technologies!C16</f>
        <v>XELCR1E</v>
      </c>
      <c r="C18" s="101" t="str">
        <f>Technologies!D16</f>
        <v>Electricity Imports from R1 to R1 -  Existing</v>
      </c>
      <c r="D18" s="104" t="str">
        <f t="shared" ref="D18:D26" si="0">MID(B18,2,5)</f>
        <v>ELCR1</v>
      </c>
      <c r="E18" s="104" t="str">
        <f>Commodities!$C$28</f>
        <v>ELC</v>
      </c>
      <c r="F18" s="110">
        <v>2010</v>
      </c>
      <c r="G18" s="110">
        <v>50</v>
      </c>
      <c r="H18" s="110"/>
      <c r="I18" s="110">
        <v>31.536000000000001</v>
      </c>
      <c r="J18" s="110" t="str">
        <f>Domestic!D36</f>
        <v/>
      </c>
      <c r="K18" s="101"/>
      <c r="L18" s="110" t="str">
        <f>IF(LEFT($A18,1)="R",1,"")</f>
        <v/>
      </c>
      <c r="M18" s="101"/>
      <c r="N18" s="101"/>
      <c r="O18" s="121"/>
      <c r="P18" s="107" t="str">
        <f>Domestic!$D76</f>
        <v/>
      </c>
      <c r="Q18" s="107" t="str">
        <f>Domestic!$D76</f>
        <v/>
      </c>
      <c r="R18" s="107" t="str">
        <f>Domestic!$D76</f>
        <v/>
      </c>
      <c r="T18" s="107" t="str">
        <f>Domestic!$D63</f>
        <v/>
      </c>
      <c r="U18" s="107" t="str">
        <f>Domestic!$D63</f>
        <v/>
      </c>
      <c r="V18" s="107" t="str">
        <f>Domestic!$D63</f>
        <v/>
      </c>
      <c r="W18" s="2" t="str">
        <f t="shared" ref="W18:W23" si="1">T18</f>
        <v/>
      </c>
      <c r="X18" s="107" t="str">
        <f>Domestic!$D50</f>
        <v/>
      </c>
      <c r="Y18" s="107" t="str">
        <f>Domestic!$D50</f>
        <v/>
      </c>
      <c r="Z18" s="107" t="str">
        <f>Domestic!$D50</f>
        <v/>
      </c>
      <c r="AA18" s="2" t="str">
        <f>X18</f>
        <v/>
      </c>
      <c r="AC18" s="148" t="str">
        <f>IF(LEFT($A18,1)="R",1,"")</f>
        <v/>
      </c>
      <c r="AD18" s="110" t="str">
        <f>IF(LEFT($A18,1)="R",1,"")</f>
        <v/>
      </c>
      <c r="AF18" s="110" t="str">
        <f>IF(LEFT($A18,1)="R",0,"")</f>
        <v/>
      </c>
    </row>
    <row r="19" spans="1:32">
      <c r="A19" s="101" t="str">
        <f>Technologies!B17</f>
        <v>R1</v>
      </c>
      <c r="B19" s="101" t="str">
        <f>Technologies!C17</f>
        <v>XELCR2E</v>
      </c>
      <c r="C19" s="101" t="str">
        <f>Technologies!D17</f>
        <v>Electricity Imports from R2 to R1 -  Existing</v>
      </c>
      <c r="D19" s="104" t="str">
        <f t="shared" si="0"/>
        <v>ELCR2</v>
      </c>
      <c r="E19" s="104" t="str">
        <f>Commodities!$C$28</f>
        <v>ELC</v>
      </c>
      <c r="F19" s="110">
        <v>2010</v>
      </c>
      <c r="G19" s="110">
        <v>50</v>
      </c>
      <c r="H19" s="110">
        <f>AD19/AC19</f>
        <v>0.90909090909090906</v>
      </c>
      <c r="I19" s="110">
        <v>31.536000000000001</v>
      </c>
      <c r="J19" s="133">
        <f>Domestic_NYC!E36</f>
        <v>2.3477596741344193</v>
      </c>
      <c r="K19" s="101"/>
      <c r="L19" s="110">
        <v>1</v>
      </c>
      <c r="M19" s="101"/>
      <c r="N19" s="101"/>
      <c r="O19" s="121"/>
      <c r="P19" s="107">
        <f>Domestic_NYC!$D77</f>
        <v>0.95</v>
      </c>
      <c r="Q19" s="107">
        <f>P19</f>
        <v>0.95</v>
      </c>
      <c r="R19" s="107">
        <f>P19</f>
        <v>0.95</v>
      </c>
      <c r="S19" s="2">
        <f t="shared" ref="S19:S23" si="2">P19</f>
        <v>0.95</v>
      </c>
      <c r="T19" s="107">
        <f>Domestic_NYC!$D64</f>
        <v>0.95</v>
      </c>
      <c r="U19" s="107">
        <f>T19</f>
        <v>0.95</v>
      </c>
      <c r="V19" s="107">
        <f>T19</f>
        <v>0.95</v>
      </c>
      <c r="W19" s="2">
        <f t="shared" si="1"/>
        <v>0.95</v>
      </c>
      <c r="X19" s="107">
        <f>Domestic_NYC!$D51</f>
        <v>0.95</v>
      </c>
      <c r="Y19" s="107">
        <f>X19</f>
        <v>0.95</v>
      </c>
      <c r="Z19" s="107">
        <f>X19</f>
        <v>0.95</v>
      </c>
      <c r="AA19" s="2">
        <f t="shared" ref="AA19:AA23" si="3">X19</f>
        <v>0.95</v>
      </c>
      <c r="AC19" s="148">
        <v>1.1000000000000001</v>
      </c>
      <c r="AD19" s="110">
        <f>IF(LEFT($A19,1)="R",1,"")</f>
        <v>1</v>
      </c>
      <c r="AF19" s="110">
        <v>0</v>
      </c>
    </row>
    <row r="20" spans="1:32">
      <c r="A20" s="101" t="str">
        <f>Technologies!B18</f>
        <v>R2</v>
      </c>
      <c r="B20" s="101" t="str">
        <f>Technologies!C18</f>
        <v>XELCR3E</v>
      </c>
      <c r="C20" s="101" t="str">
        <f>Technologies!D18</f>
        <v>Electricity Imports from R3 to R1 -  Existing</v>
      </c>
      <c r="D20" s="104" t="str">
        <f t="shared" si="0"/>
        <v>ELCR3</v>
      </c>
      <c r="E20" s="104" t="str">
        <f>Commodities!$C$28</f>
        <v>ELC</v>
      </c>
      <c r="F20" s="110">
        <v>2010</v>
      </c>
      <c r="G20" s="110">
        <v>50</v>
      </c>
      <c r="H20" s="110">
        <f t="shared" ref="H20:H23" si="4">AD20/AC20</f>
        <v>0.90909090909090906</v>
      </c>
      <c r="I20" s="110">
        <v>31.536000000000001</v>
      </c>
      <c r="J20" s="133">
        <f>Domestic_NYC!F36</f>
        <v>1.3276985743380856</v>
      </c>
      <c r="K20" s="101"/>
      <c r="L20" s="110">
        <v>1</v>
      </c>
      <c r="M20" s="101"/>
      <c r="N20" s="101"/>
      <c r="O20" s="121"/>
      <c r="P20" s="107">
        <f>Domestic_NYC!$D78</f>
        <v>0.95</v>
      </c>
      <c r="Q20" s="107">
        <f>Domestic_NYC!$D78</f>
        <v>0.95</v>
      </c>
      <c r="R20" s="107">
        <f>Domestic_NYC!$D78</f>
        <v>0.95</v>
      </c>
      <c r="S20" s="2">
        <f t="shared" si="2"/>
        <v>0.95</v>
      </c>
      <c r="T20" s="107">
        <f>Domestic_NYC!$D65</f>
        <v>0.95</v>
      </c>
      <c r="U20" s="107">
        <f>Domestic_NYC!$D65</f>
        <v>0.95</v>
      </c>
      <c r="V20" s="107">
        <f>Domestic_NYC!$D65</f>
        <v>0.95</v>
      </c>
      <c r="W20" s="2">
        <f t="shared" si="1"/>
        <v>0.95</v>
      </c>
      <c r="X20" s="107">
        <f>Domestic_NYC!$D52</f>
        <v>0.95</v>
      </c>
      <c r="Y20" s="107">
        <f>Domestic_NYC!$D52</f>
        <v>0.95</v>
      </c>
      <c r="Z20" s="107">
        <f>Domestic_NYC!$D52</f>
        <v>0.95</v>
      </c>
      <c r="AA20" s="2">
        <f t="shared" si="3"/>
        <v>0.95</v>
      </c>
      <c r="AC20" s="148">
        <v>1.1000000000000001</v>
      </c>
      <c r="AD20" s="110">
        <f t="shared" ref="AD20:AD23" si="5">IF(LEFT($A20,1)="R",1,"")</f>
        <v>1</v>
      </c>
      <c r="AF20" s="110">
        <v>0</v>
      </c>
    </row>
    <row r="21" spans="1:32">
      <c r="A21" s="101" t="str">
        <f>Technologies!B19</f>
        <v>R3</v>
      </c>
      <c r="B21" s="101" t="str">
        <f>Technologies!C19</f>
        <v>XELCR4E</v>
      </c>
      <c r="C21" s="101" t="str">
        <f>Technologies!D19</f>
        <v>Electricity Imports from R4 to R1 -  Existing</v>
      </c>
      <c r="D21" s="104" t="str">
        <f t="shared" si="0"/>
        <v>ELCR4</v>
      </c>
      <c r="E21" s="104" t="str">
        <f>Commodities!$C$28</f>
        <v>ELC</v>
      </c>
      <c r="F21" s="110">
        <v>2010</v>
      </c>
      <c r="G21" s="110">
        <v>50</v>
      </c>
      <c r="H21" s="110">
        <f t="shared" si="4"/>
        <v>0.90909090909090906</v>
      </c>
      <c r="I21" s="110">
        <v>31.536000000000001</v>
      </c>
      <c r="J21" s="133">
        <f>Domestic_NYC!G36</f>
        <v>1.379271328354831</v>
      </c>
      <c r="K21" s="101"/>
      <c r="L21" s="110">
        <v>1</v>
      </c>
      <c r="M21" s="101"/>
      <c r="N21" s="101"/>
      <c r="O21" s="121"/>
      <c r="P21" s="107">
        <f>Domestic_NYC!$D79</f>
        <v>0.95</v>
      </c>
      <c r="Q21" s="107">
        <f>Domestic_NYC!$D79</f>
        <v>0.95</v>
      </c>
      <c r="R21" s="107">
        <f>Domestic_NYC!$D79</f>
        <v>0.95</v>
      </c>
      <c r="S21" s="2">
        <f t="shared" si="2"/>
        <v>0.95</v>
      </c>
      <c r="T21" s="107">
        <f>Domestic_NYC!$D66</f>
        <v>0.95</v>
      </c>
      <c r="U21" s="107">
        <f>Domestic_NYC!$D66</f>
        <v>0.95</v>
      </c>
      <c r="V21" s="107">
        <f>Domestic_NYC!$D66</f>
        <v>0.95</v>
      </c>
      <c r="W21" s="2">
        <f t="shared" si="1"/>
        <v>0.95</v>
      </c>
      <c r="X21" s="107">
        <f>Domestic_NYC!$D53</f>
        <v>0.95</v>
      </c>
      <c r="Y21" s="107">
        <f>Domestic_NYC!$D53</f>
        <v>0.95</v>
      </c>
      <c r="Z21" s="107">
        <f>Domestic_NYC!$D53</f>
        <v>0.95</v>
      </c>
      <c r="AA21" s="2">
        <f t="shared" si="3"/>
        <v>0.95</v>
      </c>
      <c r="AC21" s="148">
        <v>1.1000000000000001</v>
      </c>
      <c r="AD21" s="110">
        <f t="shared" si="5"/>
        <v>1</v>
      </c>
      <c r="AF21" s="110">
        <v>0</v>
      </c>
    </row>
    <row r="22" spans="1:32">
      <c r="A22" s="101" t="str">
        <f>Technologies!B20</f>
        <v>R4</v>
      </c>
      <c r="B22" s="101" t="str">
        <f>Technologies!C20</f>
        <v>XELCR5E</v>
      </c>
      <c r="C22" s="101" t="str">
        <f>Technologies!D20</f>
        <v>Electricity Imports from R5 to R1 -  Existing</v>
      </c>
      <c r="D22" s="104" t="str">
        <f t="shared" si="0"/>
        <v>ELCR5</v>
      </c>
      <c r="E22" s="104" t="str">
        <f>Commodities!$C$28</f>
        <v>ELC</v>
      </c>
      <c r="F22" s="110">
        <v>2010</v>
      </c>
      <c r="G22" s="110">
        <v>50</v>
      </c>
      <c r="H22" s="110">
        <f t="shared" si="4"/>
        <v>0.90909090909090906</v>
      </c>
      <c r="I22" s="110">
        <v>31.536000000000001</v>
      </c>
      <c r="J22" s="133">
        <f>Domestic_NYC!H36</f>
        <v>0.17090970807875086</v>
      </c>
      <c r="K22" s="101"/>
      <c r="L22" s="110">
        <v>1</v>
      </c>
      <c r="M22" s="101"/>
      <c r="N22" s="101"/>
      <c r="O22" s="121"/>
      <c r="P22" s="107">
        <f>Domestic_NYC!$D80</f>
        <v>0.95</v>
      </c>
      <c r="Q22" s="107">
        <f>Domestic_NYC!$D80</f>
        <v>0.95</v>
      </c>
      <c r="R22" s="107">
        <f>Domestic_NYC!$D80</f>
        <v>0.95</v>
      </c>
      <c r="S22" s="2">
        <f t="shared" si="2"/>
        <v>0.95</v>
      </c>
      <c r="T22" s="107">
        <f>Domestic_NYC!$D67</f>
        <v>0.95</v>
      </c>
      <c r="U22" s="107">
        <f>Domestic_NYC!$D67</f>
        <v>0.95</v>
      </c>
      <c r="V22" s="107">
        <f>Domestic_NYC!$D67</f>
        <v>0.95</v>
      </c>
      <c r="W22" s="2">
        <f t="shared" si="1"/>
        <v>0.95</v>
      </c>
      <c r="X22" s="107">
        <f>Domestic_NYC!$D54</f>
        <v>0.95</v>
      </c>
      <c r="Y22" s="107">
        <f>Domestic_NYC!$D54</f>
        <v>0.95</v>
      </c>
      <c r="Z22" s="107">
        <f>Domestic_NYC!$D54</f>
        <v>0.95</v>
      </c>
      <c r="AA22" s="2">
        <f t="shared" si="3"/>
        <v>0.95</v>
      </c>
      <c r="AC22" s="148">
        <v>1.1000000000000001</v>
      </c>
      <c r="AD22" s="110">
        <f t="shared" si="5"/>
        <v>1</v>
      </c>
      <c r="AF22" s="110">
        <v>0</v>
      </c>
    </row>
    <row r="23" spans="1:32">
      <c r="A23" s="101" t="str">
        <f>Technologies!B21</f>
        <v>R5</v>
      </c>
      <c r="B23" s="101" t="str">
        <f>Technologies!C21</f>
        <v>XELCR6E</v>
      </c>
      <c r="C23" s="101" t="str">
        <f>Technologies!D21</f>
        <v>Electricity Imports from R6 to R1 -  Existing</v>
      </c>
      <c r="D23" s="104" t="str">
        <f t="shared" si="0"/>
        <v>ELCR6</v>
      </c>
      <c r="E23" s="104" t="str">
        <f>Commodities!$C$28</f>
        <v>ELC</v>
      </c>
      <c r="F23" s="110">
        <v>2010</v>
      </c>
      <c r="G23" s="110">
        <v>50</v>
      </c>
      <c r="H23" s="110">
        <f t="shared" si="4"/>
        <v>0.90909090909090906</v>
      </c>
      <c r="I23" s="110">
        <v>31.536000000000001</v>
      </c>
      <c r="J23" s="133">
        <f>Domestic_NYC!I36</f>
        <v>7.4360715093912774E-2</v>
      </c>
      <c r="K23" s="101"/>
      <c r="L23" s="110">
        <v>1</v>
      </c>
      <c r="M23" s="101"/>
      <c r="N23" s="101"/>
      <c r="O23" s="121"/>
      <c r="P23" s="107">
        <f>Domestic_NYC!$D81</f>
        <v>0.95</v>
      </c>
      <c r="Q23" s="107">
        <f>Domestic_NYC!$D81</f>
        <v>0.95</v>
      </c>
      <c r="R23" s="107">
        <f>Domestic_NYC!$D81</f>
        <v>0.95</v>
      </c>
      <c r="S23" s="2">
        <f t="shared" si="2"/>
        <v>0.95</v>
      </c>
      <c r="T23" s="107">
        <f>Domestic_NYC!$D68</f>
        <v>0.95</v>
      </c>
      <c r="U23" s="107">
        <f>Domestic_NYC!$D68</f>
        <v>0.95</v>
      </c>
      <c r="V23" s="107">
        <f>Domestic_NYC!$D68</f>
        <v>0.95</v>
      </c>
      <c r="W23" s="2">
        <f t="shared" si="1"/>
        <v>0.95</v>
      </c>
      <c r="X23" s="107">
        <f>Domestic_NYC!$D55</f>
        <v>0.95</v>
      </c>
      <c r="Y23" s="107">
        <f>Domestic_NYC!$D55</f>
        <v>0.95</v>
      </c>
      <c r="Z23" s="107">
        <f>Domestic_NYC!$D55</f>
        <v>0.95</v>
      </c>
      <c r="AA23" s="2">
        <f t="shared" si="3"/>
        <v>0.95</v>
      </c>
      <c r="AC23" s="148">
        <v>1.1000000000000001</v>
      </c>
      <c r="AD23" s="110">
        <f t="shared" si="5"/>
        <v>1</v>
      </c>
      <c r="AF23" s="110">
        <v>0</v>
      </c>
    </row>
    <row r="24" spans="1:32">
      <c r="A24" s="101" t="str">
        <f>Technologies!B22</f>
        <v>* Not Allowed</v>
      </c>
      <c r="B24" s="101" t="str">
        <f>Technologies!C22</f>
        <v>XELCR7E</v>
      </c>
      <c r="C24" s="101" t="str">
        <f>Technologies!D22</f>
        <v>Electricity Imports from R7 to R1 -  Existing</v>
      </c>
      <c r="D24" s="104" t="str">
        <f t="shared" si="0"/>
        <v>ELCR7</v>
      </c>
      <c r="E24" s="104" t="str">
        <f>Commodities!$C$28</f>
        <v>ELC</v>
      </c>
      <c r="F24" s="110">
        <v>2010</v>
      </c>
      <c r="G24" s="110">
        <v>50</v>
      </c>
      <c r="H24" s="110"/>
      <c r="I24" s="110">
        <v>31.536000000000001</v>
      </c>
      <c r="J24" s="110"/>
      <c r="K24" s="101"/>
      <c r="L24" s="110" t="s">
        <v>96</v>
      </c>
      <c r="M24" s="101"/>
      <c r="N24" s="101"/>
      <c r="O24" s="121"/>
      <c r="P24" s="107" t="s">
        <v>96</v>
      </c>
      <c r="Q24" s="107" t="s">
        <v>96</v>
      </c>
      <c r="R24" s="107" t="s">
        <v>96</v>
      </c>
      <c r="S24" s="2" t="s">
        <v>96</v>
      </c>
      <c r="T24" s="107" t="s">
        <v>96</v>
      </c>
      <c r="U24" s="107" t="s">
        <v>96</v>
      </c>
      <c r="V24" s="107" t="s">
        <v>96</v>
      </c>
      <c r="W24" s="2" t="s">
        <v>96</v>
      </c>
      <c r="X24" s="107" t="s">
        <v>96</v>
      </c>
      <c r="Y24" s="107" t="s">
        <v>96</v>
      </c>
      <c r="Z24" s="107" t="s">
        <v>96</v>
      </c>
      <c r="AA24" s="2" t="s">
        <v>96</v>
      </c>
      <c r="AC24" s="148" t="s">
        <v>96</v>
      </c>
      <c r="AD24" s="110" t="s">
        <v>96</v>
      </c>
      <c r="AF24" s="110" t="s">
        <v>96</v>
      </c>
    </row>
    <row r="25" spans="1:32">
      <c r="A25" s="101" t="str">
        <f>Technologies!B23</f>
        <v>* Not Allowed</v>
      </c>
      <c r="B25" s="101" t="str">
        <f>Technologies!C23</f>
        <v>XELCR8E</v>
      </c>
      <c r="C25" s="101" t="str">
        <f>Technologies!D23</f>
        <v>Electricity Imports from R8 to R1 -  Existing</v>
      </c>
      <c r="D25" s="104" t="str">
        <f t="shared" si="0"/>
        <v>ELCR8</v>
      </c>
      <c r="E25" s="104" t="str">
        <f>Commodities!$C$28</f>
        <v>ELC</v>
      </c>
      <c r="F25" s="110">
        <v>2010</v>
      </c>
      <c r="G25" s="110">
        <v>50</v>
      </c>
      <c r="H25" s="110"/>
      <c r="I25" s="110">
        <v>31.536000000000001</v>
      </c>
      <c r="J25" s="110" t="s">
        <v>96</v>
      </c>
      <c r="K25" s="101"/>
      <c r="L25" s="110" t="s">
        <v>96</v>
      </c>
      <c r="M25" s="101"/>
      <c r="N25" s="101"/>
      <c r="O25" s="121"/>
      <c r="P25" s="107" t="s">
        <v>96</v>
      </c>
      <c r="Q25" s="107" t="s">
        <v>96</v>
      </c>
      <c r="R25" s="107" t="s">
        <v>96</v>
      </c>
      <c r="S25" s="2" t="s">
        <v>96</v>
      </c>
      <c r="T25" s="107" t="s">
        <v>96</v>
      </c>
      <c r="U25" s="107" t="s">
        <v>96</v>
      </c>
      <c r="V25" s="107" t="s">
        <v>96</v>
      </c>
      <c r="W25" s="2" t="s">
        <v>96</v>
      </c>
      <c r="X25" s="107" t="s">
        <v>96</v>
      </c>
      <c r="Y25" s="107" t="s">
        <v>96</v>
      </c>
      <c r="Z25" s="107" t="s">
        <v>96</v>
      </c>
      <c r="AA25" s="2" t="s">
        <v>96</v>
      </c>
      <c r="AC25" s="148" t="s">
        <v>96</v>
      </c>
      <c r="AD25" s="110" t="s">
        <v>96</v>
      </c>
      <c r="AF25" s="110" t="s">
        <v>96</v>
      </c>
    </row>
    <row r="26" spans="1:32">
      <c r="A26" s="101" t="str">
        <f>Technologies!B24</f>
        <v>* Not Allowed</v>
      </c>
      <c r="B26" s="101" t="str">
        <f>Technologies!C24</f>
        <v>XELCR9E</v>
      </c>
      <c r="C26" s="101" t="str">
        <f>Technologies!D24</f>
        <v>Electricity Imports from R9 to R1 -  Existing</v>
      </c>
      <c r="D26" s="104" t="str">
        <f t="shared" si="0"/>
        <v>ELCR9</v>
      </c>
      <c r="E26" s="104" t="str">
        <f>Commodities!$C$28</f>
        <v>ELC</v>
      </c>
      <c r="F26" s="110">
        <v>2010</v>
      </c>
      <c r="G26" s="110">
        <v>50</v>
      </c>
      <c r="H26" s="110"/>
      <c r="I26" s="110">
        <v>31.536000000000001</v>
      </c>
      <c r="J26" s="110" t="s">
        <v>96</v>
      </c>
      <c r="K26" s="101"/>
      <c r="L26" s="110" t="s">
        <v>96</v>
      </c>
      <c r="M26" s="101"/>
      <c r="N26" s="101"/>
      <c r="O26" s="121"/>
      <c r="P26" s="107" t="s">
        <v>96</v>
      </c>
      <c r="Q26" s="107" t="s">
        <v>96</v>
      </c>
      <c r="R26" s="107" t="s">
        <v>96</v>
      </c>
      <c r="S26" s="2" t="s">
        <v>96</v>
      </c>
      <c r="T26" s="107" t="s">
        <v>96</v>
      </c>
      <c r="U26" s="107" t="s">
        <v>96</v>
      </c>
      <c r="V26" s="107" t="s">
        <v>96</v>
      </c>
      <c r="W26" s="2" t="s">
        <v>96</v>
      </c>
      <c r="X26" s="107" t="s">
        <v>96</v>
      </c>
      <c r="Y26" s="107" t="s">
        <v>96</v>
      </c>
      <c r="Z26" s="107" t="s">
        <v>96</v>
      </c>
      <c r="AA26" s="2" t="s">
        <v>96</v>
      </c>
      <c r="AC26" s="148" t="s">
        <v>96</v>
      </c>
      <c r="AD26" s="110" t="s">
        <v>96</v>
      </c>
      <c r="AF26" s="110" t="s">
        <v>96</v>
      </c>
    </row>
    <row r="27" spans="1:32">
      <c r="A27" s="112" t="s">
        <v>72</v>
      </c>
      <c r="B27" s="112"/>
      <c r="C27" s="112"/>
      <c r="D27" s="112"/>
      <c r="E27" s="112" t="str">
        <f>MID(B27,4,5)</f>
        <v/>
      </c>
      <c r="F27" s="112"/>
      <c r="G27" s="112"/>
      <c r="H27" s="112"/>
      <c r="I27" s="112"/>
      <c r="J27" s="112"/>
      <c r="K27" s="112"/>
      <c r="L27" s="112" t="s">
        <v>96</v>
      </c>
      <c r="M27" s="112"/>
      <c r="N27" s="112"/>
      <c r="O27" s="125"/>
      <c r="AC27" s="149"/>
      <c r="AD27" s="112"/>
      <c r="AF27" s="112" t="s">
        <v>96</v>
      </c>
    </row>
    <row r="28" spans="1:32">
      <c r="A28" s="101" t="str">
        <f>Technologies!B26</f>
        <v>R2</v>
      </c>
      <c r="B28" s="101" t="str">
        <f>Technologies!C26</f>
        <v>XELCR1E</v>
      </c>
      <c r="C28" s="101" t="str">
        <f>Technologies!D26</f>
        <v>Electricity Imports from R1 to R2 - Existing</v>
      </c>
      <c r="D28" s="104" t="str">
        <f t="shared" ref="D28:D36" si="6">MID(B28,2,5)</f>
        <v>ELCR1</v>
      </c>
      <c r="E28" s="104" t="str">
        <f>Commodities!$C$28</f>
        <v>ELC</v>
      </c>
      <c r="F28" s="110">
        <v>2010</v>
      </c>
      <c r="G28" s="110">
        <v>50</v>
      </c>
      <c r="H28" s="110">
        <f>AD28/AC28</f>
        <v>0.90909090909090906</v>
      </c>
      <c r="I28" s="110">
        <v>31.536000000000001</v>
      </c>
      <c r="J28" s="133">
        <f>Domestic_NYC!D37</f>
        <v>2.3477596741344193</v>
      </c>
      <c r="K28" s="101"/>
      <c r="L28" s="110">
        <v>1</v>
      </c>
      <c r="M28" s="101"/>
      <c r="N28" s="101"/>
      <c r="O28" s="121">
        <v>0.9</v>
      </c>
      <c r="P28" s="107">
        <f>Domestic_NYC!$E76</f>
        <v>0.95</v>
      </c>
      <c r="Q28" s="107">
        <f>P28</f>
        <v>0.95</v>
      </c>
      <c r="R28" s="107">
        <f>P28</f>
        <v>0.95</v>
      </c>
      <c r="S28" s="2">
        <f t="shared" ref="S28:S33" si="7">P28</f>
        <v>0.95</v>
      </c>
      <c r="T28" s="107">
        <f>Domestic_NYC!$E63</f>
        <v>0.95</v>
      </c>
      <c r="U28" s="107">
        <f>T28</f>
        <v>0.95</v>
      </c>
      <c r="V28" s="107">
        <f>T28</f>
        <v>0.95</v>
      </c>
      <c r="W28" s="2">
        <f t="shared" ref="W28:W33" si="8">T28</f>
        <v>0.95</v>
      </c>
      <c r="X28" s="107">
        <f>Domestic_NYC!$E50</f>
        <v>0.95</v>
      </c>
      <c r="Y28" s="107">
        <f>X28</f>
        <v>0.95</v>
      </c>
      <c r="Z28" s="107">
        <f>X28</f>
        <v>0.95</v>
      </c>
      <c r="AA28" s="2">
        <f t="shared" ref="AA28:AA33" si="9">X28</f>
        <v>0.95</v>
      </c>
      <c r="AC28" s="148">
        <v>1.1000000000000001</v>
      </c>
      <c r="AD28" s="110">
        <f t="shared" ref="AD28" si="10">IF(LEFT($A28,1)="R",1,"")</f>
        <v>1</v>
      </c>
      <c r="AF28" s="110">
        <v>0</v>
      </c>
    </row>
    <row r="29" spans="1:32">
      <c r="A29" s="101" t="str">
        <f>Technologies!B27</f>
        <v>* Not Allowed</v>
      </c>
      <c r="B29" s="101" t="str">
        <f>Technologies!C27</f>
        <v>XELCR2E</v>
      </c>
      <c r="C29" s="101" t="str">
        <f>Technologies!D27</f>
        <v>Electricity Imports from R2 to R2 - Existing</v>
      </c>
      <c r="D29" s="104" t="str">
        <f t="shared" si="6"/>
        <v>ELCR2</v>
      </c>
      <c r="E29" s="104" t="str">
        <f>Commodities!$C$28</f>
        <v>ELC</v>
      </c>
      <c r="F29" s="110">
        <v>2010</v>
      </c>
      <c r="G29" s="110">
        <v>50</v>
      </c>
      <c r="H29" s="110"/>
      <c r="I29" s="110">
        <v>31.536000000000001</v>
      </c>
      <c r="J29" s="133"/>
      <c r="K29" s="101"/>
      <c r="L29" s="110" t="s">
        <v>96</v>
      </c>
      <c r="M29" s="101"/>
      <c r="N29" s="101"/>
      <c r="O29" s="121"/>
      <c r="P29" s="107" t="str">
        <f>Domestic_NYC!$E77</f>
        <v/>
      </c>
      <c r="Q29" s="107" t="str">
        <f>Domestic_NYC!$E77</f>
        <v/>
      </c>
      <c r="R29" s="107" t="str">
        <f>Domestic_NYC!$E77</f>
        <v/>
      </c>
      <c r="S29" s="2" t="str">
        <f t="shared" si="7"/>
        <v/>
      </c>
      <c r="T29" s="107" t="str">
        <f>Domestic_NYC!$E64</f>
        <v/>
      </c>
      <c r="U29" s="107" t="str">
        <f>Domestic_NYC!$E64</f>
        <v/>
      </c>
      <c r="V29" s="107" t="str">
        <f>Domestic_NYC!$E64</f>
        <v/>
      </c>
      <c r="W29" s="2" t="str">
        <f t="shared" si="8"/>
        <v/>
      </c>
      <c r="X29" s="107" t="str">
        <f>Domestic_NYC!$E51</f>
        <v/>
      </c>
      <c r="Y29" s="107" t="str">
        <f>Domestic_NYC!$E51</f>
        <v/>
      </c>
      <c r="Z29" s="107" t="str">
        <f>Domestic_NYC!$E51</f>
        <v/>
      </c>
      <c r="AA29" s="2" t="str">
        <f t="shared" si="9"/>
        <v/>
      </c>
      <c r="AC29" s="148" t="s">
        <v>96</v>
      </c>
      <c r="AD29" s="110" t="s">
        <v>96</v>
      </c>
      <c r="AF29" s="110" t="s">
        <v>96</v>
      </c>
    </row>
    <row r="30" spans="1:32">
      <c r="A30" s="101" t="str">
        <f>Technologies!B28</f>
        <v>R2</v>
      </c>
      <c r="B30" s="101" t="str">
        <f>Technologies!C28</f>
        <v>XELCR3E</v>
      </c>
      <c r="C30" s="101" t="str">
        <f>Technologies!D28</f>
        <v>Electricity Imports from R3 to R2 - Existing</v>
      </c>
      <c r="D30" s="104" t="str">
        <f t="shared" si="6"/>
        <v>ELCR3</v>
      </c>
      <c r="E30" s="104" t="str">
        <f>Commodities!$C$28</f>
        <v>ELC</v>
      </c>
      <c r="F30" s="110">
        <v>2010</v>
      </c>
      <c r="G30" s="110">
        <v>50</v>
      </c>
      <c r="H30" s="110">
        <f t="shared" ref="H30:H32" si="11">AD30/AC30</f>
        <v>0.95238095238095233</v>
      </c>
      <c r="I30" s="110">
        <v>31.536000000000001</v>
      </c>
      <c r="J30" s="133">
        <f>Domestic_NYC!F37</f>
        <v>0.32</v>
      </c>
      <c r="K30" s="101"/>
      <c r="L30" s="110">
        <v>1</v>
      </c>
      <c r="M30" s="101"/>
      <c r="N30" s="101"/>
      <c r="O30" s="121"/>
      <c r="P30" s="107">
        <f>Domestic_NYC!$E78</f>
        <v>0.95</v>
      </c>
      <c r="Q30" s="107">
        <f>P30</f>
        <v>0.95</v>
      </c>
      <c r="R30" s="107">
        <f>P30</f>
        <v>0.95</v>
      </c>
      <c r="S30" s="2">
        <f t="shared" si="7"/>
        <v>0.95</v>
      </c>
      <c r="T30" s="107">
        <f>Domestic_NYC!$E65</f>
        <v>0.95</v>
      </c>
      <c r="U30" s="107">
        <f>T30</f>
        <v>0.95</v>
      </c>
      <c r="V30" s="107">
        <f>T30</f>
        <v>0.95</v>
      </c>
      <c r="W30" s="2">
        <f t="shared" si="8"/>
        <v>0.95</v>
      </c>
      <c r="X30" s="107">
        <f>Domestic_NYC!$E52</f>
        <v>0.95</v>
      </c>
      <c r="Y30" s="107">
        <f>X30</f>
        <v>0.95</v>
      </c>
      <c r="Z30" s="107">
        <f>X30</f>
        <v>0.95</v>
      </c>
      <c r="AA30" s="2">
        <f t="shared" si="9"/>
        <v>0.95</v>
      </c>
      <c r="AC30" s="148">
        <v>1.05</v>
      </c>
      <c r="AD30" s="110">
        <f t="shared" ref="AD30:AD32" si="12">IF(LEFT($A30,1)="R",1,"")</f>
        <v>1</v>
      </c>
      <c r="AF30" s="110">
        <v>0</v>
      </c>
    </row>
    <row r="31" spans="1:32">
      <c r="A31" s="101" t="str">
        <f>Technologies!B29</f>
        <v>R2</v>
      </c>
      <c r="B31" s="101" t="str">
        <f>Technologies!C29</f>
        <v>XELCR4E</v>
      </c>
      <c r="C31" s="101" t="str">
        <f>Technologies!D29</f>
        <v>Electricity Imports from R4 to R2 - Existing</v>
      </c>
      <c r="D31" s="104" t="str">
        <f t="shared" si="6"/>
        <v>ELCR4</v>
      </c>
      <c r="E31" s="104" t="str">
        <f>Commodities!$C$28</f>
        <v>ELC</v>
      </c>
      <c r="F31" s="110">
        <v>2010</v>
      </c>
      <c r="G31" s="110">
        <v>50</v>
      </c>
      <c r="H31" s="110">
        <f t="shared" si="11"/>
        <v>0.95238095238095233</v>
      </c>
      <c r="I31" s="110">
        <v>31.536000000000001</v>
      </c>
      <c r="J31" s="133">
        <f>Domestic_NYC!G37</f>
        <v>1</v>
      </c>
      <c r="K31" s="101"/>
      <c r="L31" s="110">
        <v>1</v>
      </c>
      <c r="M31" s="101"/>
      <c r="N31" s="101"/>
      <c r="O31" s="121"/>
      <c r="P31" s="107">
        <f>Domestic_NYC!$E79</f>
        <v>0.95</v>
      </c>
      <c r="Q31" s="107">
        <f>P31</f>
        <v>0.95</v>
      </c>
      <c r="R31" s="107">
        <f>P31</f>
        <v>0.95</v>
      </c>
      <c r="S31" s="2">
        <f t="shared" si="7"/>
        <v>0.95</v>
      </c>
      <c r="T31" s="107">
        <f>Domestic_NYC!$E66</f>
        <v>0.95</v>
      </c>
      <c r="U31" s="107">
        <f>T31</f>
        <v>0.95</v>
      </c>
      <c r="V31" s="107">
        <f>T31</f>
        <v>0.95</v>
      </c>
      <c r="W31" s="2">
        <f t="shared" si="8"/>
        <v>0.95</v>
      </c>
      <c r="X31" s="107">
        <f>Domestic_NYC!$E53</f>
        <v>0.95</v>
      </c>
      <c r="Y31" s="107">
        <f>X31</f>
        <v>0.95</v>
      </c>
      <c r="Z31" s="107">
        <f>X31</f>
        <v>0.95</v>
      </c>
      <c r="AA31" s="2">
        <f t="shared" si="9"/>
        <v>0.95</v>
      </c>
      <c r="AC31" s="148">
        <v>1.05</v>
      </c>
      <c r="AD31" s="110">
        <f t="shared" si="12"/>
        <v>1</v>
      </c>
      <c r="AF31" s="110">
        <v>0</v>
      </c>
    </row>
    <row r="32" spans="1:32">
      <c r="A32" s="101" t="str">
        <f>Technologies!B30</f>
        <v>R2</v>
      </c>
      <c r="B32" s="101" t="str">
        <f>Technologies!C30</f>
        <v>XELCR5E</v>
      </c>
      <c r="C32" s="101" t="str">
        <f>Technologies!D30</f>
        <v>Electricity Imports from R5 to R2 - Existing</v>
      </c>
      <c r="D32" s="104" t="str">
        <f t="shared" si="6"/>
        <v>ELCR5</v>
      </c>
      <c r="E32" s="104" t="str">
        <f>Commodities!$C$28</f>
        <v>ELC</v>
      </c>
      <c r="F32" s="110">
        <v>2010</v>
      </c>
      <c r="G32" s="110">
        <v>50</v>
      </c>
      <c r="H32" s="110">
        <f t="shared" si="11"/>
        <v>0.95238095238095233</v>
      </c>
      <c r="I32" s="110">
        <v>31.536000000000001</v>
      </c>
      <c r="J32" s="133">
        <f>Domestic_NYC!H37</f>
        <v>0.3</v>
      </c>
      <c r="K32" s="101"/>
      <c r="L32" s="110">
        <v>1</v>
      </c>
      <c r="M32" s="101"/>
      <c r="N32" s="101"/>
      <c r="O32" s="121"/>
      <c r="P32" s="107">
        <f>Domestic_NYC!$E80</f>
        <v>0.95</v>
      </c>
      <c r="Q32" s="107">
        <f>Domestic_NYC!$E80</f>
        <v>0.95</v>
      </c>
      <c r="R32" s="107">
        <f>Domestic_NYC!$E80</f>
        <v>0.95</v>
      </c>
      <c r="S32" s="2">
        <f t="shared" si="7"/>
        <v>0.95</v>
      </c>
      <c r="T32" s="107"/>
      <c r="U32" s="107"/>
      <c r="V32" s="107"/>
      <c r="X32" s="107"/>
      <c r="Y32" s="107"/>
      <c r="Z32" s="107"/>
      <c r="AC32" s="148">
        <v>1.05</v>
      </c>
      <c r="AD32" s="110">
        <f t="shared" si="12"/>
        <v>1</v>
      </c>
      <c r="AF32" s="110">
        <v>0</v>
      </c>
    </row>
    <row r="33" spans="1:32">
      <c r="A33" s="101" t="str">
        <f>Technologies!B31</f>
        <v>* Not Allowed</v>
      </c>
      <c r="B33" s="101" t="str">
        <f>Technologies!C31</f>
        <v>XELCR6E</v>
      </c>
      <c r="C33" s="101" t="str">
        <f>Technologies!D31</f>
        <v>Electricity Imports from R6 to R2 - Existing</v>
      </c>
      <c r="D33" s="104" t="str">
        <f t="shared" si="6"/>
        <v>ELCR6</v>
      </c>
      <c r="E33" s="104" t="str">
        <f>Commodities!$C$28</f>
        <v>ELC</v>
      </c>
      <c r="F33" s="110">
        <v>2010</v>
      </c>
      <c r="G33" s="110">
        <v>50</v>
      </c>
      <c r="H33" s="110"/>
      <c r="I33" s="110">
        <v>31.536000000000001</v>
      </c>
      <c r="J33" s="133" t="s">
        <v>96</v>
      </c>
      <c r="K33" s="101"/>
      <c r="L33" s="110" t="s">
        <v>96</v>
      </c>
      <c r="M33" s="101"/>
      <c r="N33" s="101"/>
      <c r="O33" s="121"/>
      <c r="P33" s="107" t="s">
        <v>96</v>
      </c>
      <c r="Q33" s="107" t="str">
        <f>Domestic_NYC!$E81</f>
        <v/>
      </c>
      <c r="R33" s="107" t="str">
        <f>Domestic_NYC!$E81</f>
        <v/>
      </c>
      <c r="S33" s="2" t="str">
        <f t="shared" si="7"/>
        <v/>
      </c>
      <c r="T33" s="107" t="str">
        <f>Domestic_NYC!$E68</f>
        <v/>
      </c>
      <c r="U33" s="107" t="str">
        <f>Domestic_NYC!$E68</f>
        <v/>
      </c>
      <c r="V33" s="107" t="str">
        <f>Domestic_NYC!$E68</f>
        <v/>
      </c>
      <c r="W33" s="2" t="str">
        <f t="shared" si="8"/>
        <v/>
      </c>
      <c r="X33" s="107" t="str">
        <f>Domestic_NYC!$E55</f>
        <v/>
      </c>
      <c r="Y33" s="107" t="str">
        <f>Domestic_NYC!$E55</f>
        <v/>
      </c>
      <c r="Z33" s="107" t="str">
        <f>Domestic_NYC!$E55</f>
        <v/>
      </c>
      <c r="AA33" s="2" t="str">
        <f t="shared" si="9"/>
        <v/>
      </c>
      <c r="AC33" s="148" t="s">
        <v>96</v>
      </c>
      <c r="AD33" s="110" t="s">
        <v>96</v>
      </c>
      <c r="AF33" s="110" t="s">
        <v>96</v>
      </c>
    </row>
    <row r="34" spans="1:32">
      <c r="A34" s="101" t="str">
        <f>Technologies!B32</f>
        <v>* Not Allowed</v>
      </c>
      <c r="B34" s="101" t="str">
        <f>Technologies!C32</f>
        <v>XELCR7E</v>
      </c>
      <c r="C34" s="101" t="str">
        <f>Technologies!D32</f>
        <v>Electricity Imports from R7 to R2 - Existing</v>
      </c>
      <c r="D34" s="104" t="str">
        <f t="shared" si="6"/>
        <v>ELCR7</v>
      </c>
      <c r="E34" s="104" t="str">
        <f>Commodities!$C$28</f>
        <v>ELC</v>
      </c>
      <c r="F34" s="110">
        <v>2010</v>
      </c>
      <c r="G34" s="110">
        <v>50</v>
      </c>
      <c r="H34" s="110"/>
      <c r="I34" s="110">
        <v>31.536000000000001</v>
      </c>
      <c r="J34" s="133" t="s">
        <v>96</v>
      </c>
      <c r="K34" s="101"/>
      <c r="L34" s="110" t="s">
        <v>96</v>
      </c>
      <c r="M34" s="101"/>
      <c r="N34" s="101"/>
      <c r="O34" s="121"/>
      <c r="P34" s="107" t="s">
        <v>96</v>
      </c>
      <c r="Q34" s="107" t="s">
        <v>96</v>
      </c>
      <c r="R34" s="107" t="s">
        <v>96</v>
      </c>
      <c r="S34" s="2" t="s">
        <v>96</v>
      </c>
      <c r="T34" s="107" t="s">
        <v>96</v>
      </c>
      <c r="U34" s="107" t="s">
        <v>96</v>
      </c>
      <c r="V34" s="107" t="s">
        <v>96</v>
      </c>
      <c r="W34" s="2" t="s">
        <v>96</v>
      </c>
      <c r="X34" s="107" t="s">
        <v>96</v>
      </c>
      <c r="Y34" s="107" t="s">
        <v>96</v>
      </c>
      <c r="Z34" s="107" t="s">
        <v>96</v>
      </c>
      <c r="AA34" s="2" t="s">
        <v>96</v>
      </c>
      <c r="AC34" s="148" t="s">
        <v>96</v>
      </c>
      <c r="AD34" s="110" t="s">
        <v>96</v>
      </c>
      <c r="AF34" s="110" t="s">
        <v>96</v>
      </c>
    </row>
    <row r="35" spans="1:32">
      <c r="A35" s="101" t="str">
        <f>Technologies!B33</f>
        <v>* Not Allowed</v>
      </c>
      <c r="B35" s="101" t="str">
        <f>Technologies!C33</f>
        <v>XELCR8E</v>
      </c>
      <c r="C35" s="101" t="str">
        <f>Technologies!D33</f>
        <v>Electricity Imports from R8 to R2 - Existing</v>
      </c>
      <c r="D35" s="104" t="str">
        <f t="shared" si="6"/>
        <v>ELCR8</v>
      </c>
      <c r="E35" s="104" t="str">
        <f>Commodities!$C$28</f>
        <v>ELC</v>
      </c>
      <c r="F35" s="110">
        <v>2010</v>
      </c>
      <c r="G35" s="110">
        <v>50</v>
      </c>
      <c r="H35" s="110"/>
      <c r="I35" s="110">
        <v>31.536000000000001</v>
      </c>
      <c r="J35" s="133" t="s">
        <v>96</v>
      </c>
      <c r="K35" s="101"/>
      <c r="L35" s="110" t="s">
        <v>96</v>
      </c>
      <c r="M35" s="101"/>
      <c r="N35" s="101"/>
      <c r="O35" s="121"/>
      <c r="P35" s="107" t="s">
        <v>96</v>
      </c>
      <c r="Q35" s="107" t="s">
        <v>96</v>
      </c>
      <c r="R35" s="107" t="s">
        <v>96</v>
      </c>
      <c r="S35" s="2" t="s">
        <v>96</v>
      </c>
      <c r="T35" s="107" t="s">
        <v>96</v>
      </c>
      <c r="U35" s="107" t="s">
        <v>96</v>
      </c>
      <c r="V35" s="107" t="s">
        <v>96</v>
      </c>
      <c r="W35" s="2" t="s">
        <v>96</v>
      </c>
      <c r="X35" s="107" t="s">
        <v>96</v>
      </c>
      <c r="Y35" s="107" t="s">
        <v>96</v>
      </c>
      <c r="Z35" s="107" t="s">
        <v>96</v>
      </c>
      <c r="AA35" s="2" t="s">
        <v>96</v>
      </c>
      <c r="AC35" s="148" t="s">
        <v>96</v>
      </c>
      <c r="AD35" s="110" t="s">
        <v>96</v>
      </c>
      <c r="AF35" s="110" t="s">
        <v>96</v>
      </c>
    </row>
    <row r="36" spans="1:32">
      <c r="A36" s="101" t="str">
        <f>Technologies!B34</f>
        <v>* Not Allowed</v>
      </c>
      <c r="B36" s="101" t="str">
        <f>Technologies!C34</f>
        <v>XELCR9E</v>
      </c>
      <c r="C36" s="101" t="str">
        <f>Technologies!D34</f>
        <v>Electricity Imports from R9 to R2 - Existing</v>
      </c>
      <c r="D36" s="104" t="str">
        <f t="shared" si="6"/>
        <v>ELCR9</v>
      </c>
      <c r="E36" s="104" t="str">
        <f>Commodities!$C$28</f>
        <v>ELC</v>
      </c>
      <c r="F36" s="110">
        <v>2010</v>
      </c>
      <c r="G36" s="110">
        <v>50</v>
      </c>
      <c r="H36" s="110"/>
      <c r="I36" s="110">
        <v>31.536000000000001</v>
      </c>
      <c r="J36" s="133" t="s">
        <v>96</v>
      </c>
      <c r="K36" s="101"/>
      <c r="L36" s="110" t="s">
        <v>96</v>
      </c>
      <c r="M36" s="101"/>
      <c r="N36" s="101"/>
      <c r="O36" s="121"/>
      <c r="P36" s="107" t="s">
        <v>96</v>
      </c>
      <c r="Q36" s="107" t="s">
        <v>96</v>
      </c>
      <c r="R36" s="107" t="s">
        <v>96</v>
      </c>
      <c r="S36" s="2" t="s">
        <v>96</v>
      </c>
      <c r="T36" s="107" t="s">
        <v>96</v>
      </c>
      <c r="U36" s="107" t="s">
        <v>96</v>
      </c>
      <c r="V36" s="107" t="s">
        <v>96</v>
      </c>
      <c r="W36" s="2" t="s">
        <v>96</v>
      </c>
      <c r="X36" s="107" t="s">
        <v>96</v>
      </c>
      <c r="Y36" s="107" t="s">
        <v>96</v>
      </c>
      <c r="Z36" s="107" t="s">
        <v>96</v>
      </c>
      <c r="AA36" s="2" t="s">
        <v>96</v>
      </c>
      <c r="AC36" s="148" t="s">
        <v>96</v>
      </c>
      <c r="AD36" s="110" t="s">
        <v>96</v>
      </c>
      <c r="AF36" s="110" t="s">
        <v>96</v>
      </c>
    </row>
    <row r="37" spans="1:32">
      <c r="A37" s="112" t="s">
        <v>73</v>
      </c>
      <c r="B37" s="112"/>
      <c r="C37" s="112"/>
      <c r="D37" s="112"/>
      <c r="E37" s="112" t="str">
        <f>MID(B37,4,5)</f>
        <v/>
      </c>
      <c r="F37" s="112"/>
      <c r="G37" s="112"/>
      <c r="H37" s="112"/>
      <c r="I37" s="112"/>
      <c r="J37" s="151"/>
      <c r="K37" s="112"/>
      <c r="L37" s="112" t="s">
        <v>96</v>
      </c>
      <c r="M37" s="112"/>
      <c r="N37" s="112"/>
      <c r="O37" s="125"/>
      <c r="AC37" s="149"/>
      <c r="AD37" s="112"/>
      <c r="AF37" s="112" t="s">
        <v>96</v>
      </c>
    </row>
    <row r="38" spans="1:32">
      <c r="A38" s="101" t="str">
        <f>Technologies!B36</f>
        <v>R3</v>
      </c>
      <c r="B38" s="101" t="str">
        <f>Technologies!C36</f>
        <v>XELCR1E</v>
      </c>
      <c r="C38" s="101" t="str">
        <f>Technologies!D36</f>
        <v>Electricity Imports from R1 to R3 - Existing</v>
      </c>
      <c r="D38" s="104" t="str">
        <f t="shared" ref="D38:D46" si="13">MID(B38,2,5)</f>
        <v>ELCR1</v>
      </c>
      <c r="E38" s="104" t="str">
        <f>Commodities!$C$28</f>
        <v>ELC</v>
      </c>
      <c r="F38" s="110">
        <v>2010</v>
      </c>
      <c r="G38" s="110">
        <v>50</v>
      </c>
      <c r="H38" s="110">
        <f t="shared" ref="H38:H39" si="14">AD38/AC38</f>
        <v>0.90909090909090906</v>
      </c>
      <c r="I38" s="110">
        <v>31.536000000000001</v>
      </c>
      <c r="J38" s="133">
        <f>Domestic_NYC!D38</f>
        <v>1.3276985743380856</v>
      </c>
      <c r="K38" s="101"/>
      <c r="L38" s="110">
        <v>1</v>
      </c>
      <c r="M38" s="101"/>
      <c r="N38" s="101"/>
      <c r="O38" s="121">
        <v>0.9</v>
      </c>
      <c r="P38" s="107">
        <f>Domestic_NYC!$F76</f>
        <v>0.95</v>
      </c>
      <c r="Q38" s="107">
        <f>Domestic_NYC!$F76</f>
        <v>0.95</v>
      </c>
      <c r="R38" s="107">
        <f>Domestic_NYC!$F76</f>
        <v>0.95</v>
      </c>
      <c r="S38" s="2">
        <f t="shared" ref="S38:S42" si="15">P38</f>
        <v>0.95</v>
      </c>
      <c r="T38" s="107">
        <f>Domestic_NYC!$F63</f>
        <v>0.95</v>
      </c>
      <c r="U38" s="107">
        <f>Domestic_NYC!$F63</f>
        <v>0.95</v>
      </c>
      <c r="V38" s="107">
        <f>Domestic_NYC!$F63</f>
        <v>0.95</v>
      </c>
      <c r="W38" s="2">
        <f t="shared" ref="W38:W42" si="16">T38</f>
        <v>0.95</v>
      </c>
      <c r="X38" s="107">
        <f>Domestic_NYC!$F50</f>
        <v>0.95</v>
      </c>
      <c r="Y38" s="107">
        <f>Domestic_NYC!$F50</f>
        <v>0.95</v>
      </c>
      <c r="Z38" s="107">
        <f>Domestic_NYC!$F50</f>
        <v>0.95</v>
      </c>
      <c r="AA38" s="2">
        <f t="shared" ref="AA38:AA42" si="17">X38</f>
        <v>0.95</v>
      </c>
      <c r="AC38" s="148">
        <v>1.1000000000000001</v>
      </c>
      <c r="AD38" s="110">
        <f t="shared" ref="AD38:AD39" si="18">IF(LEFT($A38,1)="R",1,"")</f>
        <v>1</v>
      </c>
      <c r="AF38" s="110">
        <v>0</v>
      </c>
    </row>
    <row r="39" spans="1:32">
      <c r="A39" s="101" t="str">
        <f>Technologies!B37</f>
        <v>R3</v>
      </c>
      <c r="B39" s="101" t="str">
        <f>Technologies!C37</f>
        <v>XELCR2E</v>
      </c>
      <c r="C39" s="101" t="str">
        <f>Technologies!D37</f>
        <v>Electricity Imports from R2 to R3 - Existing</v>
      </c>
      <c r="D39" s="104" t="str">
        <f t="shared" si="13"/>
        <v>ELCR2</v>
      </c>
      <c r="E39" s="104" t="str">
        <f>Commodities!$C$28</f>
        <v>ELC</v>
      </c>
      <c r="F39" s="110">
        <v>2010</v>
      </c>
      <c r="G39" s="110">
        <v>50</v>
      </c>
      <c r="H39" s="110">
        <f t="shared" si="14"/>
        <v>0.95238095238095233</v>
      </c>
      <c r="I39" s="110">
        <v>31.536000000000001</v>
      </c>
      <c r="J39" s="133">
        <f>Domestic_NYC!E38</f>
        <v>0.32</v>
      </c>
      <c r="K39" s="101"/>
      <c r="L39" s="110">
        <v>1</v>
      </c>
      <c r="M39" s="101"/>
      <c r="N39" s="101"/>
      <c r="O39" s="121"/>
      <c r="P39" s="107">
        <f>Domestic_NYC!$F77</f>
        <v>0.95</v>
      </c>
      <c r="Q39" s="107">
        <f>P39</f>
        <v>0.95</v>
      </c>
      <c r="R39" s="107">
        <f>P39</f>
        <v>0.95</v>
      </c>
      <c r="S39" s="2">
        <f t="shared" si="15"/>
        <v>0.95</v>
      </c>
      <c r="T39" s="107">
        <f>Domestic_NYC!$F64</f>
        <v>0.95</v>
      </c>
      <c r="U39" s="107">
        <f>T39</f>
        <v>0.95</v>
      </c>
      <c r="V39" s="107">
        <f>T39</f>
        <v>0.95</v>
      </c>
      <c r="W39" s="2">
        <f t="shared" si="16"/>
        <v>0.95</v>
      </c>
      <c r="X39" s="107">
        <f>Domestic_NYC!$F51</f>
        <v>0.95</v>
      </c>
      <c r="Y39" s="107">
        <f>X39</f>
        <v>0.95</v>
      </c>
      <c r="Z39" s="107">
        <f>X39</f>
        <v>0.95</v>
      </c>
      <c r="AA39" s="2">
        <f t="shared" si="17"/>
        <v>0.95</v>
      </c>
      <c r="AC39" s="148">
        <v>1.05</v>
      </c>
      <c r="AD39" s="110">
        <f t="shared" si="18"/>
        <v>1</v>
      </c>
      <c r="AF39" s="110">
        <v>0</v>
      </c>
    </row>
    <row r="40" spans="1:32">
      <c r="A40" s="101" t="str">
        <f>Technologies!B38</f>
        <v>* Not Allowed</v>
      </c>
      <c r="B40" s="101" t="str">
        <f>Technologies!C38</f>
        <v>XELCR3E</v>
      </c>
      <c r="C40" s="101" t="str">
        <f>Technologies!D38</f>
        <v>Electricity Imports from R3 to R3 - Existing</v>
      </c>
      <c r="D40" s="104" t="str">
        <f t="shared" si="13"/>
        <v>ELCR3</v>
      </c>
      <c r="E40" s="104" t="str">
        <f>Commodities!$C$28</f>
        <v>ELC</v>
      </c>
      <c r="F40" s="110">
        <v>2010</v>
      </c>
      <c r="G40" s="110">
        <v>50</v>
      </c>
      <c r="H40" s="110"/>
      <c r="I40" s="110">
        <v>31.536000000000001</v>
      </c>
      <c r="J40" s="133"/>
      <c r="K40" s="101"/>
      <c r="L40" s="110" t="s">
        <v>96</v>
      </c>
      <c r="M40" s="101"/>
      <c r="N40" s="101"/>
      <c r="O40" s="121"/>
      <c r="P40" s="107" t="str">
        <f>Domestic_NYC!$F78</f>
        <v/>
      </c>
      <c r="Q40" s="107" t="str">
        <f>Domestic_NYC!$F78</f>
        <v/>
      </c>
      <c r="R40" s="107" t="str">
        <f>Domestic_NYC!$F78</f>
        <v/>
      </c>
      <c r="S40" s="2" t="str">
        <f t="shared" si="15"/>
        <v/>
      </c>
      <c r="T40" s="107" t="str">
        <f>Domestic_NYC!$F65</f>
        <v/>
      </c>
      <c r="U40" s="107" t="str">
        <f>Domestic_NYC!$F65</f>
        <v/>
      </c>
      <c r="V40" s="107" t="str">
        <f>Domestic_NYC!$F65</f>
        <v/>
      </c>
      <c r="W40" s="2" t="str">
        <f t="shared" si="16"/>
        <v/>
      </c>
      <c r="X40" s="107" t="str">
        <f>Domestic_NYC!$F52</f>
        <v/>
      </c>
      <c r="Y40" s="107" t="str">
        <f>Domestic_NYC!$F52</f>
        <v/>
      </c>
      <c r="Z40" s="107" t="str">
        <f>Domestic_NYC!$F52</f>
        <v/>
      </c>
      <c r="AA40" s="2" t="str">
        <f t="shared" si="17"/>
        <v/>
      </c>
      <c r="AC40" s="148" t="s">
        <v>96</v>
      </c>
      <c r="AD40" s="110" t="s">
        <v>96</v>
      </c>
      <c r="AF40" s="110" t="s">
        <v>96</v>
      </c>
    </row>
    <row r="41" spans="1:32">
      <c r="A41" s="101" t="str">
        <f>Technologies!B39</f>
        <v>R3</v>
      </c>
      <c r="B41" s="101" t="str">
        <f>Technologies!C39</f>
        <v>XELCR4E</v>
      </c>
      <c r="C41" s="101" t="str">
        <f>Technologies!D39</f>
        <v>Electricity Imports from R4 to R3 - Existing</v>
      </c>
      <c r="D41" s="104" t="str">
        <f t="shared" si="13"/>
        <v>ELCR4</v>
      </c>
      <c r="E41" s="104" t="str">
        <f>Commodities!$C$28</f>
        <v>ELC</v>
      </c>
      <c r="F41" s="110">
        <v>2010</v>
      </c>
      <c r="G41" s="110">
        <v>50</v>
      </c>
      <c r="H41" s="110">
        <f t="shared" ref="H41:H42" si="19">AD41/AC41</f>
        <v>0.95238095238095233</v>
      </c>
      <c r="I41" s="110">
        <v>31.536000000000001</v>
      </c>
      <c r="J41" s="133">
        <v>0.25600000000000001</v>
      </c>
      <c r="K41" s="101"/>
      <c r="L41" s="110">
        <v>1</v>
      </c>
      <c r="M41" s="101"/>
      <c r="N41" s="101"/>
      <c r="O41" s="121"/>
      <c r="P41" s="107">
        <f>Domestic_NYC!$F79</f>
        <v>0.95</v>
      </c>
      <c r="Q41" s="107">
        <f>P41</f>
        <v>0.95</v>
      </c>
      <c r="R41" s="107">
        <f>P41</f>
        <v>0.95</v>
      </c>
      <c r="S41" s="2">
        <f t="shared" si="15"/>
        <v>0.95</v>
      </c>
      <c r="T41" s="107">
        <f>Domestic_NYC!$F66</f>
        <v>0.95</v>
      </c>
      <c r="U41" s="107">
        <f>T41</f>
        <v>0.95</v>
      </c>
      <c r="V41" s="107">
        <f>T41</f>
        <v>0.95</v>
      </c>
      <c r="W41" s="2">
        <f t="shared" si="16"/>
        <v>0.95</v>
      </c>
      <c r="X41" s="107">
        <f>Domestic_NYC!$F53</f>
        <v>0.95</v>
      </c>
      <c r="Y41" s="107">
        <f>X41</f>
        <v>0.95</v>
      </c>
      <c r="Z41" s="107">
        <f>X41</f>
        <v>0.95</v>
      </c>
      <c r="AA41" s="2">
        <f t="shared" si="17"/>
        <v>0.95</v>
      </c>
      <c r="AC41" s="148">
        <v>1.05</v>
      </c>
      <c r="AD41" s="110">
        <f t="shared" ref="AD41:AD42" si="20">IF(LEFT($A41,1)="R",1,"")</f>
        <v>1</v>
      </c>
      <c r="AF41" s="110">
        <v>0</v>
      </c>
    </row>
    <row r="42" spans="1:32">
      <c r="A42" s="101" t="str">
        <f>Technologies!B40</f>
        <v>R3</v>
      </c>
      <c r="B42" s="101" t="str">
        <f>Technologies!C40</f>
        <v>XELCR5E</v>
      </c>
      <c r="C42" s="101" t="str">
        <f>Technologies!D40</f>
        <v>Electricity Imports from R5 to R3 - Existing</v>
      </c>
      <c r="D42" s="104" t="str">
        <f t="shared" si="13"/>
        <v>ELCR5</v>
      </c>
      <c r="E42" s="104" t="str">
        <f>Commodities!$C$28</f>
        <v>ELC</v>
      </c>
      <c r="F42" s="110">
        <v>2010</v>
      </c>
      <c r="G42" s="110">
        <v>50</v>
      </c>
      <c r="H42" s="110">
        <f t="shared" si="19"/>
        <v>0.95238095238095233</v>
      </c>
      <c r="I42" s="110">
        <v>31.536000000000001</v>
      </c>
      <c r="J42" s="133">
        <f>Domestic_NYC!H38</f>
        <v>0.128</v>
      </c>
      <c r="K42" s="101"/>
      <c r="L42" s="110">
        <v>1</v>
      </c>
      <c r="M42" s="101"/>
      <c r="N42" s="101"/>
      <c r="O42" s="121"/>
      <c r="P42" s="107">
        <f>Domestic_NYC!$F80</f>
        <v>0.95</v>
      </c>
      <c r="Q42" s="107">
        <f>P42</f>
        <v>0.95</v>
      </c>
      <c r="R42" s="107">
        <f>P42</f>
        <v>0.95</v>
      </c>
      <c r="S42" s="2">
        <f t="shared" si="15"/>
        <v>0.95</v>
      </c>
      <c r="T42" s="107">
        <f>Domestic_NYC!$F67</f>
        <v>0.95</v>
      </c>
      <c r="U42" s="107">
        <f>T42</f>
        <v>0.95</v>
      </c>
      <c r="V42" s="107">
        <f>T42</f>
        <v>0.95</v>
      </c>
      <c r="W42" s="2">
        <f t="shared" si="16"/>
        <v>0.95</v>
      </c>
      <c r="X42" s="107">
        <f>Domestic_NYC!$F54</f>
        <v>0.95</v>
      </c>
      <c r="Y42" s="107">
        <f>X42</f>
        <v>0.95</v>
      </c>
      <c r="Z42" s="107">
        <f>X42</f>
        <v>0.95</v>
      </c>
      <c r="AA42" s="2">
        <f t="shared" si="17"/>
        <v>0.95</v>
      </c>
      <c r="AC42" s="148">
        <v>1.05</v>
      </c>
      <c r="AD42" s="110">
        <f t="shared" si="20"/>
        <v>1</v>
      </c>
      <c r="AF42" s="110">
        <v>0</v>
      </c>
    </row>
    <row r="43" spans="1:32">
      <c r="A43" s="101" t="str">
        <f>Technologies!B41</f>
        <v>* Not Allowed</v>
      </c>
      <c r="B43" s="101" t="str">
        <f>Technologies!C41</f>
        <v>XELCR6E</v>
      </c>
      <c r="C43" s="101" t="str">
        <f>Technologies!D41</f>
        <v>Electricity Imports from R6 to R3 - Existing</v>
      </c>
      <c r="D43" s="104" t="str">
        <f t="shared" si="13"/>
        <v>ELCR6</v>
      </c>
      <c r="E43" s="104" t="str">
        <f>Commodities!$C$28</f>
        <v>ELC</v>
      </c>
      <c r="F43" s="110">
        <v>2010</v>
      </c>
      <c r="G43" s="110">
        <v>50</v>
      </c>
      <c r="H43" s="110"/>
      <c r="I43" s="110">
        <v>31.536000000000001</v>
      </c>
      <c r="J43" s="133"/>
      <c r="K43" s="101"/>
      <c r="L43" s="110" t="s">
        <v>96</v>
      </c>
      <c r="M43" s="101"/>
      <c r="N43" s="101"/>
      <c r="O43" s="121"/>
      <c r="P43" s="107" t="s">
        <v>96</v>
      </c>
      <c r="Q43" s="107" t="s">
        <v>96</v>
      </c>
      <c r="R43" s="107" t="s">
        <v>96</v>
      </c>
      <c r="S43" s="2" t="s">
        <v>96</v>
      </c>
      <c r="T43" s="107" t="s">
        <v>96</v>
      </c>
      <c r="U43" s="107" t="s">
        <v>96</v>
      </c>
      <c r="V43" s="107" t="s">
        <v>96</v>
      </c>
      <c r="W43" s="2" t="s">
        <v>96</v>
      </c>
      <c r="X43" s="107" t="s">
        <v>96</v>
      </c>
      <c r="Y43" s="107" t="s">
        <v>96</v>
      </c>
      <c r="Z43" s="107" t="s">
        <v>96</v>
      </c>
      <c r="AA43" s="2" t="s">
        <v>96</v>
      </c>
      <c r="AC43" s="148" t="s">
        <v>96</v>
      </c>
      <c r="AD43" s="110" t="s">
        <v>96</v>
      </c>
      <c r="AF43" s="110" t="s">
        <v>96</v>
      </c>
    </row>
    <row r="44" spans="1:32">
      <c r="A44" s="101" t="str">
        <f>Technologies!B42</f>
        <v>* Not Allowed</v>
      </c>
      <c r="B44" s="101" t="str">
        <f>Technologies!C42</f>
        <v>XELCR7E</v>
      </c>
      <c r="C44" s="101" t="str">
        <f>Technologies!D42</f>
        <v>Electricity Imports from R7 to R3 - Existing</v>
      </c>
      <c r="D44" s="104" t="str">
        <f t="shared" si="13"/>
        <v>ELCR7</v>
      </c>
      <c r="E44" s="104" t="str">
        <f>Commodities!$C$28</f>
        <v>ELC</v>
      </c>
      <c r="F44" s="110">
        <v>2010</v>
      </c>
      <c r="G44" s="110">
        <v>50</v>
      </c>
      <c r="H44" s="110"/>
      <c r="I44" s="110">
        <v>31.536000000000001</v>
      </c>
      <c r="J44" s="133"/>
      <c r="K44" s="101"/>
      <c r="L44" s="110" t="s">
        <v>96</v>
      </c>
      <c r="M44" s="101"/>
      <c r="N44" s="101"/>
      <c r="O44" s="121"/>
      <c r="P44" s="107" t="s">
        <v>96</v>
      </c>
      <c r="Q44" s="107" t="s">
        <v>96</v>
      </c>
      <c r="R44" s="107" t="s">
        <v>96</v>
      </c>
      <c r="S44" s="2" t="s">
        <v>96</v>
      </c>
      <c r="T44" s="107" t="s">
        <v>96</v>
      </c>
      <c r="U44" s="107" t="s">
        <v>96</v>
      </c>
      <c r="V44" s="107" t="s">
        <v>96</v>
      </c>
      <c r="W44" s="2" t="s">
        <v>96</v>
      </c>
      <c r="X44" s="107" t="s">
        <v>96</v>
      </c>
      <c r="Y44" s="107" t="s">
        <v>96</v>
      </c>
      <c r="Z44" s="107" t="s">
        <v>96</v>
      </c>
      <c r="AA44" s="2" t="s">
        <v>96</v>
      </c>
      <c r="AC44" s="148" t="s">
        <v>96</v>
      </c>
      <c r="AD44" s="110" t="s">
        <v>96</v>
      </c>
      <c r="AF44" s="110" t="s">
        <v>96</v>
      </c>
    </row>
    <row r="45" spans="1:32">
      <c r="A45" s="101" t="str">
        <f>Technologies!B43</f>
        <v>* Not Allowed</v>
      </c>
      <c r="B45" s="101" t="str">
        <f>Technologies!C43</f>
        <v>XELCR8E</v>
      </c>
      <c r="C45" s="101" t="str">
        <f>Technologies!D43</f>
        <v>Electricity Imports from R8 to R3 - Existing</v>
      </c>
      <c r="D45" s="104" t="str">
        <f t="shared" si="13"/>
        <v>ELCR8</v>
      </c>
      <c r="E45" s="104" t="str">
        <f>Commodities!$C$28</f>
        <v>ELC</v>
      </c>
      <c r="F45" s="110">
        <v>2010</v>
      </c>
      <c r="G45" s="110">
        <v>50</v>
      </c>
      <c r="H45" s="110"/>
      <c r="I45" s="110">
        <v>31.536000000000001</v>
      </c>
      <c r="J45" s="133" t="s">
        <v>96</v>
      </c>
      <c r="K45" s="101"/>
      <c r="L45" s="110" t="s">
        <v>96</v>
      </c>
      <c r="M45" s="101"/>
      <c r="N45" s="101"/>
      <c r="O45" s="121"/>
      <c r="P45" s="107" t="s">
        <v>96</v>
      </c>
      <c r="Q45" s="107" t="s">
        <v>96</v>
      </c>
      <c r="R45" s="107" t="s">
        <v>96</v>
      </c>
      <c r="S45" s="2" t="s">
        <v>96</v>
      </c>
      <c r="T45" s="107" t="s">
        <v>96</v>
      </c>
      <c r="U45" s="107" t="s">
        <v>96</v>
      </c>
      <c r="V45" s="107" t="s">
        <v>96</v>
      </c>
      <c r="W45" s="2" t="s">
        <v>96</v>
      </c>
      <c r="X45" s="107" t="s">
        <v>96</v>
      </c>
      <c r="Y45" s="107" t="s">
        <v>96</v>
      </c>
      <c r="Z45" s="107" t="s">
        <v>96</v>
      </c>
      <c r="AA45" s="2" t="s">
        <v>96</v>
      </c>
      <c r="AC45" s="148" t="s">
        <v>96</v>
      </c>
      <c r="AD45" s="110" t="s">
        <v>96</v>
      </c>
      <c r="AF45" s="110" t="s">
        <v>96</v>
      </c>
    </row>
    <row r="46" spans="1:32">
      <c r="A46" s="101" t="str">
        <f>Technologies!B44</f>
        <v>* Not Allowed</v>
      </c>
      <c r="B46" s="101" t="str">
        <f>Technologies!C44</f>
        <v>XELCR9E</v>
      </c>
      <c r="C46" s="101" t="str">
        <f>Technologies!D44</f>
        <v>Electricity Imports from R9 to R3 - Existing</v>
      </c>
      <c r="D46" s="104" t="str">
        <f t="shared" si="13"/>
        <v>ELCR9</v>
      </c>
      <c r="E46" s="104" t="str">
        <f>Commodities!$C$28</f>
        <v>ELC</v>
      </c>
      <c r="F46" s="110">
        <v>2010</v>
      </c>
      <c r="G46" s="110">
        <v>50</v>
      </c>
      <c r="H46" s="110"/>
      <c r="I46" s="110">
        <v>31.536000000000001</v>
      </c>
      <c r="J46" s="133" t="s">
        <v>96</v>
      </c>
      <c r="K46" s="101"/>
      <c r="L46" s="110" t="s">
        <v>96</v>
      </c>
      <c r="M46" s="101"/>
      <c r="N46" s="101"/>
      <c r="O46" s="121"/>
      <c r="P46" s="107" t="s">
        <v>96</v>
      </c>
      <c r="Q46" s="107" t="s">
        <v>96</v>
      </c>
      <c r="R46" s="107" t="s">
        <v>96</v>
      </c>
      <c r="S46" s="2" t="s">
        <v>96</v>
      </c>
      <c r="T46" s="107" t="s">
        <v>96</v>
      </c>
      <c r="U46" s="107" t="s">
        <v>96</v>
      </c>
      <c r="V46" s="107" t="s">
        <v>96</v>
      </c>
      <c r="W46" s="2" t="s">
        <v>96</v>
      </c>
      <c r="X46" s="107" t="s">
        <v>96</v>
      </c>
      <c r="Y46" s="107" t="s">
        <v>96</v>
      </c>
      <c r="Z46" s="107" t="s">
        <v>96</v>
      </c>
      <c r="AA46" s="2" t="s">
        <v>96</v>
      </c>
      <c r="AC46" s="148" t="s">
        <v>96</v>
      </c>
      <c r="AD46" s="110" t="s">
        <v>96</v>
      </c>
      <c r="AF46" s="110" t="s">
        <v>96</v>
      </c>
    </row>
    <row r="47" spans="1:32">
      <c r="A47" s="112" t="s">
        <v>74</v>
      </c>
      <c r="B47" s="112"/>
      <c r="C47" s="112"/>
      <c r="D47" s="112"/>
      <c r="E47" s="112" t="str">
        <f>MID(B47,4,5)</f>
        <v/>
      </c>
      <c r="F47" s="112"/>
      <c r="G47" s="112"/>
      <c r="H47" s="112"/>
      <c r="I47" s="112"/>
      <c r="J47" s="151"/>
      <c r="K47" s="112"/>
      <c r="L47" s="112" t="s">
        <v>96</v>
      </c>
      <c r="M47" s="112"/>
      <c r="N47" s="112"/>
      <c r="O47" s="125"/>
      <c r="AC47" s="149"/>
      <c r="AD47" s="112"/>
      <c r="AF47" s="112" t="s">
        <v>96</v>
      </c>
    </row>
    <row r="48" spans="1:32">
      <c r="A48" s="101" t="str">
        <f>Technologies!B46</f>
        <v>R4</v>
      </c>
      <c r="B48" s="101" t="str">
        <f>Technologies!C46</f>
        <v>XELCR1E</v>
      </c>
      <c r="C48" s="101" t="str">
        <f>Technologies!D46</f>
        <v>Electricity Imports from R1 to R4 - Existing</v>
      </c>
      <c r="D48" s="104" t="str">
        <f t="shared" ref="D48:D56" si="21">MID(B48,2,5)</f>
        <v>ELCR1</v>
      </c>
      <c r="E48" s="104" t="str">
        <f>Commodities!$C$28</f>
        <v>ELC</v>
      </c>
      <c r="F48" s="110">
        <v>2010</v>
      </c>
      <c r="G48" s="110">
        <v>50</v>
      </c>
      <c r="H48" s="110">
        <f t="shared" ref="H48:H50" si="22">AD48/AC48</f>
        <v>0.90909090909090906</v>
      </c>
      <c r="I48" s="110">
        <v>31.536000000000001</v>
      </c>
      <c r="J48" s="133">
        <f>Domestic_NYC!D39</f>
        <v>1.379271328354831</v>
      </c>
      <c r="K48" s="101"/>
      <c r="L48" s="110">
        <v>1</v>
      </c>
      <c r="M48" s="101"/>
      <c r="N48" s="101"/>
      <c r="O48" s="121">
        <v>0.9</v>
      </c>
      <c r="P48" s="107">
        <f>Domestic_NYC!$G76</f>
        <v>0.95</v>
      </c>
      <c r="Q48" s="107">
        <f>Domestic_NYC!$G76</f>
        <v>0.95</v>
      </c>
      <c r="R48" s="107">
        <f>Domestic_NYC!$G76</f>
        <v>0.95</v>
      </c>
      <c r="S48" s="2">
        <f t="shared" ref="S48:S49" si="23">P48</f>
        <v>0.95</v>
      </c>
      <c r="T48" s="107">
        <f>Domestic_NYC!$G63</f>
        <v>0.95</v>
      </c>
      <c r="U48" s="107">
        <f>Domestic_NYC!$G63</f>
        <v>0.95</v>
      </c>
      <c r="V48" s="107">
        <f>Domestic_NYC!$G63</f>
        <v>0.95</v>
      </c>
      <c r="W48" s="107">
        <f>Domestic_NYC!$G63</f>
        <v>0.95</v>
      </c>
      <c r="X48" s="107">
        <f>Domestic_NYC!$G50</f>
        <v>0.95</v>
      </c>
      <c r="Y48" s="107">
        <f>Domestic_NYC!$G50</f>
        <v>0.95</v>
      </c>
      <c r="Z48" s="107">
        <f>Domestic_NYC!$G50</f>
        <v>0.95</v>
      </c>
      <c r="AA48" s="107">
        <f>Domestic_NYC!$G63</f>
        <v>0.95</v>
      </c>
      <c r="AC48" s="148">
        <v>1.1000000000000001</v>
      </c>
      <c r="AD48" s="110">
        <f t="shared" ref="AD48:AD52" si="24">IF(LEFT($A48,1)="R",1,"")</f>
        <v>1</v>
      </c>
      <c r="AF48" s="110">
        <v>0</v>
      </c>
    </row>
    <row r="49" spans="1:32">
      <c r="A49" s="101" t="str">
        <f>Technologies!B47</f>
        <v>R4</v>
      </c>
      <c r="B49" s="101" t="str">
        <f>Technologies!C47</f>
        <v>XELCR2E</v>
      </c>
      <c r="C49" s="101" t="str">
        <f>Technologies!D47</f>
        <v>Electricity Imports from R2 to R4 - Existing</v>
      </c>
      <c r="D49" s="104" t="str">
        <f t="shared" si="21"/>
        <v>ELCR2</v>
      </c>
      <c r="E49" s="104" t="str">
        <f>Commodities!$C$28</f>
        <v>ELC</v>
      </c>
      <c r="F49" s="110">
        <v>2010</v>
      </c>
      <c r="G49" s="110">
        <v>50</v>
      </c>
      <c r="H49" s="110">
        <f t="shared" si="22"/>
        <v>0.95238095238095233</v>
      </c>
      <c r="I49" s="110">
        <v>31.536000000000001</v>
      </c>
      <c r="J49" s="133">
        <f>Domestic_NYC!E39</f>
        <v>0.128</v>
      </c>
      <c r="K49" s="101"/>
      <c r="L49" s="110">
        <v>1</v>
      </c>
      <c r="M49" s="101"/>
      <c r="N49" s="101"/>
      <c r="O49" s="121"/>
      <c r="P49" s="107">
        <f>Domestic_NYC!$G77</f>
        <v>0.95</v>
      </c>
      <c r="Q49" s="107">
        <f>P49</f>
        <v>0.95</v>
      </c>
      <c r="R49" s="107">
        <f>P49</f>
        <v>0.95</v>
      </c>
      <c r="S49" s="2">
        <f t="shared" si="23"/>
        <v>0.95</v>
      </c>
      <c r="T49" s="107">
        <f>Domestic_NYC!$G64</f>
        <v>0.95</v>
      </c>
      <c r="U49" s="107">
        <f>T49</f>
        <v>0.95</v>
      </c>
      <c r="V49" s="107">
        <f>T49</f>
        <v>0.95</v>
      </c>
      <c r="W49" s="107">
        <f>Domestic_NYC!$G64</f>
        <v>0.95</v>
      </c>
      <c r="X49" s="107">
        <f>Domestic_NYC!$G51</f>
        <v>0.95</v>
      </c>
      <c r="Y49" s="107">
        <f>X49</f>
        <v>0.95</v>
      </c>
      <c r="Z49" s="107">
        <f>X49</f>
        <v>0.95</v>
      </c>
      <c r="AA49" s="107">
        <f>Domestic_NYC!$G64</f>
        <v>0.95</v>
      </c>
      <c r="AC49" s="148">
        <v>1.05</v>
      </c>
      <c r="AD49" s="110">
        <f t="shared" si="24"/>
        <v>1</v>
      </c>
      <c r="AF49" s="110">
        <v>0</v>
      </c>
    </row>
    <row r="50" spans="1:32">
      <c r="A50" s="101" t="str">
        <f>Technologies!B48</f>
        <v>R4</v>
      </c>
      <c r="B50" s="101" t="str">
        <f>Technologies!C48</f>
        <v>XELCR3E</v>
      </c>
      <c r="C50" s="101" t="str">
        <f>Technologies!D48</f>
        <v>Electricity Imports from R3 to R4 - Existing</v>
      </c>
      <c r="D50" s="104" t="str">
        <f t="shared" si="21"/>
        <v>ELCR3</v>
      </c>
      <c r="E50" s="104" t="str">
        <f>Commodities!$C$28</f>
        <v>ELC</v>
      </c>
      <c r="F50" s="110">
        <v>2010</v>
      </c>
      <c r="G50" s="110">
        <v>50</v>
      </c>
      <c r="H50" s="110">
        <f t="shared" si="22"/>
        <v>0.95238095238095233</v>
      </c>
      <c r="I50" s="110">
        <v>31.536000000000001</v>
      </c>
      <c r="J50" s="133">
        <f>Domestic_NYC!G22</f>
        <v>0.25600000000000001</v>
      </c>
      <c r="K50" s="101"/>
      <c r="L50" s="110">
        <v>1</v>
      </c>
      <c r="M50" s="101"/>
      <c r="N50" s="101"/>
      <c r="O50" s="121"/>
      <c r="P50" s="107">
        <f>Domestic_NYC!$G76</f>
        <v>0.95</v>
      </c>
      <c r="Q50" s="107">
        <f>Domestic_NYC!$G76</f>
        <v>0.95</v>
      </c>
      <c r="R50" s="107">
        <f>Domestic_NYC!$G76</f>
        <v>0.95</v>
      </c>
      <c r="S50" s="107">
        <f>Domestic_NYC!$G76</f>
        <v>0.95</v>
      </c>
      <c r="T50" s="107">
        <f>Domestic_NYC!$G76</f>
        <v>0.95</v>
      </c>
      <c r="U50" s="107">
        <f>Domestic_NYC!$G76</f>
        <v>0.95</v>
      </c>
      <c r="V50" s="107">
        <f>Domestic_NYC!$G76</f>
        <v>0.95</v>
      </c>
      <c r="W50" s="107">
        <f>Domestic_NYC!$G76</f>
        <v>0.95</v>
      </c>
      <c r="X50" s="107">
        <f>Domestic_NYC!$G76</f>
        <v>0.95</v>
      </c>
      <c r="Y50" s="107">
        <f>Domestic_NYC!$G76</f>
        <v>0.95</v>
      </c>
      <c r="Z50" s="107">
        <f>Domestic_NYC!$G76</f>
        <v>0.95</v>
      </c>
      <c r="AA50" s="107">
        <f>Domestic_NYC!$G76</f>
        <v>0.95</v>
      </c>
      <c r="AC50" s="148">
        <v>1.05</v>
      </c>
      <c r="AD50" s="110">
        <f t="shared" si="24"/>
        <v>1</v>
      </c>
      <c r="AF50" s="110">
        <v>0</v>
      </c>
    </row>
    <row r="51" spans="1:32">
      <c r="A51" s="101" t="str">
        <f>Technologies!B49</f>
        <v>* Not Allowed</v>
      </c>
      <c r="B51" s="101" t="str">
        <f>Technologies!C49</f>
        <v>XELCR4E</v>
      </c>
      <c r="C51" s="101" t="str">
        <f>Technologies!D49</f>
        <v>Electricity Imports from R4 to R4 - Existing</v>
      </c>
      <c r="D51" s="104" t="str">
        <f t="shared" si="21"/>
        <v>ELCR4</v>
      </c>
      <c r="E51" s="104" t="str">
        <f>Commodities!$C$28</f>
        <v>ELC</v>
      </c>
      <c r="F51" s="110">
        <v>2010</v>
      </c>
      <c r="G51" s="110">
        <v>50</v>
      </c>
      <c r="H51" s="110"/>
      <c r="I51" s="110">
        <v>31.536000000000001</v>
      </c>
      <c r="J51" s="133"/>
      <c r="K51" s="101"/>
      <c r="L51" s="110"/>
      <c r="M51" s="101"/>
      <c r="N51" s="101"/>
      <c r="O51" s="121"/>
      <c r="P51" s="107" t="s">
        <v>96</v>
      </c>
      <c r="Q51" s="107" t="s">
        <v>96</v>
      </c>
      <c r="R51" s="107" t="s">
        <v>96</v>
      </c>
      <c r="S51" s="2" t="s">
        <v>96</v>
      </c>
      <c r="T51" s="107"/>
      <c r="U51" s="107"/>
      <c r="V51" s="107"/>
      <c r="W51" s="107"/>
      <c r="X51" s="107"/>
      <c r="Y51" s="107"/>
      <c r="Z51" s="107"/>
      <c r="AA51" s="107"/>
      <c r="AC51" s="148" t="s">
        <v>96</v>
      </c>
      <c r="AD51" s="110" t="s">
        <v>96</v>
      </c>
      <c r="AF51" s="110"/>
    </row>
    <row r="52" spans="1:32">
      <c r="A52" s="101" t="str">
        <f>Technologies!B50</f>
        <v>* Not Allowed</v>
      </c>
      <c r="B52" s="101" t="str">
        <f>Technologies!C50</f>
        <v>XELCR5E</v>
      </c>
      <c r="C52" s="101" t="str">
        <f>Technologies!D50</f>
        <v>Electricity Imports from R5 to R4 - Existing</v>
      </c>
      <c r="D52" s="104" t="str">
        <f t="shared" si="21"/>
        <v>ELCR5</v>
      </c>
      <c r="E52" s="104" t="str">
        <f>Commodities!$C$28</f>
        <v>ELC</v>
      </c>
      <c r="F52" s="110">
        <v>2010</v>
      </c>
      <c r="G52" s="110">
        <v>50</v>
      </c>
      <c r="H52" s="110"/>
      <c r="I52" s="110">
        <v>31.536000000000001</v>
      </c>
      <c r="J52" s="133"/>
      <c r="K52" s="101"/>
      <c r="L52" s="110"/>
      <c r="M52" s="101"/>
      <c r="N52" s="101"/>
      <c r="O52" s="121"/>
      <c r="P52" s="107">
        <f>Domestic_NYC!$G78</f>
        <v>0.95</v>
      </c>
      <c r="Q52" s="107">
        <f>Domestic_NYC!$G78</f>
        <v>0.95</v>
      </c>
      <c r="R52" s="107">
        <f>Domestic_NYC!$G78</f>
        <v>0.95</v>
      </c>
      <c r="S52" s="107">
        <f>Domestic_NYC!$G78</f>
        <v>0.95</v>
      </c>
      <c r="T52" s="107">
        <f>Domestic_NYC!$G78</f>
        <v>0.95</v>
      </c>
      <c r="U52" s="107">
        <f>Domestic_NYC!$G78</f>
        <v>0.95</v>
      </c>
      <c r="V52" s="107">
        <f>Domestic_NYC!$G78</f>
        <v>0.95</v>
      </c>
      <c r="W52" s="107">
        <f>Domestic_NYC!$G78</f>
        <v>0.95</v>
      </c>
      <c r="X52" s="107">
        <f>Domestic_NYC!$G78</f>
        <v>0.95</v>
      </c>
      <c r="Y52" s="107">
        <f>Domestic_NYC!$G78</f>
        <v>0.95</v>
      </c>
      <c r="Z52" s="107">
        <f>Domestic_NYC!$G78</f>
        <v>0.95</v>
      </c>
      <c r="AA52" s="107">
        <f>Domestic_NYC!$G78</f>
        <v>0.95</v>
      </c>
      <c r="AC52" s="148">
        <v>1.05</v>
      </c>
      <c r="AD52" s="110" t="str">
        <f t="shared" si="24"/>
        <v/>
      </c>
      <c r="AF52" s="110">
        <v>0</v>
      </c>
    </row>
    <row r="53" spans="1:32">
      <c r="A53" s="101" t="str">
        <f>Technologies!B51</f>
        <v>* Not Allowed</v>
      </c>
      <c r="B53" s="101" t="str">
        <f>Technologies!C51</f>
        <v>XELCR6E</v>
      </c>
      <c r="C53" s="101" t="str">
        <f>Technologies!D51</f>
        <v>Electricity Imports from R6 to R4 - Existing</v>
      </c>
      <c r="D53" s="104" t="str">
        <f t="shared" si="21"/>
        <v>ELCR6</v>
      </c>
      <c r="E53" s="104" t="str">
        <f>Commodities!$C$28</f>
        <v>ELC</v>
      </c>
      <c r="F53" s="110">
        <v>2010</v>
      </c>
      <c r="G53" s="110">
        <v>50</v>
      </c>
      <c r="H53" s="110"/>
      <c r="I53" s="110">
        <v>31.536000000000001</v>
      </c>
      <c r="J53" s="133"/>
      <c r="K53" s="101"/>
      <c r="L53" s="110"/>
      <c r="M53" s="101"/>
      <c r="N53" s="101"/>
      <c r="O53" s="121"/>
      <c r="P53" s="107" t="s">
        <v>96</v>
      </c>
      <c r="Q53" s="107" t="s">
        <v>96</v>
      </c>
      <c r="R53" s="107" t="s">
        <v>96</v>
      </c>
      <c r="S53" s="2" t="s">
        <v>96</v>
      </c>
      <c r="T53" s="107" t="s">
        <v>96</v>
      </c>
      <c r="U53" s="107" t="s">
        <v>96</v>
      </c>
      <c r="V53" s="107"/>
      <c r="W53" s="107"/>
      <c r="X53" s="107"/>
      <c r="Y53" s="107"/>
      <c r="Z53" s="107"/>
      <c r="AA53" s="107"/>
      <c r="AC53" s="148" t="s">
        <v>96</v>
      </c>
      <c r="AD53" s="110" t="s">
        <v>96</v>
      </c>
      <c r="AF53" s="110"/>
    </row>
    <row r="54" spans="1:32">
      <c r="A54" s="101" t="str">
        <f>Technologies!B52</f>
        <v>* Not Allowed</v>
      </c>
      <c r="B54" s="101" t="str">
        <f>Technologies!C52</f>
        <v>XELCR7E</v>
      </c>
      <c r="C54" s="101" t="str">
        <f>Technologies!D52</f>
        <v>Electricity Imports from R7 to R4 - Existing</v>
      </c>
      <c r="D54" s="104" t="str">
        <f t="shared" si="21"/>
        <v>ELCR7</v>
      </c>
      <c r="E54" s="104" t="str">
        <f>Commodities!$C$28</f>
        <v>ELC</v>
      </c>
      <c r="F54" s="110">
        <v>2010</v>
      </c>
      <c r="G54" s="110">
        <v>50</v>
      </c>
      <c r="H54" s="110"/>
      <c r="I54" s="110">
        <v>31.536000000000001</v>
      </c>
      <c r="J54" s="133"/>
      <c r="K54" s="101"/>
      <c r="L54" s="110" t="s">
        <v>96</v>
      </c>
      <c r="M54" s="101"/>
      <c r="N54" s="101"/>
      <c r="O54" s="121"/>
      <c r="P54" s="107" t="s">
        <v>96</v>
      </c>
      <c r="Q54" s="107" t="s">
        <v>96</v>
      </c>
      <c r="R54" s="107" t="s">
        <v>96</v>
      </c>
      <c r="S54" s="2" t="s">
        <v>96</v>
      </c>
      <c r="T54" s="107" t="s">
        <v>96</v>
      </c>
      <c r="U54" s="107" t="s">
        <v>96</v>
      </c>
      <c r="V54" s="107" t="s">
        <v>96</v>
      </c>
      <c r="W54" s="107" t="s">
        <v>96</v>
      </c>
      <c r="X54" s="107" t="s">
        <v>96</v>
      </c>
      <c r="Y54" s="107" t="s">
        <v>96</v>
      </c>
      <c r="Z54" s="107" t="s">
        <v>96</v>
      </c>
      <c r="AA54" s="107" t="s">
        <v>96</v>
      </c>
      <c r="AC54" s="148" t="s">
        <v>96</v>
      </c>
      <c r="AD54" s="110" t="s">
        <v>96</v>
      </c>
      <c r="AF54" s="110" t="s">
        <v>96</v>
      </c>
    </row>
    <row r="55" spans="1:32">
      <c r="A55" s="101" t="str">
        <f>Technologies!B53</f>
        <v>* Not Allowed</v>
      </c>
      <c r="B55" s="101" t="str">
        <f>Technologies!C53</f>
        <v>XELCR8E</v>
      </c>
      <c r="C55" s="101" t="str">
        <f>Technologies!D53</f>
        <v>Electricity Imports from R8 to R4 - Existing</v>
      </c>
      <c r="D55" s="104" t="str">
        <f t="shared" si="21"/>
        <v>ELCR8</v>
      </c>
      <c r="E55" s="104" t="str">
        <f>Commodities!$C$28</f>
        <v>ELC</v>
      </c>
      <c r="F55" s="110">
        <v>2010</v>
      </c>
      <c r="G55" s="110">
        <v>50</v>
      </c>
      <c r="H55" s="110"/>
      <c r="I55" s="110">
        <v>31.536000000000001</v>
      </c>
      <c r="J55" s="133"/>
      <c r="K55" s="101"/>
      <c r="L55" s="110" t="s">
        <v>96</v>
      </c>
      <c r="M55" s="101"/>
      <c r="N55" s="101"/>
      <c r="O55" s="121"/>
      <c r="P55" s="107" t="s">
        <v>96</v>
      </c>
      <c r="Q55" s="107" t="s">
        <v>96</v>
      </c>
      <c r="R55" s="107" t="s">
        <v>96</v>
      </c>
      <c r="S55" s="2" t="s">
        <v>96</v>
      </c>
      <c r="T55" s="107" t="s">
        <v>96</v>
      </c>
      <c r="U55" s="107" t="s">
        <v>96</v>
      </c>
      <c r="V55" s="107" t="s">
        <v>96</v>
      </c>
      <c r="W55" s="107" t="s">
        <v>96</v>
      </c>
      <c r="X55" s="107" t="s">
        <v>96</v>
      </c>
      <c r="Y55" s="107" t="s">
        <v>96</v>
      </c>
      <c r="Z55" s="107" t="s">
        <v>96</v>
      </c>
      <c r="AA55" s="107" t="s">
        <v>96</v>
      </c>
      <c r="AC55" s="148" t="s">
        <v>96</v>
      </c>
      <c r="AD55" s="110" t="s">
        <v>96</v>
      </c>
      <c r="AF55" s="110" t="s">
        <v>96</v>
      </c>
    </row>
    <row r="56" spans="1:32">
      <c r="A56" s="101" t="str">
        <f>Technologies!B54</f>
        <v>* Not Allowed</v>
      </c>
      <c r="B56" s="101" t="str">
        <f>Technologies!C54</f>
        <v>XELCR9E</v>
      </c>
      <c r="C56" s="101" t="str">
        <f>Technologies!D54</f>
        <v>Electricity Imports from R9 to R4 - Existing</v>
      </c>
      <c r="D56" s="104" t="str">
        <f t="shared" si="21"/>
        <v>ELCR9</v>
      </c>
      <c r="E56" s="104" t="str">
        <f>Commodities!$C$28</f>
        <v>ELC</v>
      </c>
      <c r="F56" s="110">
        <v>2010</v>
      </c>
      <c r="G56" s="110">
        <v>50</v>
      </c>
      <c r="H56" s="110"/>
      <c r="I56" s="110">
        <v>31.536000000000001</v>
      </c>
      <c r="J56" s="133"/>
      <c r="K56" s="101"/>
      <c r="L56" s="110" t="s">
        <v>96</v>
      </c>
      <c r="M56" s="101"/>
      <c r="N56" s="101"/>
      <c r="O56" s="121"/>
      <c r="P56" s="107" t="s">
        <v>96</v>
      </c>
      <c r="Q56" s="107" t="s">
        <v>96</v>
      </c>
      <c r="R56" s="107" t="s">
        <v>96</v>
      </c>
      <c r="S56" s="2" t="s">
        <v>96</v>
      </c>
      <c r="T56" s="107" t="s">
        <v>96</v>
      </c>
      <c r="U56" s="107" t="s">
        <v>96</v>
      </c>
      <c r="V56" s="107" t="s">
        <v>96</v>
      </c>
      <c r="W56" s="107" t="s">
        <v>96</v>
      </c>
      <c r="X56" s="107" t="s">
        <v>96</v>
      </c>
      <c r="Y56" s="107" t="s">
        <v>96</v>
      </c>
      <c r="Z56" s="107" t="s">
        <v>96</v>
      </c>
      <c r="AA56" s="107" t="s">
        <v>96</v>
      </c>
      <c r="AC56" s="148" t="s">
        <v>96</v>
      </c>
      <c r="AD56" s="110" t="s">
        <v>96</v>
      </c>
      <c r="AF56" s="110" t="s">
        <v>96</v>
      </c>
    </row>
    <row r="57" spans="1:32">
      <c r="A57" s="112" t="s">
        <v>75</v>
      </c>
      <c r="B57" s="112"/>
      <c r="C57" s="112"/>
      <c r="D57" s="112"/>
      <c r="E57" s="112" t="str">
        <f>MID(B57,4,5)</f>
        <v/>
      </c>
      <c r="F57" s="112"/>
      <c r="G57" s="112"/>
      <c r="H57" s="112"/>
      <c r="I57" s="112"/>
      <c r="J57" s="151"/>
      <c r="K57" s="112"/>
      <c r="L57" s="112" t="s">
        <v>96</v>
      </c>
      <c r="M57" s="112"/>
      <c r="N57" s="112"/>
      <c r="O57" s="125"/>
      <c r="AC57" s="149"/>
      <c r="AD57" s="112"/>
      <c r="AF57" s="112" t="s">
        <v>96</v>
      </c>
    </row>
    <row r="58" spans="1:32">
      <c r="A58" s="101" t="str">
        <f>Technologies!B56</f>
        <v>R5</v>
      </c>
      <c r="B58" s="101" t="str">
        <f>Technologies!C56</f>
        <v>XELCR1E</v>
      </c>
      <c r="C58" s="101" t="str">
        <f>Technologies!D56</f>
        <v>Electricity Imports from R1 to R5 - Existing</v>
      </c>
      <c r="D58" s="104" t="str">
        <f t="shared" ref="D58:D66" si="25">MID(B58,2,5)</f>
        <v>ELCR1</v>
      </c>
      <c r="E58" s="104" t="str">
        <f>Commodities!$C$28</f>
        <v>ELC</v>
      </c>
      <c r="F58" s="110">
        <v>2010</v>
      </c>
      <c r="G58" s="110">
        <v>50</v>
      </c>
      <c r="H58" s="110">
        <f t="shared" ref="H58:H60" si="26">AD58/AC58</f>
        <v>0.90909090909090906</v>
      </c>
      <c r="I58" s="110">
        <v>31.536000000000001</v>
      </c>
      <c r="J58" s="133">
        <f>Domestic_NYC!D40</f>
        <v>0.17090970807875086</v>
      </c>
      <c r="K58" s="101"/>
      <c r="L58" s="110">
        <v>1</v>
      </c>
      <c r="M58" s="101"/>
      <c r="N58" s="101"/>
      <c r="O58" s="121">
        <v>0.9</v>
      </c>
      <c r="P58" s="107">
        <f>Domestic_NYC!$H76</f>
        <v>0.95</v>
      </c>
      <c r="Q58" s="107">
        <f>Domestic_NYC!$H76</f>
        <v>0.95</v>
      </c>
      <c r="R58" s="107">
        <f>Domestic_NYC!$H76</f>
        <v>0.95</v>
      </c>
      <c r="S58" s="2">
        <f t="shared" ref="S58:S60" si="27">P58</f>
        <v>0.95</v>
      </c>
      <c r="T58" s="107">
        <f>Domestic_NYC!$H63</f>
        <v>0.95</v>
      </c>
      <c r="U58" s="107">
        <f>Domestic_NYC!$H63</f>
        <v>0.95</v>
      </c>
      <c r="V58" s="107">
        <f>Domestic_NYC!$H63</f>
        <v>0.95</v>
      </c>
      <c r="W58" s="2">
        <f t="shared" ref="W58:W60" si="28">T58</f>
        <v>0.95</v>
      </c>
      <c r="X58" s="107">
        <f>Domestic_NYC!$H50</f>
        <v>0.95</v>
      </c>
      <c r="Y58" s="107">
        <f>Domestic_NYC!$H50</f>
        <v>0.95</v>
      </c>
      <c r="Z58" s="107">
        <f>Domestic_NYC!$H50</f>
        <v>0.95</v>
      </c>
      <c r="AA58" s="2">
        <f t="shared" ref="AA58:AA60" si="29">X58</f>
        <v>0.95</v>
      </c>
      <c r="AC58" s="148">
        <v>1.1000000000000001</v>
      </c>
      <c r="AD58" s="110">
        <f t="shared" ref="AD58:AD60" si="30">IF(LEFT($A58,1)="R",1,"")</f>
        <v>1</v>
      </c>
      <c r="AF58" s="110">
        <v>0</v>
      </c>
    </row>
    <row r="59" spans="1:32">
      <c r="A59" s="101" t="str">
        <f>Technologies!B57</f>
        <v>R5</v>
      </c>
      <c r="B59" s="101" t="str">
        <f>Technologies!C57</f>
        <v>XELCR2E</v>
      </c>
      <c r="C59" s="101" t="str">
        <f>Technologies!D57</f>
        <v>Electricity Imports from R2 to R5 - Existing</v>
      </c>
      <c r="D59" s="104" t="str">
        <f t="shared" si="25"/>
        <v>ELCR2</v>
      </c>
      <c r="E59" s="104" t="str">
        <f>Commodities!$C$28</f>
        <v>ELC</v>
      </c>
      <c r="F59" s="110">
        <v>2010</v>
      </c>
      <c r="G59" s="110">
        <v>50</v>
      </c>
      <c r="H59" s="110">
        <f t="shared" si="26"/>
        <v>0.95238095238095233</v>
      </c>
      <c r="I59" s="110">
        <v>31.536000000000001</v>
      </c>
      <c r="J59" s="133">
        <f>Domestic_NYC!E40</f>
        <v>0.3</v>
      </c>
      <c r="K59" s="101"/>
      <c r="L59" s="110">
        <v>1</v>
      </c>
      <c r="M59" s="101"/>
      <c r="N59" s="101"/>
      <c r="O59" s="121"/>
      <c r="P59" s="107">
        <f>Domestic_NYC!$H77</f>
        <v>0.95</v>
      </c>
      <c r="Q59" s="107">
        <f>Domestic_NYC!$H77</f>
        <v>0.95</v>
      </c>
      <c r="R59" s="107">
        <f>Domestic_NYC!$H77</f>
        <v>0.95</v>
      </c>
      <c r="S59" s="2">
        <f t="shared" si="27"/>
        <v>0.95</v>
      </c>
      <c r="T59" s="107">
        <f>Domestic_NYC!$H64</f>
        <v>0.95</v>
      </c>
      <c r="U59" s="107">
        <f>Domestic_NYC!$H64</f>
        <v>0.95</v>
      </c>
      <c r="V59" s="107">
        <f>Domestic_NYC!$H64</f>
        <v>0.95</v>
      </c>
      <c r="W59" s="2">
        <f t="shared" si="28"/>
        <v>0.95</v>
      </c>
      <c r="X59" s="107">
        <f>Domestic_NYC!$H51</f>
        <v>0.95</v>
      </c>
      <c r="Y59" s="107">
        <f>Domestic_NYC!$H51</f>
        <v>0.95</v>
      </c>
      <c r="Z59" s="107">
        <f>Domestic_NYC!$H51</f>
        <v>0.95</v>
      </c>
      <c r="AA59" s="2">
        <f t="shared" si="29"/>
        <v>0.95</v>
      </c>
      <c r="AC59" s="148">
        <v>1.05</v>
      </c>
      <c r="AD59" s="110">
        <f t="shared" si="30"/>
        <v>1</v>
      </c>
      <c r="AF59" s="110">
        <v>0</v>
      </c>
    </row>
    <row r="60" spans="1:32">
      <c r="A60" s="101" t="str">
        <f>Technologies!B58</f>
        <v>R5</v>
      </c>
      <c r="B60" s="101" t="str">
        <f>Technologies!C58</f>
        <v>XELCR3E</v>
      </c>
      <c r="C60" s="101" t="str">
        <f>Technologies!D58</f>
        <v>Electricity Imports from R3 to R5 - Existing</v>
      </c>
      <c r="D60" s="104" t="str">
        <f t="shared" si="25"/>
        <v>ELCR3</v>
      </c>
      <c r="E60" s="104" t="str">
        <f>Commodities!$C$28</f>
        <v>ELC</v>
      </c>
      <c r="F60" s="110">
        <v>2010</v>
      </c>
      <c r="G60" s="110">
        <v>50</v>
      </c>
      <c r="H60" s="110">
        <f t="shared" si="26"/>
        <v>0.95238095238095233</v>
      </c>
      <c r="I60" s="110">
        <v>31.536000000000001</v>
      </c>
      <c r="J60" s="133">
        <f>Domestic_NYC!F40</f>
        <v>0.128</v>
      </c>
      <c r="K60" s="101"/>
      <c r="L60" s="110">
        <v>1</v>
      </c>
      <c r="M60" s="101"/>
      <c r="N60" s="101"/>
      <c r="O60" s="121"/>
      <c r="P60" s="107">
        <f>Domestic_NYC!$H78</f>
        <v>0.95</v>
      </c>
      <c r="Q60" s="107">
        <f>P60</f>
        <v>0.95</v>
      </c>
      <c r="R60" s="107">
        <f>P60</f>
        <v>0.95</v>
      </c>
      <c r="S60" s="2">
        <f t="shared" si="27"/>
        <v>0.95</v>
      </c>
      <c r="T60" s="107">
        <f>Domestic_NYC!$H65</f>
        <v>0.95</v>
      </c>
      <c r="U60" s="107">
        <f>T60</f>
        <v>0.95</v>
      </c>
      <c r="V60" s="107">
        <f>T60</f>
        <v>0.95</v>
      </c>
      <c r="W60" s="2">
        <f t="shared" si="28"/>
        <v>0.95</v>
      </c>
      <c r="X60" s="107">
        <f>Domestic_NYC!$H52</f>
        <v>0.95</v>
      </c>
      <c r="Y60" s="107">
        <f>X60</f>
        <v>0.95</v>
      </c>
      <c r="Z60" s="107">
        <f>X60</f>
        <v>0.95</v>
      </c>
      <c r="AA60" s="2">
        <f t="shared" si="29"/>
        <v>0.95</v>
      </c>
      <c r="AC60" s="148">
        <v>1.05</v>
      </c>
      <c r="AD60" s="110">
        <f t="shared" si="30"/>
        <v>1</v>
      </c>
      <c r="AF60" s="110">
        <v>0</v>
      </c>
    </row>
    <row r="61" spans="1:32">
      <c r="A61" s="101" t="str">
        <f>Technologies!B59</f>
        <v>* Not Allowed</v>
      </c>
      <c r="B61" s="101" t="str">
        <f>Technologies!C59</f>
        <v>XELCR4E</v>
      </c>
      <c r="C61" s="101" t="str">
        <f>Technologies!D59</f>
        <v>Electricity Imports from R4 to R5 - Existing</v>
      </c>
      <c r="D61" s="104" t="str">
        <f t="shared" si="25"/>
        <v>ELCR4</v>
      </c>
      <c r="E61" s="104" t="str">
        <f>Commodities!$C$28</f>
        <v>ELC</v>
      </c>
      <c r="F61" s="110">
        <v>2010</v>
      </c>
      <c r="G61" s="110">
        <v>50</v>
      </c>
      <c r="H61" s="110"/>
      <c r="I61" s="110">
        <v>31.536000000000001</v>
      </c>
      <c r="J61" s="133" t="s">
        <v>96</v>
      </c>
      <c r="K61" s="101"/>
      <c r="L61" s="110" t="s">
        <v>96</v>
      </c>
      <c r="M61" s="101"/>
      <c r="N61" s="101"/>
      <c r="O61" s="121"/>
      <c r="P61" s="107" t="s">
        <v>96</v>
      </c>
      <c r="Q61" s="107" t="s">
        <v>96</v>
      </c>
      <c r="R61" s="107" t="s">
        <v>96</v>
      </c>
      <c r="S61" s="2" t="s">
        <v>96</v>
      </c>
      <c r="T61" s="107" t="s">
        <v>96</v>
      </c>
      <c r="U61" s="107" t="s">
        <v>96</v>
      </c>
      <c r="V61" s="107" t="s">
        <v>96</v>
      </c>
      <c r="W61" s="2" t="s">
        <v>96</v>
      </c>
      <c r="X61" s="107" t="s">
        <v>96</v>
      </c>
      <c r="Y61" s="107" t="s">
        <v>96</v>
      </c>
      <c r="Z61" s="107" t="s">
        <v>96</v>
      </c>
      <c r="AA61" s="2" t="s">
        <v>96</v>
      </c>
      <c r="AC61" s="148" t="s">
        <v>96</v>
      </c>
      <c r="AD61" s="110" t="s">
        <v>96</v>
      </c>
      <c r="AF61" s="110" t="s">
        <v>96</v>
      </c>
    </row>
    <row r="62" spans="1:32">
      <c r="A62" s="101" t="str">
        <f>Technologies!B60</f>
        <v>* Not Allowed</v>
      </c>
      <c r="B62" s="101" t="str">
        <f>Technologies!C60</f>
        <v>XELCR5E</v>
      </c>
      <c r="C62" s="101" t="str">
        <f>Technologies!D60</f>
        <v>Electricity Imports from R5 to R5 - Existing</v>
      </c>
      <c r="D62" s="104" t="str">
        <f t="shared" si="25"/>
        <v>ELCR5</v>
      </c>
      <c r="E62" s="104" t="str">
        <f>Commodities!$C$28</f>
        <v>ELC</v>
      </c>
      <c r="F62" s="110">
        <v>2010</v>
      </c>
      <c r="G62" s="110">
        <v>50</v>
      </c>
      <c r="H62" s="110"/>
      <c r="I62" s="110">
        <v>31.536000000000001</v>
      </c>
      <c r="J62" s="133"/>
      <c r="K62" s="101"/>
      <c r="L62" s="110" t="s">
        <v>96</v>
      </c>
      <c r="M62" s="101"/>
      <c r="N62" s="101"/>
      <c r="O62" s="121"/>
      <c r="P62" s="107" t="s">
        <v>96</v>
      </c>
      <c r="Q62" s="107" t="s">
        <v>96</v>
      </c>
      <c r="R62" s="107" t="s">
        <v>96</v>
      </c>
      <c r="S62" s="2" t="s">
        <v>96</v>
      </c>
      <c r="T62" s="107" t="s">
        <v>96</v>
      </c>
      <c r="U62" s="107" t="s">
        <v>96</v>
      </c>
      <c r="V62" s="107" t="s">
        <v>96</v>
      </c>
      <c r="W62" s="2" t="s">
        <v>96</v>
      </c>
      <c r="X62" s="107" t="s">
        <v>96</v>
      </c>
      <c r="Y62" s="107" t="s">
        <v>96</v>
      </c>
      <c r="Z62" s="107" t="s">
        <v>96</v>
      </c>
      <c r="AA62" s="2" t="s">
        <v>96</v>
      </c>
      <c r="AC62" s="148" t="s">
        <v>96</v>
      </c>
      <c r="AD62" s="110" t="s">
        <v>96</v>
      </c>
      <c r="AF62" s="110" t="s">
        <v>96</v>
      </c>
    </row>
    <row r="63" spans="1:32">
      <c r="A63" s="101" t="str">
        <f>Technologies!B61</f>
        <v>R5</v>
      </c>
      <c r="B63" s="101" t="str">
        <f>Technologies!C61</f>
        <v>XELCR6E</v>
      </c>
      <c r="C63" s="101" t="str">
        <f>Technologies!D61</f>
        <v>Electricity Imports from R6 to R5 - Existing</v>
      </c>
      <c r="D63" s="104" t="str">
        <f t="shared" si="25"/>
        <v>ELCR6</v>
      </c>
      <c r="E63" s="104" t="str">
        <f>Commodities!$C$28</f>
        <v>ELC</v>
      </c>
      <c r="F63" s="110">
        <v>2010</v>
      </c>
      <c r="G63" s="110">
        <v>50</v>
      </c>
      <c r="H63" s="110">
        <f t="shared" ref="H63" si="31">AD63/AC63</f>
        <v>0.95238095238095233</v>
      </c>
      <c r="I63" s="110">
        <v>31.536000000000001</v>
      </c>
      <c r="J63" s="133">
        <f>Domestic_NYC!I40</f>
        <v>0.51200000000000001</v>
      </c>
      <c r="K63" s="101"/>
      <c r="L63" s="110">
        <v>1</v>
      </c>
      <c r="M63" s="101"/>
      <c r="N63" s="101"/>
      <c r="O63" s="121"/>
      <c r="P63" s="107">
        <f>Domestic_NYC!$H81</f>
        <v>0.95</v>
      </c>
      <c r="Q63" s="107">
        <f>P63</f>
        <v>0.95</v>
      </c>
      <c r="R63" s="107">
        <f>P63</f>
        <v>0.95</v>
      </c>
      <c r="S63" s="2">
        <f t="shared" ref="S63" si="32">P63</f>
        <v>0.95</v>
      </c>
      <c r="T63" s="107">
        <f>Domestic_NYC!$H68</f>
        <v>0.95</v>
      </c>
      <c r="U63" s="107">
        <f>T63</f>
        <v>0.95</v>
      </c>
      <c r="V63" s="107">
        <f>T63</f>
        <v>0.95</v>
      </c>
      <c r="W63" s="2">
        <f t="shared" ref="W63" si="33">T63</f>
        <v>0.95</v>
      </c>
      <c r="X63" s="107">
        <f>Domestic_NYC!$H55</f>
        <v>0.95</v>
      </c>
      <c r="Y63" s="107">
        <f>X63</f>
        <v>0.95</v>
      </c>
      <c r="Z63" s="107">
        <f>X63</f>
        <v>0.95</v>
      </c>
      <c r="AA63" s="2">
        <f t="shared" ref="AA63" si="34">X63</f>
        <v>0.95</v>
      </c>
      <c r="AC63" s="148">
        <v>1.05</v>
      </c>
      <c r="AD63" s="110">
        <f t="shared" ref="AD63" si="35">IF(LEFT($A63,1)="R",1,"")</f>
        <v>1</v>
      </c>
      <c r="AF63" s="110">
        <v>0</v>
      </c>
    </row>
    <row r="64" spans="1:32">
      <c r="A64" s="101" t="str">
        <f>Technologies!B62</f>
        <v>* Not Allowed</v>
      </c>
      <c r="B64" s="101" t="str">
        <f>Technologies!C62</f>
        <v>XELCR7E</v>
      </c>
      <c r="C64" s="101" t="str">
        <f>Technologies!D62</f>
        <v>Electricity Imports from R7 to R5 - Existing</v>
      </c>
      <c r="D64" s="104" t="str">
        <f t="shared" si="25"/>
        <v>ELCR7</v>
      </c>
      <c r="E64" s="104" t="str">
        <f>Commodities!$C$28</f>
        <v>ELC</v>
      </c>
      <c r="F64" s="110">
        <v>2010</v>
      </c>
      <c r="G64" s="110">
        <v>50</v>
      </c>
      <c r="H64" s="110"/>
      <c r="I64" s="110">
        <v>31.536000000000001</v>
      </c>
      <c r="J64" s="133"/>
      <c r="K64" s="101"/>
      <c r="L64" s="110" t="s">
        <v>96</v>
      </c>
      <c r="M64" s="101"/>
      <c r="N64" s="101"/>
      <c r="O64" s="121"/>
      <c r="P64" s="107" t="s">
        <v>96</v>
      </c>
      <c r="T64" s="107"/>
      <c r="U64" s="107"/>
      <c r="V64" s="107"/>
      <c r="X64" s="107"/>
      <c r="Y64" s="107"/>
      <c r="Z64" s="107"/>
      <c r="AC64" s="148" t="s">
        <v>96</v>
      </c>
      <c r="AD64" s="110" t="s">
        <v>96</v>
      </c>
      <c r="AF64" s="110" t="s">
        <v>96</v>
      </c>
    </row>
    <row r="65" spans="1:32">
      <c r="A65" s="101" t="str">
        <f>Technologies!B63</f>
        <v>* Not Allowed</v>
      </c>
      <c r="B65" s="101" t="str">
        <f>Technologies!C63</f>
        <v>XELCR8E</v>
      </c>
      <c r="C65" s="101" t="str">
        <f>Technologies!D63</f>
        <v>Electricity Imports from R8 to R5 - Existing</v>
      </c>
      <c r="D65" s="104" t="str">
        <f t="shared" si="25"/>
        <v>ELCR8</v>
      </c>
      <c r="E65" s="104" t="str">
        <f>Commodities!$C$28</f>
        <v>ELC</v>
      </c>
      <c r="F65" s="110">
        <v>2010</v>
      </c>
      <c r="G65" s="110">
        <v>50</v>
      </c>
      <c r="H65" s="110"/>
      <c r="I65" s="110">
        <v>31.536000000000001</v>
      </c>
      <c r="J65" s="133" t="s">
        <v>96</v>
      </c>
      <c r="K65" s="101"/>
      <c r="L65" s="110" t="s">
        <v>96</v>
      </c>
      <c r="M65" s="101"/>
      <c r="N65" s="101"/>
      <c r="O65" s="121"/>
      <c r="P65" s="107" t="s">
        <v>96</v>
      </c>
      <c r="Q65" s="107" t="s">
        <v>96</v>
      </c>
      <c r="R65" s="107" t="s">
        <v>96</v>
      </c>
      <c r="S65" s="2" t="s">
        <v>96</v>
      </c>
      <c r="T65" s="107" t="s">
        <v>96</v>
      </c>
      <c r="U65" s="107" t="s">
        <v>96</v>
      </c>
      <c r="V65" s="107" t="s">
        <v>96</v>
      </c>
      <c r="W65" s="2" t="s">
        <v>96</v>
      </c>
      <c r="X65" s="107" t="s">
        <v>96</v>
      </c>
      <c r="Y65" s="107" t="s">
        <v>96</v>
      </c>
      <c r="Z65" s="107" t="s">
        <v>96</v>
      </c>
      <c r="AA65" s="2" t="s">
        <v>96</v>
      </c>
      <c r="AC65" s="148" t="s">
        <v>96</v>
      </c>
      <c r="AD65" s="110" t="s">
        <v>96</v>
      </c>
      <c r="AF65" s="110" t="s">
        <v>96</v>
      </c>
    </row>
    <row r="66" spans="1:32">
      <c r="A66" s="101" t="str">
        <f>Technologies!B64</f>
        <v>* Not Allowed</v>
      </c>
      <c r="B66" s="101" t="str">
        <f>Technologies!C64</f>
        <v>XELCR9E</v>
      </c>
      <c r="C66" s="101" t="str">
        <f>Technologies!D64</f>
        <v>Electricity Imports from R9 to R5 - Existing</v>
      </c>
      <c r="D66" s="104" t="str">
        <f t="shared" si="25"/>
        <v>ELCR9</v>
      </c>
      <c r="E66" s="104" t="str">
        <f>Commodities!$C$28</f>
        <v>ELC</v>
      </c>
      <c r="F66" s="110">
        <v>2010</v>
      </c>
      <c r="G66" s="110">
        <v>50</v>
      </c>
      <c r="H66" s="110"/>
      <c r="I66" s="110">
        <v>31.536000000000001</v>
      </c>
      <c r="J66" s="133" t="s">
        <v>96</v>
      </c>
      <c r="K66" s="101"/>
      <c r="L66" s="110" t="s">
        <v>96</v>
      </c>
      <c r="M66" s="101"/>
      <c r="N66" s="101"/>
      <c r="O66" s="121"/>
      <c r="P66" s="107" t="s">
        <v>96</v>
      </c>
      <c r="Q66" s="107" t="s">
        <v>96</v>
      </c>
      <c r="R66" s="107" t="s">
        <v>96</v>
      </c>
      <c r="S66" s="2" t="s">
        <v>96</v>
      </c>
      <c r="T66" s="107" t="s">
        <v>96</v>
      </c>
      <c r="U66" s="107" t="s">
        <v>96</v>
      </c>
      <c r="V66" s="107" t="s">
        <v>96</v>
      </c>
      <c r="W66" s="2" t="s">
        <v>96</v>
      </c>
      <c r="X66" s="107" t="s">
        <v>96</v>
      </c>
      <c r="Y66" s="107" t="s">
        <v>96</v>
      </c>
      <c r="Z66" s="107" t="s">
        <v>96</v>
      </c>
      <c r="AA66" s="2" t="s">
        <v>96</v>
      </c>
      <c r="AC66" s="148" t="s">
        <v>96</v>
      </c>
      <c r="AD66" s="110" t="s">
        <v>96</v>
      </c>
      <c r="AF66" s="110" t="s">
        <v>96</v>
      </c>
    </row>
    <row r="67" spans="1:32">
      <c r="A67" s="112" t="s">
        <v>76</v>
      </c>
      <c r="B67" s="112"/>
      <c r="C67" s="112"/>
      <c r="D67" s="112"/>
      <c r="E67" s="112" t="str">
        <f>MID(B67,4,5)</f>
        <v/>
      </c>
      <c r="F67" s="112"/>
      <c r="G67" s="112"/>
      <c r="H67" s="112"/>
      <c r="I67" s="112"/>
      <c r="J67" s="151"/>
      <c r="K67" s="112"/>
      <c r="L67" s="112" t="s">
        <v>96</v>
      </c>
      <c r="M67" s="112"/>
      <c r="N67" s="112"/>
      <c r="O67" s="125"/>
      <c r="AC67" s="149"/>
      <c r="AD67" s="112"/>
      <c r="AF67" s="112" t="s">
        <v>96</v>
      </c>
    </row>
    <row r="68" spans="1:32">
      <c r="A68" s="101" t="str">
        <f>Technologies!B66</f>
        <v>R6</v>
      </c>
      <c r="B68" s="101" t="str">
        <f>Technologies!C66</f>
        <v>XELCR1E</v>
      </c>
      <c r="C68" s="101" t="str">
        <f>Technologies!D66</f>
        <v>Electricity Imports from R1 to R6 - Existing</v>
      </c>
      <c r="D68" s="104" t="str">
        <f t="shared" ref="D68:D76" si="36">MID(B68,2,5)</f>
        <v>ELCR1</v>
      </c>
      <c r="E68" s="104" t="str">
        <f>Commodities!$C$28</f>
        <v>ELC</v>
      </c>
      <c r="F68" s="110">
        <v>2010</v>
      </c>
      <c r="G68" s="110">
        <v>50</v>
      </c>
      <c r="H68" s="110">
        <f t="shared" ref="H68" si="37">AD68/AC68</f>
        <v>0.90909090909090906</v>
      </c>
      <c r="I68" s="110">
        <v>31.536000000000001</v>
      </c>
      <c r="J68" s="133">
        <f>Domestic_NYC!D41</f>
        <v>7.4360715093912774E-2</v>
      </c>
      <c r="K68" s="101"/>
      <c r="L68" s="110">
        <v>1</v>
      </c>
      <c r="M68" s="101"/>
      <c r="N68" s="101"/>
      <c r="O68" s="121">
        <v>0.9</v>
      </c>
      <c r="P68" s="107">
        <f>Domestic_NYC!$I76</f>
        <v>0.95</v>
      </c>
      <c r="Q68" s="107">
        <f>Domestic_NYC!$I76</f>
        <v>0.95</v>
      </c>
      <c r="R68" s="107">
        <f>Domestic_NYC!$I76</f>
        <v>0.95</v>
      </c>
      <c r="S68" s="2">
        <f t="shared" ref="S68:S72" si="38">P68</f>
        <v>0.95</v>
      </c>
      <c r="T68" s="107">
        <f>Domestic_NYC!$I63</f>
        <v>0.95</v>
      </c>
      <c r="U68" s="107">
        <f>Domestic_NYC!$I63</f>
        <v>0.95</v>
      </c>
      <c r="V68" s="107">
        <f>Domestic_NYC!$I63</f>
        <v>0.95</v>
      </c>
      <c r="W68" s="2">
        <f t="shared" ref="W68:W72" si="39">T68</f>
        <v>0.95</v>
      </c>
      <c r="X68" s="107">
        <f>Domestic_NYC!$I50</f>
        <v>0.95</v>
      </c>
      <c r="Y68" s="107">
        <f>Domestic_NYC!$I50</f>
        <v>0.95</v>
      </c>
      <c r="Z68" s="107">
        <f>Domestic_NYC!$I50</f>
        <v>0.95</v>
      </c>
      <c r="AA68" s="2">
        <f t="shared" ref="AA68:AA72" si="40">X68</f>
        <v>0.95</v>
      </c>
      <c r="AC68" s="148">
        <v>1.1000000000000001</v>
      </c>
      <c r="AD68" s="110">
        <f t="shared" ref="AD68" si="41">IF(LEFT($A68,1)="R",1,"")</f>
        <v>1</v>
      </c>
      <c r="AF68" s="110">
        <v>0</v>
      </c>
    </row>
    <row r="69" spans="1:32">
      <c r="A69" s="101" t="str">
        <f>Technologies!B67</f>
        <v>* Not Allowed</v>
      </c>
      <c r="B69" s="101" t="str">
        <f>Technologies!C67</f>
        <v>XELCR2E</v>
      </c>
      <c r="C69" s="101" t="str">
        <f>Technologies!D67</f>
        <v>Electricity Imports from R2 to R6 - Existing</v>
      </c>
      <c r="D69" s="104" t="str">
        <f t="shared" si="36"/>
        <v>ELCR2</v>
      </c>
      <c r="E69" s="104" t="str">
        <f>Commodities!$C$28</f>
        <v>ELC</v>
      </c>
      <c r="F69" s="110">
        <v>2010</v>
      </c>
      <c r="G69" s="110">
        <v>50</v>
      </c>
      <c r="H69" s="110"/>
      <c r="I69" s="110">
        <v>31.536000000000001</v>
      </c>
      <c r="J69" s="133"/>
      <c r="K69" s="101"/>
      <c r="L69" s="110" t="s">
        <v>96</v>
      </c>
      <c r="M69" s="101"/>
      <c r="N69" s="101"/>
      <c r="O69" s="121"/>
      <c r="P69" s="107" t="str">
        <f>Domestic_NYC!$I77</f>
        <v/>
      </c>
      <c r="Q69" s="107" t="str">
        <f>Domestic_NYC!$I77</f>
        <v/>
      </c>
      <c r="R69" s="107" t="str">
        <f>Domestic_NYC!$I77</f>
        <v/>
      </c>
      <c r="S69" s="2" t="str">
        <f t="shared" si="38"/>
        <v/>
      </c>
      <c r="T69" s="107" t="str">
        <f>Domestic_NYC!$I64</f>
        <v/>
      </c>
      <c r="U69" s="107" t="str">
        <f>Domestic_NYC!$I64</f>
        <v/>
      </c>
      <c r="V69" s="107" t="str">
        <f>Domestic_NYC!$I64</f>
        <v/>
      </c>
      <c r="W69" s="2" t="str">
        <f t="shared" si="39"/>
        <v/>
      </c>
      <c r="X69" s="107" t="str">
        <f>Domestic_NYC!$I51</f>
        <v/>
      </c>
      <c r="Y69" s="107" t="str">
        <f>Domestic_NYC!$I51</f>
        <v/>
      </c>
      <c r="Z69" s="107" t="str">
        <f>Domestic_NYC!$I51</f>
        <v/>
      </c>
      <c r="AA69" s="2" t="str">
        <f t="shared" si="40"/>
        <v/>
      </c>
      <c r="AC69" s="148" t="s">
        <v>96</v>
      </c>
      <c r="AD69" s="110" t="s">
        <v>96</v>
      </c>
      <c r="AF69" s="110" t="s">
        <v>96</v>
      </c>
    </row>
    <row r="70" spans="1:32">
      <c r="A70" s="101" t="str">
        <f>Technologies!B68</f>
        <v>* Not Allowed</v>
      </c>
      <c r="B70" s="101" t="str">
        <f>Technologies!C68</f>
        <v>XELCR3E</v>
      </c>
      <c r="C70" s="101" t="str">
        <f>Technologies!D68</f>
        <v>Electricity Imports from R3 to R6 - Existing</v>
      </c>
      <c r="D70" s="104" t="str">
        <f t="shared" si="36"/>
        <v>ELCR3</v>
      </c>
      <c r="E70" s="104" t="str">
        <f>Commodities!$C$28</f>
        <v>ELC</v>
      </c>
      <c r="F70" s="110">
        <v>2010</v>
      </c>
      <c r="G70" s="110">
        <v>50</v>
      </c>
      <c r="H70" s="110"/>
      <c r="I70" s="110">
        <v>31.536000000000001</v>
      </c>
      <c r="J70" s="133"/>
      <c r="K70" s="101"/>
      <c r="L70" s="110" t="s">
        <v>96</v>
      </c>
      <c r="M70" s="101"/>
      <c r="N70" s="101"/>
      <c r="O70" s="121"/>
      <c r="P70" s="107" t="str">
        <f>Domestic_NYC!$I78</f>
        <v/>
      </c>
      <c r="Q70" s="107" t="str">
        <f>Domestic_NYC!$I78</f>
        <v/>
      </c>
      <c r="R70" s="107" t="str">
        <f>Domestic_NYC!$I78</f>
        <v/>
      </c>
      <c r="S70" s="2" t="str">
        <f t="shared" si="38"/>
        <v/>
      </c>
      <c r="T70" s="107" t="str">
        <f>Domestic_NYC!$I65</f>
        <v/>
      </c>
      <c r="U70" s="107" t="str">
        <f>Domestic_NYC!$I65</f>
        <v/>
      </c>
      <c r="V70" s="107" t="str">
        <f>Domestic_NYC!$I65</f>
        <v/>
      </c>
      <c r="W70" s="2" t="str">
        <f t="shared" si="39"/>
        <v/>
      </c>
      <c r="X70" s="107" t="str">
        <f>Domestic_NYC!$I52</f>
        <v/>
      </c>
      <c r="Y70" s="107" t="str">
        <f>Domestic_NYC!$I52</f>
        <v/>
      </c>
      <c r="Z70" s="107" t="str">
        <f>Domestic_NYC!$I52</f>
        <v/>
      </c>
      <c r="AA70" s="2" t="str">
        <f t="shared" si="40"/>
        <v/>
      </c>
      <c r="AC70" s="148" t="s">
        <v>96</v>
      </c>
      <c r="AD70" s="110" t="s">
        <v>96</v>
      </c>
      <c r="AF70" s="110" t="s">
        <v>96</v>
      </c>
    </row>
    <row r="71" spans="1:32">
      <c r="A71" s="101" t="str">
        <f>Technologies!B69</f>
        <v>* Not Allowed</v>
      </c>
      <c r="B71" s="101" t="str">
        <f>Technologies!C69</f>
        <v>XELCR4E</v>
      </c>
      <c r="C71" s="101" t="str">
        <f>Technologies!D69</f>
        <v>Electricity Imports from R4 to R6 - Existing</v>
      </c>
      <c r="D71" s="104" t="str">
        <f t="shared" si="36"/>
        <v>ELCR4</v>
      </c>
      <c r="E71" s="104" t="str">
        <f>Commodities!$C$28</f>
        <v>ELC</v>
      </c>
      <c r="F71" s="110">
        <v>2010</v>
      </c>
      <c r="G71" s="110">
        <v>50</v>
      </c>
      <c r="H71" s="110"/>
      <c r="I71" s="110">
        <v>31.536000000000001</v>
      </c>
      <c r="J71" s="133"/>
      <c r="K71" s="101"/>
      <c r="L71" s="110" t="s">
        <v>96</v>
      </c>
      <c r="M71" s="101"/>
      <c r="N71" s="101"/>
      <c r="O71" s="121"/>
      <c r="P71" s="107" t="str">
        <f>Domestic_NYC!$I79</f>
        <v/>
      </c>
      <c r="Q71" s="107" t="str">
        <f>P71</f>
        <v/>
      </c>
      <c r="R71" s="107" t="str">
        <f>P71</f>
        <v/>
      </c>
      <c r="S71" s="2" t="str">
        <f t="shared" si="38"/>
        <v/>
      </c>
      <c r="T71" s="107" t="str">
        <f>Domestic_NYC!$I66</f>
        <v/>
      </c>
      <c r="U71" s="107" t="str">
        <f>T71</f>
        <v/>
      </c>
      <c r="V71" s="107" t="str">
        <f>T71</f>
        <v/>
      </c>
      <c r="W71" s="2" t="str">
        <f t="shared" si="39"/>
        <v/>
      </c>
      <c r="X71" s="107" t="str">
        <f>Domestic_NYC!$I53</f>
        <v/>
      </c>
      <c r="Y71" s="107" t="str">
        <f>X71</f>
        <v/>
      </c>
      <c r="Z71" s="107" t="str">
        <f>X71</f>
        <v/>
      </c>
      <c r="AA71" s="2" t="str">
        <f t="shared" si="40"/>
        <v/>
      </c>
      <c r="AC71" s="148" t="s">
        <v>96</v>
      </c>
      <c r="AD71" s="110" t="s">
        <v>96</v>
      </c>
      <c r="AF71" s="110" t="s">
        <v>96</v>
      </c>
    </row>
    <row r="72" spans="1:32">
      <c r="A72" s="101" t="str">
        <f>Technologies!B70</f>
        <v>R6</v>
      </c>
      <c r="B72" s="101" t="str">
        <f>Technologies!C70</f>
        <v>XELCR5E</v>
      </c>
      <c r="C72" s="101" t="str">
        <f>Technologies!D70</f>
        <v>Electricity Imports from R5 to R6 - Existing</v>
      </c>
      <c r="D72" s="104" t="str">
        <f t="shared" si="36"/>
        <v>ELCR5</v>
      </c>
      <c r="E72" s="104" t="str">
        <f>Commodities!$C$28</f>
        <v>ELC</v>
      </c>
      <c r="F72" s="110">
        <v>2010</v>
      </c>
      <c r="G72" s="110">
        <v>50</v>
      </c>
      <c r="H72" s="110">
        <f>AD72/AC72</f>
        <v>0.95238095238095233</v>
      </c>
      <c r="I72" s="110">
        <v>31.536000000000001</v>
      </c>
      <c r="J72" s="133">
        <f>Domestic_NYC!H25</f>
        <v>0.51200000000000001</v>
      </c>
      <c r="K72" s="101"/>
      <c r="L72" s="110">
        <v>1</v>
      </c>
      <c r="M72" s="101"/>
      <c r="N72" s="101"/>
      <c r="O72" s="121"/>
      <c r="P72" s="107">
        <f>Domestic_NYC!$I80</f>
        <v>0.95</v>
      </c>
      <c r="Q72" s="107">
        <f>P72</f>
        <v>0.95</v>
      </c>
      <c r="R72" s="107">
        <f>P72</f>
        <v>0.95</v>
      </c>
      <c r="S72" s="2">
        <f t="shared" si="38"/>
        <v>0.95</v>
      </c>
      <c r="T72" s="107">
        <f>Domestic_NYC!$I67</f>
        <v>0.95</v>
      </c>
      <c r="U72" s="107">
        <f>T72</f>
        <v>0.95</v>
      </c>
      <c r="V72" s="107">
        <f>T72</f>
        <v>0.95</v>
      </c>
      <c r="W72" s="2">
        <f t="shared" si="39"/>
        <v>0.95</v>
      </c>
      <c r="X72" s="107">
        <f>Domestic_NYC!$I54</f>
        <v>0.95</v>
      </c>
      <c r="Y72" s="107">
        <f>X72</f>
        <v>0.95</v>
      </c>
      <c r="Z72" s="107">
        <f>X72</f>
        <v>0.95</v>
      </c>
      <c r="AA72" s="2">
        <f t="shared" si="40"/>
        <v>0.95</v>
      </c>
      <c r="AC72" s="148">
        <v>1.05</v>
      </c>
      <c r="AD72" s="110">
        <f t="shared" ref="AD72" si="42">IF(LEFT($A72,1)="R",1,"")</f>
        <v>1</v>
      </c>
      <c r="AF72" s="110">
        <v>0</v>
      </c>
    </row>
    <row r="73" spans="1:32">
      <c r="A73" s="101" t="str">
        <f>Technologies!B71</f>
        <v>* Not Allowed</v>
      </c>
      <c r="B73" s="101" t="str">
        <f>Technologies!C71</f>
        <v>XELCR6E</v>
      </c>
      <c r="C73" s="101" t="str">
        <f>Technologies!D71</f>
        <v>Electricity Imports from R6 to R6 - Existing</v>
      </c>
      <c r="D73" s="104" t="str">
        <f t="shared" si="36"/>
        <v>ELCR6</v>
      </c>
      <c r="E73" s="104" t="str">
        <f>Commodities!$C$28</f>
        <v>ELC</v>
      </c>
      <c r="F73" s="110">
        <v>2010</v>
      </c>
      <c r="G73" s="110">
        <v>50</v>
      </c>
      <c r="H73" s="110"/>
      <c r="I73" s="110">
        <v>31.536000000000001</v>
      </c>
      <c r="J73" s="133"/>
      <c r="K73" s="101"/>
      <c r="L73" s="110" t="s">
        <v>96</v>
      </c>
      <c r="M73" s="101"/>
      <c r="N73" s="101"/>
      <c r="O73" s="121"/>
      <c r="P73" s="107" t="s">
        <v>96</v>
      </c>
      <c r="Q73" s="107" t="s">
        <v>96</v>
      </c>
      <c r="R73" s="107" t="s">
        <v>96</v>
      </c>
      <c r="S73" s="2" t="s">
        <v>96</v>
      </c>
      <c r="T73" s="107" t="s">
        <v>96</v>
      </c>
      <c r="U73" s="107" t="s">
        <v>96</v>
      </c>
      <c r="V73" s="107" t="s">
        <v>96</v>
      </c>
      <c r="W73" s="2" t="s">
        <v>96</v>
      </c>
      <c r="X73" s="107" t="s">
        <v>96</v>
      </c>
      <c r="Y73" s="107" t="s">
        <v>96</v>
      </c>
      <c r="Z73" s="107" t="s">
        <v>96</v>
      </c>
      <c r="AA73" s="2" t="s">
        <v>96</v>
      </c>
      <c r="AC73" s="148" t="s">
        <v>96</v>
      </c>
      <c r="AD73" s="110" t="s">
        <v>96</v>
      </c>
      <c r="AF73" s="110" t="s">
        <v>96</v>
      </c>
    </row>
    <row r="74" spans="1:32">
      <c r="A74" s="101" t="str">
        <f>Technologies!B72</f>
        <v>* Not Allowed</v>
      </c>
      <c r="B74" s="101" t="str">
        <f>Technologies!C72</f>
        <v>XELCR7E</v>
      </c>
      <c r="C74" s="101" t="str">
        <f>Technologies!D72</f>
        <v>Electricity Imports from R7 to R6 - Existing</v>
      </c>
      <c r="D74" s="104" t="str">
        <f t="shared" si="36"/>
        <v>ELCR7</v>
      </c>
      <c r="E74" s="104" t="str">
        <f>Commodities!$C$28</f>
        <v>ELC</v>
      </c>
      <c r="F74" s="110">
        <v>2010</v>
      </c>
      <c r="G74" s="110">
        <v>50</v>
      </c>
      <c r="H74" s="110"/>
      <c r="I74" s="110">
        <v>31.536000000000001</v>
      </c>
      <c r="J74" s="110"/>
      <c r="K74" s="101"/>
      <c r="L74" s="110" t="s">
        <v>96</v>
      </c>
      <c r="M74" s="101"/>
      <c r="N74" s="101"/>
      <c r="O74" s="121"/>
      <c r="P74" s="107" t="s">
        <v>96</v>
      </c>
      <c r="Q74" s="107" t="s">
        <v>96</v>
      </c>
      <c r="R74" s="107" t="s">
        <v>96</v>
      </c>
      <c r="S74" s="2" t="s">
        <v>96</v>
      </c>
      <c r="T74" s="107" t="s">
        <v>96</v>
      </c>
      <c r="U74" s="107" t="s">
        <v>96</v>
      </c>
      <c r="V74" s="107" t="s">
        <v>96</v>
      </c>
      <c r="W74" s="2" t="s">
        <v>96</v>
      </c>
      <c r="X74" s="107" t="s">
        <v>96</v>
      </c>
      <c r="Y74" s="107" t="s">
        <v>96</v>
      </c>
      <c r="Z74" s="107" t="s">
        <v>96</v>
      </c>
      <c r="AA74" s="2" t="s">
        <v>96</v>
      </c>
      <c r="AC74" s="148" t="s">
        <v>96</v>
      </c>
      <c r="AD74" s="110" t="s">
        <v>96</v>
      </c>
      <c r="AF74" s="110" t="s">
        <v>96</v>
      </c>
    </row>
    <row r="75" spans="1:32">
      <c r="A75" s="101" t="str">
        <f>Technologies!B73</f>
        <v>* Not Allowed</v>
      </c>
      <c r="B75" s="101" t="str">
        <f>Technologies!C73</f>
        <v>XELCR8E</v>
      </c>
      <c r="C75" s="101" t="str">
        <f>Technologies!D73</f>
        <v>Electricity Imports from R8 to R6 - Existing</v>
      </c>
      <c r="D75" s="104" t="str">
        <f t="shared" si="36"/>
        <v>ELCR8</v>
      </c>
      <c r="E75" s="104" t="str">
        <f>Commodities!$C$28</f>
        <v>ELC</v>
      </c>
      <c r="F75" s="110">
        <v>2010</v>
      </c>
      <c r="G75" s="110">
        <v>50</v>
      </c>
      <c r="H75" s="110"/>
      <c r="I75" s="110">
        <v>31.536000000000001</v>
      </c>
      <c r="J75" s="110"/>
      <c r="K75" s="101"/>
      <c r="L75" s="110" t="s">
        <v>96</v>
      </c>
      <c r="M75" s="101"/>
      <c r="N75" s="101"/>
      <c r="O75" s="121"/>
      <c r="P75" s="107" t="s">
        <v>96</v>
      </c>
      <c r="Q75" s="107" t="s">
        <v>96</v>
      </c>
      <c r="R75" s="107" t="s">
        <v>96</v>
      </c>
      <c r="S75" s="2" t="s">
        <v>96</v>
      </c>
      <c r="T75" s="107" t="s">
        <v>96</v>
      </c>
      <c r="U75" s="107" t="s">
        <v>96</v>
      </c>
      <c r="V75" s="107" t="s">
        <v>96</v>
      </c>
      <c r="W75" s="2" t="s">
        <v>96</v>
      </c>
      <c r="X75" s="107" t="s">
        <v>96</v>
      </c>
      <c r="Y75" s="107" t="s">
        <v>96</v>
      </c>
      <c r="Z75" s="107" t="s">
        <v>96</v>
      </c>
      <c r="AA75" s="2" t="s">
        <v>96</v>
      </c>
      <c r="AC75" s="148" t="s">
        <v>96</v>
      </c>
      <c r="AD75" s="110" t="s">
        <v>96</v>
      </c>
      <c r="AF75" s="110" t="s">
        <v>96</v>
      </c>
    </row>
    <row r="76" spans="1:32">
      <c r="A76" s="101" t="str">
        <f>Technologies!B74</f>
        <v>* Not Allowed</v>
      </c>
      <c r="B76" s="101" t="str">
        <f>Technologies!C74</f>
        <v>XELCR9E</v>
      </c>
      <c r="C76" s="101" t="str">
        <f>Technologies!D74</f>
        <v>Electricity Imports from R9 to R6 - Existing</v>
      </c>
      <c r="D76" s="104" t="str">
        <f t="shared" si="36"/>
        <v>ELCR9</v>
      </c>
      <c r="E76" s="104" t="str">
        <f>Commodities!$C$28</f>
        <v>ELC</v>
      </c>
      <c r="F76" s="110">
        <v>2010</v>
      </c>
      <c r="G76" s="110">
        <v>50</v>
      </c>
      <c r="H76" s="110"/>
      <c r="I76" s="110">
        <v>31.536000000000001</v>
      </c>
      <c r="J76" s="110" t="s">
        <v>96</v>
      </c>
      <c r="K76" s="101"/>
      <c r="L76" s="110" t="s">
        <v>96</v>
      </c>
      <c r="M76" s="101"/>
      <c r="N76" s="101"/>
      <c r="O76" s="121"/>
      <c r="P76" s="107" t="s">
        <v>96</v>
      </c>
      <c r="Q76" s="107" t="s">
        <v>96</v>
      </c>
      <c r="R76" s="107" t="s">
        <v>96</v>
      </c>
      <c r="S76" s="2" t="s">
        <v>96</v>
      </c>
      <c r="T76" s="107" t="s">
        <v>96</v>
      </c>
      <c r="U76" s="107" t="s">
        <v>96</v>
      </c>
      <c r="V76" s="107" t="s">
        <v>96</v>
      </c>
      <c r="W76" s="2" t="s">
        <v>96</v>
      </c>
      <c r="X76" s="107" t="s">
        <v>96</v>
      </c>
      <c r="Y76" s="107" t="s">
        <v>96</v>
      </c>
      <c r="Z76" s="107" t="s">
        <v>96</v>
      </c>
      <c r="AA76" s="2" t="s">
        <v>96</v>
      </c>
      <c r="AC76" s="148" t="s">
        <v>96</v>
      </c>
      <c r="AD76" s="110" t="s">
        <v>96</v>
      </c>
      <c r="AF76" s="110" t="s">
        <v>96</v>
      </c>
    </row>
    <row r="77" spans="1:32">
      <c r="A77" s="112" t="s">
        <v>77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 t="s">
        <v>96</v>
      </c>
      <c r="L77" s="112" t="s">
        <v>96</v>
      </c>
      <c r="M77" s="112"/>
      <c r="N77" s="112"/>
      <c r="O77" s="125"/>
      <c r="P77" s="107" t="s">
        <v>96</v>
      </c>
      <c r="Q77" s="107" t="s">
        <v>96</v>
      </c>
      <c r="R77" s="107" t="s">
        <v>96</v>
      </c>
      <c r="S77" s="2" t="s">
        <v>96</v>
      </c>
      <c r="T77" s="2" t="s">
        <v>96</v>
      </c>
      <c r="U77" s="2" t="s">
        <v>96</v>
      </c>
      <c r="V77" s="2" t="s">
        <v>96</v>
      </c>
      <c r="W77" s="2" t="s">
        <v>96</v>
      </c>
      <c r="X77" s="2" t="s">
        <v>96</v>
      </c>
      <c r="Y77" s="2" t="s">
        <v>96</v>
      </c>
      <c r="Z77" s="2" t="s">
        <v>96</v>
      </c>
      <c r="AA77" s="2" t="s">
        <v>96</v>
      </c>
      <c r="AC77" s="149" t="s">
        <v>96</v>
      </c>
      <c r="AD77" s="112" t="s">
        <v>96</v>
      </c>
      <c r="AF77" s="112"/>
    </row>
    <row r="78" spans="1:32">
      <c r="A78" s="112" t="s">
        <v>71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 t="s">
        <v>96</v>
      </c>
      <c r="L78" s="112" t="s">
        <v>96</v>
      </c>
      <c r="M78" s="112"/>
      <c r="N78" s="112"/>
      <c r="O78" s="125"/>
      <c r="AC78" s="149"/>
      <c r="AD78" s="112"/>
      <c r="AF78" s="112"/>
    </row>
    <row r="79" spans="1:32">
      <c r="A79" s="101" t="str">
        <f>Technologies!B77</f>
        <v>* Not Allowed</v>
      </c>
      <c r="B79" s="101" t="str">
        <f>Technologies!C77</f>
        <v>XELCR1N</v>
      </c>
      <c r="C79" s="101" t="str">
        <f>Technologies!D77</f>
        <v>Electricity Imports from R1 to R1 -  New</v>
      </c>
      <c r="D79" s="104" t="str">
        <f t="shared" ref="D79:D87" si="43">MID(B79,2,5)</f>
        <v>ELCR1</v>
      </c>
      <c r="E79" s="104" t="str">
        <f>Commodities!$C$28</f>
        <v>ELC</v>
      </c>
      <c r="F79" s="110">
        <v>2010</v>
      </c>
      <c r="G79" s="110">
        <v>50</v>
      </c>
      <c r="H79" s="110"/>
      <c r="I79" s="110">
        <v>31.536000000000001</v>
      </c>
      <c r="J79" s="110"/>
      <c r="K79" s="110"/>
      <c r="L79" s="110"/>
      <c r="M79" s="101"/>
      <c r="N79" s="101"/>
      <c r="O79" s="121"/>
      <c r="T79" s="107"/>
      <c r="U79" s="107"/>
      <c r="V79" s="107"/>
      <c r="X79" s="107"/>
      <c r="Y79" s="107"/>
      <c r="Z79" s="107"/>
      <c r="AC79" s="148"/>
      <c r="AD79" s="110"/>
      <c r="AF79" s="110"/>
    </row>
    <row r="80" spans="1:32">
      <c r="A80" s="101" t="str">
        <f>Technologies!B78</f>
        <v>R1</v>
      </c>
      <c r="B80" s="101" t="str">
        <f>Technologies!C78</f>
        <v>XELCR2N</v>
      </c>
      <c r="C80" s="101" t="str">
        <f>Technologies!D78</f>
        <v>Electricity Imports from R2 to R1 -  New</v>
      </c>
      <c r="D80" s="104" t="str">
        <f t="shared" si="43"/>
        <v>ELCR2</v>
      </c>
      <c r="E80" s="104" t="str">
        <f>Commodities!$C$28</f>
        <v>ELC</v>
      </c>
      <c r="F80" s="110">
        <v>2010</v>
      </c>
      <c r="G80" s="110">
        <v>50</v>
      </c>
      <c r="H80" s="110">
        <f>AD80/AC80</f>
        <v>0.90909090909090906</v>
      </c>
      <c r="I80" s="110">
        <v>31.536000000000001</v>
      </c>
      <c r="J80" s="110"/>
      <c r="K80" s="111">
        <v>500</v>
      </c>
      <c r="L80" s="110">
        <v>1</v>
      </c>
      <c r="M80" s="101">
        <v>1</v>
      </c>
      <c r="N80" s="101">
        <v>10</v>
      </c>
      <c r="O80" s="121"/>
      <c r="P80" s="107">
        <f t="shared" ref="P80:P85" si="44">P19</f>
        <v>0.95</v>
      </c>
      <c r="Q80" s="107">
        <f>P80</f>
        <v>0.95</v>
      </c>
      <c r="R80" s="107">
        <f>P80</f>
        <v>0.95</v>
      </c>
      <c r="S80" s="2">
        <f t="shared" ref="S80:S85" si="45">P80</f>
        <v>0.95</v>
      </c>
      <c r="T80" s="107">
        <f t="shared" ref="T80:T85" si="46">T19</f>
        <v>0.95</v>
      </c>
      <c r="U80" s="107">
        <f>T80</f>
        <v>0.95</v>
      </c>
      <c r="V80" s="107">
        <f>T80</f>
        <v>0.95</v>
      </c>
      <c r="W80" s="2">
        <f t="shared" ref="W80:W85" si="47">T80</f>
        <v>0.95</v>
      </c>
      <c r="X80" s="107">
        <f t="shared" ref="X80:X85" si="48">X19</f>
        <v>0.95</v>
      </c>
      <c r="Y80" s="107">
        <f>X80</f>
        <v>0.95</v>
      </c>
      <c r="Z80" s="107">
        <f>X80</f>
        <v>0.95</v>
      </c>
      <c r="AA80" s="2">
        <v>0.95</v>
      </c>
      <c r="AC80" s="148">
        <v>1.1000000000000001</v>
      </c>
      <c r="AD80" s="110">
        <v>1</v>
      </c>
      <c r="AF80" s="110">
        <v>0</v>
      </c>
    </row>
    <row r="81" spans="1:32">
      <c r="A81" s="101" t="str">
        <f>Technologies!B79</f>
        <v>R1</v>
      </c>
      <c r="B81" s="101" t="str">
        <f>Technologies!C79</f>
        <v>XELCR3N</v>
      </c>
      <c r="C81" s="101" t="str">
        <f>Technologies!D79</f>
        <v>Electricity Imports from R3 to R1 -  New</v>
      </c>
      <c r="D81" s="104" t="str">
        <f t="shared" si="43"/>
        <v>ELCR3</v>
      </c>
      <c r="E81" s="104" t="str">
        <f>Commodities!$C$28</f>
        <v>ELC</v>
      </c>
      <c r="F81" s="110">
        <v>2010</v>
      </c>
      <c r="G81" s="110">
        <v>50</v>
      </c>
      <c r="H81" s="110">
        <f>AD81/AC81</f>
        <v>0.90909090909090906</v>
      </c>
      <c r="I81" s="110">
        <v>31.536000000000001</v>
      </c>
      <c r="J81" s="110"/>
      <c r="K81" s="111">
        <v>1000</v>
      </c>
      <c r="L81" s="110">
        <v>1</v>
      </c>
      <c r="M81" s="101">
        <v>1</v>
      </c>
      <c r="N81" s="101">
        <v>10</v>
      </c>
      <c r="O81" s="121"/>
      <c r="P81" s="107">
        <f t="shared" si="44"/>
        <v>0.95</v>
      </c>
      <c r="Q81" s="107">
        <f t="shared" ref="Q81:R85" si="49">Q20</f>
        <v>0.95</v>
      </c>
      <c r="R81" s="107">
        <f t="shared" si="49"/>
        <v>0.95</v>
      </c>
      <c r="S81" s="2">
        <f t="shared" si="45"/>
        <v>0.95</v>
      </c>
      <c r="T81" s="107">
        <f t="shared" si="46"/>
        <v>0.95</v>
      </c>
      <c r="U81" s="107">
        <f t="shared" ref="U81:V85" si="50">U20</f>
        <v>0.95</v>
      </c>
      <c r="V81" s="107">
        <f t="shared" si="50"/>
        <v>0.95</v>
      </c>
      <c r="W81" s="2">
        <f t="shared" si="47"/>
        <v>0.95</v>
      </c>
      <c r="X81" s="107">
        <f t="shared" si="48"/>
        <v>0.95</v>
      </c>
      <c r="Y81" s="107">
        <f t="shared" ref="Y81:Z85" si="51">Y20</f>
        <v>0.95</v>
      </c>
      <c r="Z81" s="107">
        <f t="shared" si="51"/>
        <v>0.95</v>
      </c>
      <c r="AA81" s="2">
        <v>0.95</v>
      </c>
      <c r="AC81" s="148">
        <v>1.1000000000000001</v>
      </c>
      <c r="AD81" s="110">
        <v>1</v>
      </c>
      <c r="AF81" s="110">
        <v>0</v>
      </c>
    </row>
    <row r="82" spans="1:32">
      <c r="A82" s="101" t="str">
        <f>Technologies!B80</f>
        <v>R1</v>
      </c>
      <c r="B82" s="101" t="str">
        <f>Technologies!C80</f>
        <v>XELCR4N</v>
      </c>
      <c r="C82" s="101" t="str">
        <f>Technologies!D80</f>
        <v>Electricity Imports from R4 to R1 -  New</v>
      </c>
      <c r="D82" s="104" t="str">
        <f t="shared" si="43"/>
        <v>ELCR4</v>
      </c>
      <c r="E82" s="104" t="str">
        <f>Commodities!$C$28</f>
        <v>ELC</v>
      </c>
      <c r="F82" s="110">
        <v>2010</v>
      </c>
      <c r="G82" s="110">
        <v>50</v>
      </c>
      <c r="H82" s="110">
        <f>AD82/AC82</f>
        <v>0.90909090909090906</v>
      </c>
      <c r="I82" s="110">
        <v>31.536000000000001</v>
      </c>
      <c r="J82" s="110"/>
      <c r="K82" s="111">
        <v>1000</v>
      </c>
      <c r="L82" s="110">
        <v>1</v>
      </c>
      <c r="M82" s="101">
        <v>1</v>
      </c>
      <c r="N82" s="101">
        <v>10</v>
      </c>
      <c r="O82" s="121"/>
      <c r="P82" s="107">
        <f t="shared" si="44"/>
        <v>0.95</v>
      </c>
      <c r="Q82" s="107">
        <f t="shared" si="49"/>
        <v>0.95</v>
      </c>
      <c r="R82" s="107">
        <f t="shared" si="49"/>
        <v>0.95</v>
      </c>
      <c r="S82" s="2">
        <f t="shared" si="45"/>
        <v>0.95</v>
      </c>
      <c r="T82" s="107">
        <f t="shared" si="46"/>
        <v>0.95</v>
      </c>
      <c r="U82" s="107">
        <f t="shared" si="50"/>
        <v>0.95</v>
      </c>
      <c r="V82" s="107">
        <f t="shared" si="50"/>
        <v>0.95</v>
      </c>
      <c r="W82" s="2">
        <f t="shared" si="47"/>
        <v>0.95</v>
      </c>
      <c r="X82" s="107">
        <f t="shared" si="48"/>
        <v>0.95</v>
      </c>
      <c r="Y82" s="107">
        <f t="shared" si="51"/>
        <v>0.95</v>
      </c>
      <c r="Z82" s="107">
        <f t="shared" si="51"/>
        <v>0.95</v>
      </c>
      <c r="AA82" s="2">
        <v>0.95</v>
      </c>
      <c r="AC82" s="148">
        <v>1.1000000000000001</v>
      </c>
      <c r="AD82" s="110">
        <v>1</v>
      </c>
      <c r="AF82" s="110">
        <v>0</v>
      </c>
    </row>
    <row r="83" spans="1:32">
      <c r="A83" s="101" t="str">
        <f>Technologies!B81</f>
        <v>R1</v>
      </c>
      <c r="B83" s="101" t="str">
        <f>Technologies!C81</f>
        <v>XELCR5N</v>
      </c>
      <c r="C83" s="101" t="str">
        <f>Technologies!D81</f>
        <v>Electricity Imports from R5 to R1 -  New</v>
      </c>
      <c r="D83" s="104" t="str">
        <f t="shared" si="43"/>
        <v>ELCR5</v>
      </c>
      <c r="E83" s="104" t="str">
        <f>Commodities!$C$28</f>
        <v>ELC</v>
      </c>
      <c r="F83" s="110">
        <v>2010</v>
      </c>
      <c r="G83" s="110">
        <v>50</v>
      </c>
      <c r="H83" s="110">
        <f>AD83/AC83</f>
        <v>0.90909090909090906</v>
      </c>
      <c r="I83" s="110">
        <v>31.536000000000001</v>
      </c>
      <c r="J83" s="110"/>
      <c r="K83" s="111">
        <v>1000</v>
      </c>
      <c r="L83" s="110">
        <v>1</v>
      </c>
      <c r="M83" s="101">
        <v>1</v>
      </c>
      <c r="N83" s="101">
        <v>10</v>
      </c>
      <c r="O83" s="121"/>
      <c r="P83" s="107">
        <f t="shared" si="44"/>
        <v>0.95</v>
      </c>
      <c r="Q83" s="107">
        <f t="shared" si="49"/>
        <v>0.95</v>
      </c>
      <c r="R83" s="107">
        <f t="shared" si="49"/>
        <v>0.95</v>
      </c>
      <c r="S83" s="2">
        <f t="shared" si="45"/>
        <v>0.95</v>
      </c>
      <c r="T83" s="107">
        <f t="shared" si="46"/>
        <v>0.95</v>
      </c>
      <c r="U83" s="107">
        <f t="shared" si="50"/>
        <v>0.95</v>
      </c>
      <c r="V83" s="107">
        <f t="shared" si="50"/>
        <v>0.95</v>
      </c>
      <c r="W83" s="2">
        <f t="shared" si="47"/>
        <v>0.95</v>
      </c>
      <c r="X83" s="107">
        <f t="shared" si="48"/>
        <v>0.95</v>
      </c>
      <c r="Y83" s="107">
        <f t="shared" si="51"/>
        <v>0.95</v>
      </c>
      <c r="Z83" s="107">
        <f t="shared" si="51"/>
        <v>0.95</v>
      </c>
      <c r="AA83" s="2">
        <v>0.95</v>
      </c>
      <c r="AC83" s="148">
        <v>1.1000000000000001</v>
      </c>
      <c r="AD83" s="110">
        <v>1</v>
      </c>
      <c r="AF83" s="110">
        <v>0</v>
      </c>
    </row>
    <row r="84" spans="1:32">
      <c r="A84" s="101" t="str">
        <f>Technologies!B82</f>
        <v>R1</v>
      </c>
      <c r="B84" s="101" t="str">
        <f>Technologies!C82</f>
        <v>XELCR6N</v>
      </c>
      <c r="C84" s="101" t="str">
        <f>Technologies!D82</f>
        <v>Electricity Imports from R6 to R1 -  New</v>
      </c>
      <c r="D84" s="104" t="str">
        <f t="shared" si="43"/>
        <v>ELCR6</v>
      </c>
      <c r="E84" s="104" t="str">
        <f>Commodities!$C$28</f>
        <v>ELC</v>
      </c>
      <c r="F84" s="110">
        <v>2010</v>
      </c>
      <c r="G84" s="110">
        <v>50</v>
      </c>
      <c r="H84" s="110">
        <f>AD84/AC84</f>
        <v>0.90909090909090906</v>
      </c>
      <c r="I84" s="110">
        <v>31.536000000000001</v>
      </c>
      <c r="J84" s="110"/>
      <c r="K84" s="111">
        <v>1000</v>
      </c>
      <c r="L84" s="110">
        <v>1</v>
      </c>
      <c r="M84" s="101">
        <v>1</v>
      </c>
      <c r="N84" s="101">
        <v>10</v>
      </c>
      <c r="O84" s="121"/>
      <c r="P84" s="107">
        <f t="shared" si="44"/>
        <v>0.95</v>
      </c>
      <c r="Q84" s="107">
        <f t="shared" si="49"/>
        <v>0.95</v>
      </c>
      <c r="R84" s="107">
        <f t="shared" si="49"/>
        <v>0.95</v>
      </c>
      <c r="S84" s="2">
        <f t="shared" si="45"/>
        <v>0.95</v>
      </c>
      <c r="T84" s="107">
        <f t="shared" si="46"/>
        <v>0.95</v>
      </c>
      <c r="U84" s="107">
        <f t="shared" si="50"/>
        <v>0.95</v>
      </c>
      <c r="V84" s="107">
        <f t="shared" si="50"/>
        <v>0.95</v>
      </c>
      <c r="W84" s="2">
        <f t="shared" si="47"/>
        <v>0.95</v>
      </c>
      <c r="X84" s="107">
        <f t="shared" si="48"/>
        <v>0.95</v>
      </c>
      <c r="Y84" s="107">
        <f t="shared" si="51"/>
        <v>0.95</v>
      </c>
      <c r="Z84" s="107">
        <f t="shared" si="51"/>
        <v>0.95</v>
      </c>
      <c r="AA84" s="2">
        <v>0.95</v>
      </c>
      <c r="AC84" s="148">
        <v>1.1000000000000001</v>
      </c>
      <c r="AD84" s="110">
        <v>1</v>
      </c>
      <c r="AF84" s="110">
        <v>0</v>
      </c>
    </row>
    <row r="85" spans="1:32">
      <c r="A85" s="101" t="str">
        <f>Technologies!B83</f>
        <v>* Not Allowed</v>
      </c>
      <c r="B85" s="101" t="str">
        <f>Technologies!C83</f>
        <v>XELCR7N</v>
      </c>
      <c r="C85" s="101" t="str">
        <f>Technologies!D83</f>
        <v>Electricity Imports from R7 to R1 -  New</v>
      </c>
      <c r="D85" s="104" t="str">
        <f t="shared" si="43"/>
        <v>ELCR7</v>
      </c>
      <c r="E85" s="104" t="str">
        <f>Commodities!$C$28</f>
        <v>ELC</v>
      </c>
      <c r="F85" s="110">
        <v>2010</v>
      </c>
      <c r="G85" s="110">
        <v>50</v>
      </c>
      <c r="H85" s="110"/>
      <c r="I85" s="110">
        <v>31.536000000000001</v>
      </c>
      <c r="J85" s="110"/>
      <c r="K85" s="110" t="s">
        <v>96</v>
      </c>
      <c r="L85" s="110" t="s">
        <v>96</v>
      </c>
      <c r="M85" s="101"/>
      <c r="N85" s="101"/>
      <c r="O85" s="121"/>
      <c r="P85" s="107" t="str">
        <f t="shared" si="44"/>
        <v/>
      </c>
      <c r="Q85" s="107" t="str">
        <f t="shared" si="49"/>
        <v/>
      </c>
      <c r="R85" s="107" t="str">
        <f t="shared" si="49"/>
        <v/>
      </c>
      <c r="S85" s="2" t="str">
        <f t="shared" si="45"/>
        <v/>
      </c>
      <c r="T85" s="107" t="str">
        <f t="shared" si="46"/>
        <v/>
      </c>
      <c r="U85" s="107" t="str">
        <f t="shared" si="50"/>
        <v/>
      </c>
      <c r="V85" s="107" t="str">
        <f t="shared" si="50"/>
        <v/>
      </c>
      <c r="W85" s="2" t="str">
        <f t="shared" si="47"/>
        <v/>
      </c>
      <c r="X85" s="107" t="str">
        <f t="shared" si="48"/>
        <v/>
      </c>
      <c r="Y85" s="107" t="str">
        <f t="shared" si="51"/>
        <v/>
      </c>
      <c r="Z85" s="107" t="str">
        <f t="shared" si="51"/>
        <v/>
      </c>
      <c r="AA85" s="2" t="s">
        <v>96</v>
      </c>
      <c r="AC85" s="148" t="s">
        <v>96</v>
      </c>
      <c r="AD85" s="110" t="s">
        <v>96</v>
      </c>
      <c r="AF85" s="101"/>
    </row>
    <row r="86" spans="1:32">
      <c r="A86" s="101" t="str">
        <f>Technologies!B84</f>
        <v>* Not Allowed</v>
      </c>
      <c r="B86" s="101" t="str">
        <f>Technologies!C84</f>
        <v>XELCR8N</v>
      </c>
      <c r="C86" s="101" t="str">
        <f>Technologies!D84</f>
        <v>Electricity Imports from R8 to R1 -  New</v>
      </c>
      <c r="D86" s="104" t="str">
        <f t="shared" si="43"/>
        <v>ELCR8</v>
      </c>
      <c r="E86" s="104" t="str">
        <f>Commodities!$C$28</f>
        <v>ELC</v>
      </c>
      <c r="F86" s="110">
        <v>2010</v>
      </c>
      <c r="G86" s="110">
        <v>50</v>
      </c>
      <c r="H86" s="110"/>
      <c r="I86" s="110">
        <v>31.536000000000001</v>
      </c>
      <c r="J86" s="110"/>
      <c r="K86" s="110" t="s">
        <v>96</v>
      </c>
      <c r="L86" s="110" t="s">
        <v>96</v>
      </c>
      <c r="M86" s="101"/>
      <c r="N86" s="101"/>
      <c r="O86" s="121"/>
      <c r="P86" s="107" t="s">
        <v>96</v>
      </c>
      <c r="Q86" s="107" t="s">
        <v>96</v>
      </c>
      <c r="R86" s="107" t="s">
        <v>96</v>
      </c>
      <c r="S86" s="2" t="s">
        <v>96</v>
      </c>
      <c r="T86" s="107" t="s">
        <v>96</v>
      </c>
      <c r="U86" s="107" t="s">
        <v>96</v>
      </c>
      <c r="V86" s="107" t="s">
        <v>96</v>
      </c>
      <c r="W86" s="2" t="s">
        <v>96</v>
      </c>
      <c r="X86" s="107" t="s">
        <v>96</v>
      </c>
      <c r="Y86" s="107" t="s">
        <v>96</v>
      </c>
      <c r="Z86" s="107" t="s">
        <v>96</v>
      </c>
      <c r="AA86" s="2" t="s">
        <v>96</v>
      </c>
      <c r="AC86" s="148" t="s">
        <v>96</v>
      </c>
      <c r="AD86" s="110" t="s">
        <v>96</v>
      </c>
      <c r="AF86" s="101"/>
    </row>
    <row r="87" spans="1:32">
      <c r="A87" s="101" t="str">
        <f>Technologies!B85</f>
        <v>* Not Allowed</v>
      </c>
      <c r="B87" s="101" t="str">
        <f>Technologies!C85</f>
        <v>XELCR9N</v>
      </c>
      <c r="C87" s="101" t="str">
        <f>Technologies!D85</f>
        <v>Electricity Imports from R9 to R1 -  New</v>
      </c>
      <c r="D87" s="104" t="str">
        <f t="shared" si="43"/>
        <v>ELCR9</v>
      </c>
      <c r="E87" s="104" t="str">
        <f>Commodities!$C$28</f>
        <v>ELC</v>
      </c>
      <c r="F87" s="110">
        <v>2010</v>
      </c>
      <c r="G87" s="110">
        <v>50</v>
      </c>
      <c r="H87" s="110"/>
      <c r="I87" s="110">
        <v>31.536000000000001</v>
      </c>
      <c r="J87" s="110"/>
      <c r="K87" s="110" t="s">
        <v>96</v>
      </c>
      <c r="L87" s="110" t="s">
        <v>96</v>
      </c>
      <c r="M87" s="101"/>
      <c r="N87" s="101"/>
      <c r="O87" s="121"/>
      <c r="P87" s="107" t="s">
        <v>96</v>
      </c>
      <c r="Q87" s="107" t="s">
        <v>96</v>
      </c>
      <c r="R87" s="107" t="s">
        <v>96</v>
      </c>
      <c r="S87" s="2" t="s">
        <v>96</v>
      </c>
      <c r="T87" s="107" t="s">
        <v>96</v>
      </c>
      <c r="U87" s="107" t="s">
        <v>96</v>
      </c>
      <c r="V87" s="107" t="s">
        <v>96</v>
      </c>
      <c r="W87" s="2" t="s">
        <v>96</v>
      </c>
      <c r="X87" s="107" t="s">
        <v>96</v>
      </c>
      <c r="Y87" s="107" t="s">
        <v>96</v>
      </c>
      <c r="Z87" s="107" t="s">
        <v>96</v>
      </c>
      <c r="AA87" s="2" t="s">
        <v>96</v>
      </c>
      <c r="AC87" s="148" t="s">
        <v>96</v>
      </c>
      <c r="AD87" s="110" t="s">
        <v>96</v>
      </c>
      <c r="AF87" s="101"/>
    </row>
    <row r="88" spans="1:32">
      <c r="A88" s="112" t="s">
        <v>72</v>
      </c>
      <c r="B88" s="112"/>
      <c r="C88" s="112"/>
      <c r="D88" s="112"/>
      <c r="E88" s="112" t="str">
        <f>MID(B88,4,5)</f>
        <v/>
      </c>
      <c r="F88" s="112"/>
      <c r="G88" s="112"/>
      <c r="H88" s="112"/>
      <c r="I88" s="112"/>
      <c r="J88" s="112"/>
      <c r="K88" s="112" t="s">
        <v>96</v>
      </c>
      <c r="L88" s="112" t="s">
        <v>96</v>
      </c>
      <c r="M88" s="112"/>
      <c r="N88" s="112"/>
      <c r="O88" s="125"/>
      <c r="AC88" s="149"/>
      <c r="AD88" s="112"/>
      <c r="AF88" s="112"/>
    </row>
    <row r="89" spans="1:32">
      <c r="A89" s="101" t="str">
        <f>Technologies!B87</f>
        <v>R2</v>
      </c>
      <c r="B89" s="101" t="str">
        <f>Technologies!C87</f>
        <v>XELCR1N</v>
      </c>
      <c r="C89" s="101" t="str">
        <f>Technologies!D87</f>
        <v>Electricity Imports from R1 to R2 -  New</v>
      </c>
      <c r="D89" s="104" t="str">
        <f t="shared" ref="D89:D97" si="52">MID(B89,2,5)</f>
        <v>ELCR1</v>
      </c>
      <c r="E89" s="104" t="str">
        <f>Commodities!$C$28</f>
        <v>ELC</v>
      </c>
      <c r="F89" s="110">
        <v>2010</v>
      </c>
      <c r="G89" s="110">
        <v>50</v>
      </c>
      <c r="H89" s="110">
        <f>AD89/AC89</f>
        <v>0.90909090909090906</v>
      </c>
      <c r="I89" s="110">
        <v>31.536000000000001</v>
      </c>
      <c r="J89" s="110"/>
      <c r="K89" s="111">
        <f>7.82*400</f>
        <v>3128</v>
      </c>
      <c r="L89" s="110">
        <v>1</v>
      </c>
      <c r="M89" s="101">
        <v>0</v>
      </c>
      <c r="N89" s="101">
        <v>10</v>
      </c>
      <c r="O89" s="121">
        <v>0.9</v>
      </c>
      <c r="P89" s="107">
        <f t="shared" ref="P89:P94" si="53">P28</f>
        <v>0.95</v>
      </c>
      <c r="Q89" s="107">
        <f>P89</f>
        <v>0.95</v>
      </c>
      <c r="R89" s="107">
        <f>P89</f>
        <v>0.95</v>
      </c>
      <c r="S89" s="2">
        <f t="shared" ref="S89:S94" si="54">P89</f>
        <v>0.95</v>
      </c>
      <c r="T89" s="107">
        <f>T28</f>
        <v>0.95</v>
      </c>
      <c r="U89" s="107">
        <f>T89</f>
        <v>0.95</v>
      </c>
      <c r="V89" s="107">
        <f>T89</f>
        <v>0.95</v>
      </c>
      <c r="W89" s="2">
        <f t="shared" ref="W89:W94" si="55">T89</f>
        <v>0.95</v>
      </c>
      <c r="X89" s="107">
        <f>X28</f>
        <v>0.95</v>
      </c>
      <c r="Y89" s="107">
        <f>X89</f>
        <v>0.95</v>
      </c>
      <c r="Z89" s="107">
        <f>X89</f>
        <v>0.95</v>
      </c>
      <c r="AA89" s="2">
        <f>X89</f>
        <v>0.95</v>
      </c>
      <c r="AC89" s="148">
        <v>1.1000000000000001</v>
      </c>
      <c r="AD89" s="110">
        <v>1</v>
      </c>
      <c r="AF89" s="110">
        <v>0</v>
      </c>
    </row>
    <row r="90" spans="1:32">
      <c r="A90" s="101" t="str">
        <f>Technologies!B88</f>
        <v>* Not Allowed</v>
      </c>
      <c r="B90" s="101" t="str">
        <f>Technologies!C88</f>
        <v>XELCR2N</v>
      </c>
      <c r="C90" s="101" t="str">
        <f>Technologies!D88</f>
        <v>Electricity Imports from R2 to R2 -  New</v>
      </c>
      <c r="D90" s="104" t="str">
        <f t="shared" si="52"/>
        <v>ELCR2</v>
      </c>
      <c r="E90" s="104" t="str">
        <f>Commodities!$C$28</f>
        <v>ELC</v>
      </c>
      <c r="F90" s="110">
        <v>2010</v>
      </c>
      <c r="G90" s="110">
        <v>50</v>
      </c>
      <c r="H90" s="110"/>
      <c r="I90" s="110">
        <v>31.536000000000001</v>
      </c>
      <c r="J90" s="110"/>
      <c r="K90" s="110" t="s">
        <v>96</v>
      </c>
      <c r="L90" s="110" t="s">
        <v>96</v>
      </c>
      <c r="M90" s="101"/>
      <c r="N90" s="101"/>
      <c r="O90" s="121"/>
      <c r="P90" s="107" t="str">
        <f t="shared" si="53"/>
        <v/>
      </c>
      <c r="Q90" s="107" t="str">
        <f>Q29</f>
        <v/>
      </c>
      <c r="R90" s="107" t="str">
        <f>R29</f>
        <v/>
      </c>
      <c r="S90" s="2" t="str">
        <f t="shared" si="54"/>
        <v/>
      </c>
      <c r="T90" s="107" t="str">
        <f>T29</f>
        <v/>
      </c>
      <c r="U90" s="107" t="str">
        <f>U29</f>
        <v/>
      </c>
      <c r="V90" s="107" t="str">
        <f>V29</f>
        <v/>
      </c>
      <c r="W90" s="2" t="str">
        <f t="shared" si="55"/>
        <v/>
      </c>
      <c r="X90" s="107" t="str">
        <f>X29</f>
        <v/>
      </c>
      <c r="Y90" s="107" t="str">
        <f>Y29</f>
        <v/>
      </c>
      <c r="Z90" s="107" t="str">
        <f>Z29</f>
        <v/>
      </c>
      <c r="AA90" s="2" t="s">
        <v>96</v>
      </c>
      <c r="AC90" s="148" t="s">
        <v>96</v>
      </c>
      <c r="AD90" s="110" t="s">
        <v>96</v>
      </c>
      <c r="AF90" s="101"/>
    </row>
    <row r="91" spans="1:32">
      <c r="A91" s="101" t="str">
        <f>Technologies!B89</f>
        <v>R2</v>
      </c>
      <c r="B91" s="101" t="str">
        <f>Technologies!C89</f>
        <v>XELCR3N</v>
      </c>
      <c r="C91" s="101" t="str">
        <f>Technologies!D89</f>
        <v>Electricity Imports from R3 to R2 -  New</v>
      </c>
      <c r="D91" s="104" t="str">
        <f t="shared" si="52"/>
        <v>ELCR3</v>
      </c>
      <c r="E91" s="104" t="str">
        <f>Commodities!$C$28</f>
        <v>ELC</v>
      </c>
      <c r="F91" s="110">
        <v>2010</v>
      </c>
      <c r="G91" s="110">
        <v>50</v>
      </c>
      <c r="H91" s="110">
        <f>AD91/AC91</f>
        <v>0.95238095238095233</v>
      </c>
      <c r="I91" s="110">
        <v>31.536000000000001</v>
      </c>
      <c r="J91" s="110"/>
      <c r="K91" s="111">
        <v>500</v>
      </c>
      <c r="L91" s="110">
        <v>1</v>
      </c>
      <c r="M91" s="101">
        <v>1</v>
      </c>
      <c r="N91" s="101">
        <v>10</v>
      </c>
      <c r="O91" s="121"/>
      <c r="P91" s="107">
        <f t="shared" si="53"/>
        <v>0.95</v>
      </c>
      <c r="Q91" s="107">
        <f>P91</f>
        <v>0.95</v>
      </c>
      <c r="R91" s="107">
        <f>P91</f>
        <v>0.95</v>
      </c>
      <c r="S91" s="2">
        <f t="shared" si="54"/>
        <v>0.95</v>
      </c>
      <c r="T91" s="107">
        <f>T30</f>
        <v>0.95</v>
      </c>
      <c r="U91" s="107">
        <f>T91</f>
        <v>0.95</v>
      </c>
      <c r="V91" s="107">
        <f>T91</f>
        <v>0.95</v>
      </c>
      <c r="W91" s="2">
        <f t="shared" si="55"/>
        <v>0.95</v>
      </c>
      <c r="X91" s="107">
        <f>X30</f>
        <v>0.95</v>
      </c>
      <c r="Y91" s="107">
        <f>X91</f>
        <v>0.95</v>
      </c>
      <c r="Z91" s="107">
        <f>X91</f>
        <v>0.95</v>
      </c>
      <c r="AA91" s="2">
        <f t="shared" ref="AA91:AA93" si="56">X91</f>
        <v>0.95</v>
      </c>
      <c r="AC91" s="148">
        <v>1.05</v>
      </c>
      <c r="AD91" s="110">
        <v>1</v>
      </c>
      <c r="AF91" s="110">
        <v>0</v>
      </c>
    </row>
    <row r="92" spans="1:32">
      <c r="A92" s="101" t="str">
        <f>Technologies!B90</f>
        <v>R2</v>
      </c>
      <c r="B92" s="101" t="str">
        <f>Technologies!C90</f>
        <v>XELCR4N</v>
      </c>
      <c r="C92" s="101" t="str">
        <f>Technologies!D90</f>
        <v>Electricity Imports from R4 to R2 -  New</v>
      </c>
      <c r="D92" s="104" t="str">
        <f t="shared" si="52"/>
        <v>ELCR4</v>
      </c>
      <c r="E92" s="104" t="str">
        <f>Commodities!$C$28</f>
        <v>ELC</v>
      </c>
      <c r="F92" s="110">
        <v>2010</v>
      </c>
      <c r="G92" s="110">
        <v>50</v>
      </c>
      <c r="H92" s="110">
        <f>AD92/AC92</f>
        <v>0.95238095238095233</v>
      </c>
      <c r="I92" s="110">
        <v>31.536000000000001</v>
      </c>
      <c r="J92" s="110"/>
      <c r="K92" s="111">
        <v>500</v>
      </c>
      <c r="L92" s="110">
        <v>1</v>
      </c>
      <c r="M92" s="101">
        <v>1</v>
      </c>
      <c r="N92" s="101">
        <v>10</v>
      </c>
      <c r="O92" s="121"/>
      <c r="P92" s="107">
        <f t="shared" si="53"/>
        <v>0.95</v>
      </c>
      <c r="Q92" s="107">
        <f>P92</f>
        <v>0.95</v>
      </c>
      <c r="R92" s="107">
        <f>P92</f>
        <v>0.95</v>
      </c>
      <c r="S92" s="2">
        <f t="shared" si="54"/>
        <v>0.95</v>
      </c>
      <c r="T92" s="107">
        <f>T31</f>
        <v>0.95</v>
      </c>
      <c r="U92" s="107">
        <f>T92</f>
        <v>0.95</v>
      </c>
      <c r="V92" s="107">
        <f>T92</f>
        <v>0.95</v>
      </c>
      <c r="W92" s="2">
        <f t="shared" si="55"/>
        <v>0.95</v>
      </c>
      <c r="X92" s="107">
        <f>X31</f>
        <v>0.95</v>
      </c>
      <c r="Y92" s="107">
        <f>X92</f>
        <v>0.95</v>
      </c>
      <c r="Z92" s="107">
        <f>X92</f>
        <v>0.95</v>
      </c>
      <c r="AA92" s="2">
        <f t="shared" si="56"/>
        <v>0.95</v>
      </c>
      <c r="AC92" s="148">
        <v>1.05</v>
      </c>
      <c r="AD92" s="110">
        <v>1</v>
      </c>
      <c r="AF92" s="110">
        <v>0</v>
      </c>
    </row>
    <row r="93" spans="1:32">
      <c r="A93" s="101" t="str">
        <f>Technologies!B91</f>
        <v>R2</v>
      </c>
      <c r="B93" s="101" t="str">
        <f>Technologies!C91</f>
        <v>XELCR5N</v>
      </c>
      <c r="C93" s="101" t="str">
        <f>Technologies!D91</f>
        <v>Electricity Imports from R5 to R2 -  New</v>
      </c>
      <c r="D93" s="104" t="str">
        <f t="shared" si="52"/>
        <v>ELCR5</v>
      </c>
      <c r="E93" s="104" t="str">
        <f>Commodities!$C$28</f>
        <v>ELC</v>
      </c>
      <c r="F93" s="110">
        <v>2010</v>
      </c>
      <c r="G93" s="110">
        <v>50</v>
      </c>
      <c r="H93" s="110">
        <f>AD93/AC93</f>
        <v>0.95238095238095233</v>
      </c>
      <c r="I93" s="110">
        <v>31.536000000000001</v>
      </c>
      <c r="J93" s="110"/>
      <c r="K93" s="111">
        <v>1000</v>
      </c>
      <c r="L93" s="110">
        <v>1</v>
      </c>
      <c r="M93" s="101">
        <v>1</v>
      </c>
      <c r="N93" s="101">
        <v>10</v>
      </c>
      <c r="O93" s="121"/>
      <c r="P93" s="107">
        <f t="shared" si="53"/>
        <v>0.95</v>
      </c>
      <c r="Q93" s="107">
        <f>Q32</f>
        <v>0.95</v>
      </c>
      <c r="R93" s="107">
        <f>R32</f>
        <v>0.95</v>
      </c>
      <c r="S93" s="2">
        <f t="shared" si="54"/>
        <v>0.95</v>
      </c>
      <c r="T93" s="107"/>
      <c r="U93" s="107"/>
      <c r="V93" s="107"/>
      <c r="X93" s="107"/>
      <c r="Y93" s="107"/>
      <c r="Z93" s="107"/>
      <c r="AA93" s="2">
        <f t="shared" si="56"/>
        <v>0</v>
      </c>
      <c r="AC93" s="148">
        <v>1.05</v>
      </c>
      <c r="AD93" s="110">
        <v>1</v>
      </c>
      <c r="AF93" s="110">
        <v>0</v>
      </c>
    </row>
    <row r="94" spans="1:32">
      <c r="A94" s="101" t="str">
        <f>Technologies!B92</f>
        <v>* Not Allowed</v>
      </c>
      <c r="B94" s="101" t="str">
        <f>Technologies!C92</f>
        <v>XELCR6N</v>
      </c>
      <c r="C94" s="101" t="str">
        <f>Technologies!D92</f>
        <v>Electricity Imports from R6 to R2 -  New</v>
      </c>
      <c r="D94" s="104" t="str">
        <f t="shared" si="52"/>
        <v>ELCR6</v>
      </c>
      <c r="E94" s="104" t="str">
        <f>Commodities!$C$28</f>
        <v>ELC</v>
      </c>
      <c r="F94" s="110">
        <v>2010</v>
      </c>
      <c r="G94" s="110">
        <v>50</v>
      </c>
      <c r="H94" s="110"/>
      <c r="I94" s="110">
        <v>31.536000000000001</v>
      </c>
      <c r="J94" s="110"/>
      <c r="K94" s="110" t="s">
        <v>96</v>
      </c>
      <c r="L94" s="110" t="s">
        <v>96</v>
      </c>
      <c r="M94" s="101"/>
      <c r="N94" s="101"/>
      <c r="O94" s="121"/>
      <c r="P94" s="107" t="str">
        <f t="shared" si="53"/>
        <v/>
      </c>
      <c r="Q94" s="107" t="str">
        <f>Q33</f>
        <v/>
      </c>
      <c r="R94" s="107" t="str">
        <f>R33</f>
        <v/>
      </c>
      <c r="S94" s="2" t="str">
        <f t="shared" si="54"/>
        <v/>
      </c>
      <c r="T94" s="107" t="str">
        <f>T33</f>
        <v/>
      </c>
      <c r="U94" s="107" t="str">
        <f>U33</f>
        <v/>
      </c>
      <c r="V94" s="107" t="str">
        <f>V33</f>
        <v/>
      </c>
      <c r="W94" s="2" t="str">
        <f t="shared" si="55"/>
        <v/>
      </c>
      <c r="X94" s="107" t="str">
        <f>X33</f>
        <v/>
      </c>
      <c r="Y94" s="107" t="str">
        <f>Y33</f>
        <v/>
      </c>
      <c r="Z94" s="107" t="str">
        <f>Z33</f>
        <v/>
      </c>
      <c r="AA94" s="2" t="s">
        <v>96</v>
      </c>
      <c r="AC94" s="148" t="s">
        <v>96</v>
      </c>
      <c r="AD94" s="110" t="s">
        <v>96</v>
      </c>
      <c r="AF94" s="101"/>
    </row>
    <row r="95" spans="1:32">
      <c r="A95" s="101" t="str">
        <f>Technologies!B93</f>
        <v>* Not Allowed</v>
      </c>
      <c r="B95" s="101" t="str">
        <f>Technologies!C93</f>
        <v>XELCR7N</v>
      </c>
      <c r="C95" s="101" t="str">
        <f>Technologies!D93</f>
        <v>Electricity Imports from R7 to R2 -  New</v>
      </c>
      <c r="D95" s="104" t="str">
        <f t="shared" si="52"/>
        <v>ELCR7</v>
      </c>
      <c r="E95" s="104" t="str">
        <f>Commodities!$C$28</f>
        <v>ELC</v>
      </c>
      <c r="F95" s="110">
        <v>2010</v>
      </c>
      <c r="G95" s="110">
        <v>50</v>
      </c>
      <c r="H95" s="110"/>
      <c r="I95" s="110">
        <v>31.536000000000001</v>
      </c>
      <c r="J95" s="110"/>
      <c r="K95" s="110" t="s">
        <v>96</v>
      </c>
      <c r="L95" s="110" t="s">
        <v>96</v>
      </c>
      <c r="M95" s="101"/>
      <c r="N95" s="101"/>
      <c r="O95" s="121"/>
      <c r="P95" s="107" t="s">
        <v>96</v>
      </c>
      <c r="Q95" s="107" t="s">
        <v>96</v>
      </c>
      <c r="R95" s="107" t="s">
        <v>96</v>
      </c>
      <c r="S95" s="2" t="s">
        <v>96</v>
      </c>
      <c r="T95" s="107" t="s">
        <v>96</v>
      </c>
      <c r="U95" s="107" t="s">
        <v>96</v>
      </c>
      <c r="V95" s="107" t="s">
        <v>96</v>
      </c>
      <c r="W95" s="2" t="s">
        <v>96</v>
      </c>
      <c r="X95" s="107" t="s">
        <v>96</v>
      </c>
      <c r="Y95" s="107" t="s">
        <v>96</v>
      </c>
      <c r="Z95" s="107" t="s">
        <v>96</v>
      </c>
      <c r="AA95" s="2" t="s">
        <v>96</v>
      </c>
      <c r="AC95" s="148" t="s">
        <v>96</v>
      </c>
      <c r="AD95" s="110" t="s">
        <v>96</v>
      </c>
      <c r="AF95" s="101"/>
    </row>
    <row r="96" spans="1:32">
      <c r="A96" s="101" t="str">
        <f>Technologies!B94</f>
        <v>* Not Allowed</v>
      </c>
      <c r="B96" s="101" t="str">
        <f>Technologies!C94</f>
        <v>XELCR8N</v>
      </c>
      <c r="C96" s="101" t="str">
        <f>Technologies!D94</f>
        <v>Electricity Imports from R8 to R2 -  New</v>
      </c>
      <c r="D96" s="104" t="str">
        <f t="shared" si="52"/>
        <v>ELCR8</v>
      </c>
      <c r="E96" s="104" t="str">
        <f>Commodities!$C$28</f>
        <v>ELC</v>
      </c>
      <c r="F96" s="110">
        <v>2010</v>
      </c>
      <c r="G96" s="110">
        <v>50</v>
      </c>
      <c r="H96" s="110"/>
      <c r="I96" s="110">
        <v>31.536000000000001</v>
      </c>
      <c r="J96" s="110"/>
      <c r="K96" s="110" t="s">
        <v>96</v>
      </c>
      <c r="L96" s="110" t="s">
        <v>96</v>
      </c>
      <c r="M96" s="101"/>
      <c r="N96" s="101"/>
      <c r="O96" s="121"/>
      <c r="P96" s="107" t="s">
        <v>96</v>
      </c>
      <c r="Q96" s="107" t="s">
        <v>96</v>
      </c>
      <c r="R96" s="107" t="s">
        <v>96</v>
      </c>
      <c r="S96" s="2" t="s">
        <v>96</v>
      </c>
      <c r="T96" s="107" t="s">
        <v>96</v>
      </c>
      <c r="U96" s="107" t="s">
        <v>96</v>
      </c>
      <c r="V96" s="107" t="s">
        <v>96</v>
      </c>
      <c r="W96" s="2" t="s">
        <v>96</v>
      </c>
      <c r="X96" s="107" t="s">
        <v>96</v>
      </c>
      <c r="Y96" s="107" t="s">
        <v>96</v>
      </c>
      <c r="Z96" s="107" t="s">
        <v>96</v>
      </c>
      <c r="AA96" s="2" t="s">
        <v>96</v>
      </c>
      <c r="AC96" s="148" t="s">
        <v>96</v>
      </c>
      <c r="AD96" s="110" t="s">
        <v>96</v>
      </c>
      <c r="AF96" s="101"/>
    </row>
    <row r="97" spans="1:32">
      <c r="A97" s="101" t="str">
        <f>Technologies!B95</f>
        <v>* Not Allowed</v>
      </c>
      <c r="B97" s="101" t="str">
        <f>Technologies!C95</f>
        <v>XELCR9N</v>
      </c>
      <c r="C97" s="101" t="str">
        <f>Technologies!D95</f>
        <v>Electricity Imports from R9 to R2 -  New</v>
      </c>
      <c r="D97" s="104" t="str">
        <f t="shared" si="52"/>
        <v>ELCR9</v>
      </c>
      <c r="E97" s="104" t="str">
        <f>Commodities!$C$28</f>
        <v>ELC</v>
      </c>
      <c r="F97" s="110">
        <v>2010</v>
      </c>
      <c r="G97" s="110">
        <v>50</v>
      </c>
      <c r="H97" s="110"/>
      <c r="I97" s="110">
        <v>31.536000000000001</v>
      </c>
      <c r="J97" s="110"/>
      <c r="K97" s="110" t="s">
        <v>96</v>
      </c>
      <c r="L97" s="110" t="s">
        <v>96</v>
      </c>
      <c r="M97" s="101"/>
      <c r="N97" s="101"/>
      <c r="O97" s="121"/>
      <c r="P97" s="107" t="s">
        <v>96</v>
      </c>
      <c r="Q97" s="107" t="s">
        <v>96</v>
      </c>
      <c r="R97" s="107" t="s">
        <v>96</v>
      </c>
      <c r="S97" s="2" t="s">
        <v>96</v>
      </c>
      <c r="T97" s="107" t="s">
        <v>96</v>
      </c>
      <c r="U97" s="107" t="s">
        <v>96</v>
      </c>
      <c r="V97" s="107" t="s">
        <v>96</v>
      </c>
      <c r="W97" s="2" t="s">
        <v>96</v>
      </c>
      <c r="X97" s="107" t="s">
        <v>96</v>
      </c>
      <c r="Y97" s="107" t="s">
        <v>96</v>
      </c>
      <c r="Z97" s="107" t="s">
        <v>96</v>
      </c>
      <c r="AA97" s="2" t="s">
        <v>96</v>
      </c>
      <c r="AC97" s="148" t="s">
        <v>96</v>
      </c>
      <c r="AD97" s="110" t="s">
        <v>96</v>
      </c>
      <c r="AF97" s="101"/>
    </row>
    <row r="98" spans="1:32">
      <c r="A98" s="112" t="s">
        <v>73</v>
      </c>
      <c r="B98" s="112"/>
      <c r="C98" s="112"/>
      <c r="D98" s="112"/>
      <c r="E98" s="112" t="str">
        <f>MID(B98,4,5)</f>
        <v/>
      </c>
      <c r="F98" s="112"/>
      <c r="G98" s="112"/>
      <c r="H98" s="112"/>
      <c r="I98" s="112"/>
      <c r="J98" s="112"/>
      <c r="K98" s="112" t="s">
        <v>96</v>
      </c>
      <c r="L98" s="112" t="s">
        <v>96</v>
      </c>
      <c r="M98" s="112"/>
      <c r="N98" s="112"/>
      <c r="O98" s="125"/>
      <c r="AC98" s="149"/>
      <c r="AD98" s="112"/>
      <c r="AF98" s="112"/>
    </row>
    <row r="99" spans="1:32">
      <c r="A99" s="101" t="str">
        <f>Technologies!B97</f>
        <v>R3</v>
      </c>
      <c r="B99" s="101" t="str">
        <f>Technologies!C97</f>
        <v>XELCR1N</v>
      </c>
      <c r="C99" s="101" t="str">
        <f>Technologies!D97</f>
        <v>Electricity Imports from R1 to R3 -  New</v>
      </c>
      <c r="D99" s="104" t="str">
        <f t="shared" ref="D99:D107" si="57">MID(B99,2,5)</f>
        <v>ELCR1</v>
      </c>
      <c r="E99" s="104" t="str">
        <f>Commodities!$C$28</f>
        <v>ELC</v>
      </c>
      <c r="F99" s="110">
        <v>2010</v>
      </c>
      <c r="G99" s="110">
        <v>50</v>
      </c>
      <c r="H99" s="110">
        <f>AD99/AC99</f>
        <v>0.90909090909090906</v>
      </c>
      <c r="I99" s="110">
        <v>31.536000000000001</v>
      </c>
      <c r="J99" s="110"/>
      <c r="K99" s="150">
        <f>K89</f>
        <v>3128</v>
      </c>
      <c r="L99" s="110">
        <v>1</v>
      </c>
      <c r="M99" s="101">
        <v>0</v>
      </c>
      <c r="N99" s="101">
        <v>10</v>
      </c>
      <c r="O99" s="121">
        <v>0.9</v>
      </c>
      <c r="P99" s="107">
        <f>P38</f>
        <v>0.95</v>
      </c>
      <c r="Q99" s="107">
        <f>Q38</f>
        <v>0.95</v>
      </c>
      <c r="R99" s="107">
        <f>R38</f>
        <v>0.95</v>
      </c>
      <c r="S99" s="2">
        <f t="shared" ref="S99:S103" si="58">P99</f>
        <v>0.95</v>
      </c>
      <c r="T99" s="107">
        <f>T38</f>
        <v>0.95</v>
      </c>
      <c r="U99" s="107">
        <f>U38</f>
        <v>0.95</v>
      </c>
      <c r="V99" s="107">
        <f>V38</f>
        <v>0.95</v>
      </c>
      <c r="W99" s="2">
        <f t="shared" ref="W99:W103" si="59">T99</f>
        <v>0.95</v>
      </c>
      <c r="X99" s="107">
        <f>X38</f>
        <v>0.95</v>
      </c>
      <c r="Y99" s="107">
        <f>Y38</f>
        <v>0.95</v>
      </c>
      <c r="Z99" s="107">
        <f>Z38</f>
        <v>0.95</v>
      </c>
      <c r="AA99" s="2">
        <f t="shared" ref="AA99:AA100" si="60">X99</f>
        <v>0.95</v>
      </c>
      <c r="AC99" s="148">
        <v>1.1000000000000001</v>
      </c>
      <c r="AD99" s="110">
        <v>1</v>
      </c>
      <c r="AF99" s="110">
        <v>0</v>
      </c>
    </row>
    <row r="100" spans="1:32">
      <c r="A100" s="101" t="str">
        <f>Technologies!B98</f>
        <v>R3</v>
      </c>
      <c r="B100" s="101" t="str">
        <f>Technologies!C98</f>
        <v>XELCR2N</v>
      </c>
      <c r="C100" s="101" t="str">
        <f>Technologies!D98</f>
        <v>Electricity Imports from R2 to R3 -  New</v>
      </c>
      <c r="D100" s="104" t="str">
        <f t="shared" si="57"/>
        <v>ELCR2</v>
      </c>
      <c r="E100" s="104" t="str">
        <f>Commodities!$C$28</f>
        <v>ELC</v>
      </c>
      <c r="F100" s="110">
        <v>2010</v>
      </c>
      <c r="G100" s="110">
        <v>50</v>
      </c>
      <c r="H100" s="110">
        <f>AD100/AC100</f>
        <v>0.95238095238095233</v>
      </c>
      <c r="I100" s="110">
        <v>31.536000000000001</v>
      </c>
      <c r="J100" s="110"/>
      <c r="K100" s="111">
        <v>500</v>
      </c>
      <c r="L100" s="110">
        <v>1</v>
      </c>
      <c r="M100" s="101">
        <v>1</v>
      </c>
      <c r="N100" s="101">
        <v>10</v>
      </c>
      <c r="O100" s="121"/>
      <c r="P100" s="107">
        <f>P39</f>
        <v>0.95</v>
      </c>
      <c r="Q100" s="107">
        <f>P100</f>
        <v>0.95</v>
      </c>
      <c r="R100" s="107">
        <f>P100</f>
        <v>0.95</v>
      </c>
      <c r="S100" s="2">
        <f t="shared" si="58"/>
        <v>0.95</v>
      </c>
      <c r="T100" s="107">
        <f>T39</f>
        <v>0.95</v>
      </c>
      <c r="U100" s="107">
        <f>T100</f>
        <v>0.95</v>
      </c>
      <c r="V100" s="107">
        <f>T100</f>
        <v>0.95</v>
      </c>
      <c r="W100" s="2">
        <f t="shared" si="59"/>
        <v>0.95</v>
      </c>
      <c r="X100" s="107">
        <f>X39</f>
        <v>0.95</v>
      </c>
      <c r="Y100" s="107">
        <f>X100</f>
        <v>0.95</v>
      </c>
      <c r="Z100" s="107">
        <f>X100</f>
        <v>0.95</v>
      </c>
      <c r="AA100" s="2">
        <f t="shared" si="60"/>
        <v>0.95</v>
      </c>
      <c r="AC100" s="148">
        <v>1.05</v>
      </c>
      <c r="AD100" s="110">
        <v>1</v>
      </c>
      <c r="AF100" s="110">
        <v>0</v>
      </c>
    </row>
    <row r="101" spans="1:32">
      <c r="A101" s="101" t="str">
        <f>Technologies!B99</f>
        <v>* Not Allowed</v>
      </c>
      <c r="B101" s="101" t="str">
        <f>Technologies!C99</f>
        <v>XELCR3N</v>
      </c>
      <c r="C101" s="101" t="str">
        <f>Technologies!D99</f>
        <v>Electricity Imports from R3 to R3 -  New</v>
      </c>
      <c r="D101" s="104" t="str">
        <f t="shared" si="57"/>
        <v>ELCR3</v>
      </c>
      <c r="E101" s="104" t="str">
        <f>Commodities!$C$28</f>
        <v>ELC</v>
      </c>
      <c r="F101" s="110">
        <v>2010</v>
      </c>
      <c r="G101" s="110">
        <v>50</v>
      </c>
      <c r="H101" s="110"/>
      <c r="I101" s="110">
        <v>31.536000000000001</v>
      </c>
      <c r="J101" s="110"/>
      <c r="K101" s="110" t="s">
        <v>96</v>
      </c>
      <c r="L101" s="110" t="s">
        <v>96</v>
      </c>
      <c r="M101" s="101"/>
      <c r="N101" s="101"/>
      <c r="O101" s="121"/>
      <c r="P101" s="107" t="str">
        <f>P40</f>
        <v/>
      </c>
      <c r="Q101" s="107" t="str">
        <f>Q40</f>
        <v/>
      </c>
      <c r="R101" s="107" t="str">
        <f>R40</f>
        <v/>
      </c>
      <c r="S101" s="2" t="str">
        <f t="shared" si="58"/>
        <v/>
      </c>
      <c r="T101" s="107" t="str">
        <f>T40</f>
        <v/>
      </c>
      <c r="U101" s="107" t="str">
        <f>U40</f>
        <v/>
      </c>
      <c r="V101" s="107" t="str">
        <f>V40</f>
        <v/>
      </c>
      <c r="W101" s="2" t="str">
        <f t="shared" si="59"/>
        <v/>
      </c>
      <c r="X101" s="107" t="str">
        <f>X40</f>
        <v/>
      </c>
      <c r="Y101" s="107" t="str">
        <f>Y40</f>
        <v/>
      </c>
      <c r="Z101" s="107" t="str">
        <f>Z40</f>
        <v/>
      </c>
      <c r="AA101" s="2" t="s">
        <v>96</v>
      </c>
      <c r="AC101" s="148" t="s">
        <v>96</v>
      </c>
      <c r="AD101" s="110" t="s">
        <v>96</v>
      </c>
      <c r="AF101" s="101"/>
    </row>
    <row r="102" spans="1:32">
      <c r="A102" s="101" t="str">
        <f>Technologies!B100</f>
        <v>R3</v>
      </c>
      <c r="B102" s="101" t="str">
        <f>Technologies!C100</f>
        <v>XELCR4N</v>
      </c>
      <c r="C102" s="101" t="str">
        <f>Technologies!D100</f>
        <v>Electricity Imports from R4 to R3 -  New</v>
      </c>
      <c r="D102" s="104" t="str">
        <f t="shared" si="57"/>
        <v>ELCR4</v>
      </c>
      <c r="E102" s="104" t="str">
        <f>Commodities!$C$28</f>
        <v>ELC</v>
      </c>
      <c r="F102" s="110">
        <v>2010</v>
      </c>
      <c r="G102" s="110">
        <v>50</v>
      </c>
      <c r="H102" s="110">
        <f>AD102/AC102</f>
        <v>0.95238095238095233</v>
      </c>
      <c r="I102" s="110">
        <v>31.536000000000001</v>
      </c>
      <c r="J102" s="110"/>
      <c r="K102" s="111">
        <v>500</v>
      </c>
      <c r="L102" s="110">
        <v>1</v>
      </c>
      <c r="M102" s="101">
        <v>1</v>
      </c>
      <c r="N102" s="101">
        <v>10</v>
      </c>
      <c r="O102" s="121"/>
      <c r="P102" s="107">
        <f>P41</f>
        <v>0.95</v>
      </c>
      <c r="Q102" s="107">
        <f>P102</f>
        <v>0.95</v>
      </c>
      <c r="R102" s="107">
        <f>P102</f>
        <v>0.95</v>
      </c>
      <c r="S102" s="2">
        <f t="shared" si="58"/>
        <v>0.95</v>
      </c>
      <c r="T102" s="107">
        <f>T41</f>
        <v>0.95</v>
      </c>
      <c r="U102" s="107">
        <f>T102</f>
        <v>0.95</v>
      </c>
      <c r="V102" s="107">
        <f>T102</f>
        <v>0.95</v>
      </c>
      <c r="W102" s="2">
        <f t="shared" si="59"/>
        <v>0.95</v>
      </c>
      <c r="X102" s="107">
        <f>X41</f>
        <v>0.95</v>
      </c>
      <c r="Y102" s="107">
        <f>X102</f>
        <v>0.95</v>
      </c>
      <c r="Z102" s="107">
        <f>X102</f>
        <v>0.95</v>
      </c>
      <c r="AA102" s="2">
        <f>X102</f>
        <v>0.95</v>
      </c>
      <c r="AC102" s="148">
        <v>1.05</v>
      </c>
      <c r="AD102" s="110">
        <v>1</v>
      </c>
      <c r="AF102" s="110">
        <v>0</v>
      </c>
    </row>
    <row r="103" spans="1:32">
      <c r="A103" s="101" t="str">
        <f>Technologies!B101</f>
        <v>R3</v>
      </c>
      <c r="B103" s="101" t="str">
        <f>Technologies!C101</f>
        <v>XELCR5N</v>
      </c>
      <c r="C103" s="101" t="str">
        <f>Technologies!D101</f>
        <v>Electricity Imports from R5 to R3 -  New</v>
      </c>
      <c r="D103" s="104" t="str">
        <f t="shared" si="57"/>
        <v>ELCR5</v>
      </c>
      <c r="E103" s="104" t="str">
        <f>Commodities!$C$28</f>
        <v>ELC</v>
      </c>
      <c r="F103" s="110">
        <v>2010</v>
      </c>
      <c r="G103" s="110">
        <v>50</v>
      </c>
      <c r="H103" s="110">
        <f>AD103/AC103</f>
        <v>0.95238095238095233</v>
      </c>
      <c r="I103" s="110">
        <v>31.536000000000001</v>
      </c>
      <c r="J103" s="110"/>
      <c r="K103" s="111">
        <v>500</v>
      </c>
      <c r="L103" s="110">
        <v>1</v>
      </c>
      <c r="M103" s="101">
        <v>1</v>
      </c>
      <c r="N103" s="101">
        <v>10</v>
      </c>
      <c r="O103" s="121"/>
      <c r="P103" s="107">
        <f>P42</f>
        <v>0.95</v>
      </c>
      <c r="Q103" s="107">
        <f>P103</f>
        <v>0.95</v>
      </c>
      <c r="R103" s="107">
        <f>P103</f>
        <v>0.95</v>
      </c>
      <c r="S103" s="2">
        <f t="shared" si="58"/>
        <v>0.95</v>
      </c>
      <c r="T103" s="107">
        <f>T42</f>
        <v>0.95</v>
      </c>
      <c r="U103" s="107">
        <f>T103</f>
        <v>0.95</v>
      </c>
      <c r="V103" s="107">
        <f>T103</f>
        <v>0.95</v>
      </c>
      <c r="W103" s="2">
        <f t="shared" si="59"/>
        <v>0.95</v>
      </c>
      <c r="X103" s="107">
        <f>X42</f>
        <v>0.95</v>
      </c>
      <c r="Y103" s="107">
        <f>X103</f>
        <v>0.95</v>
      </c>
      <c r="Z103" s="107">
        <f>X103</f>
        <v>0.95</v>
      </c>
      <c r="AA103" s="2">
        <f>X103</f>
        <v>0.95</v>
      </c>
      <c r="AC103" s="148">
        <v>1.05</v>
      </c>
      <c r="AD103" s="110">
        <v>1</v>
      </c>
      <c r="AF103" s="110">
        <v>0</v>
      </c>
    </row>
    <row r="104" spans="1:32">
      <c r="A104" s="101" t="str">
        <f>Technologies!B102</f>
        <v>* Not Allowed</v>
      </c>
      <c r="B104" s="101" t="str">
        <f>Technologies!C102</f>
        <v>XELCR6N</v>
      </c>
      <c r="C104" s="101" t="str">
        <f>Technologies!D102</f>
        <v>Electricity Imports from R6 to R3 -  New</v>
      </c>
      <c r="D104" s="104" t="str">
        <f t="shared" si="57"/>
        <v>ELCR6</v>
      </c>
      <c r="E104" s="104" t="str">
        <f>Commodities!$C$28</f>
        <v>ELC</v>
      </c>
      <c r="F104" s="110">
        <v>2010</v>
      </c>
      <c r="G104" s="110">
        <v>50</v>
      </c>
      <c r="H104" s="110"/>
      <c r="I104" s="110">
        <v>31.536000000000001</v>
      </c>
      <c r="J104" s="110"/>
      <c r="K104" s="110" t="s">
        <v>96</v>
      </c>
      <c r="L104" s="110" t="s">
        <v>96</v>
      </c>
      <c r="M104" s="101"/>
      <c r="N104" s="101"/>
      <c r="O104" s="121"/>
      <c r="P104" s="107" t="s">
        <v>96</v>
      </c>
      <c r="Q104" s="107" t="s">
        <v>96</v>
      </c>
      <c r="R104" s="107" t="s">
        <v>96</v>
      </c>
      <c r="S104" s="2" t="s">
        <v>96</v>
      </c>
      <c r="T104" s="107" t="s">
        <v>96</v>
      </c>
      <c r="U104" s="107" t="s">
        <v>96</v>
      </c>
      <c r="V104" s="107" t="s">
        <v>96</v>
      </c>
      <c r="W104" s="2" t="s">
        <v>96</v>
      </c>
      <c r="X104" s="107" t="s">
        <v>96</v>
      </c>
      <c r="Y104" s="107" t="s">
        <v>96</v>
      </c>
      <c r="Z104" s="107" t="s">
        <v>96</v>
      </c>
      <c r="AA104" s="2" t="s">
        <v>96</v>
      </c>
      <c r="AC104" s="148" t="s">
        <v>96</v>
      </c>
      <c r="AD104" s="110" t="s">
        <v>96</v>
      </c>
      <c r="AF104" s="101"/>
    </row>
    <row r="105" spans="1:32">
      <c r="A105" s="101" t="str">
        <f>Technologies!B103</f>
        <v>* Not Allowed</v>
      </c>
      <c r="B105" s="101" t="str">
        <f>Technologies!C103</f>
        <v>XELCR7N</v>
      </c>
      <c r="C105" s="101" t="str">
        <f>Technologies!D103</f>
        <v>Electricity Imports from R7 to R3 -  New</v>
      </c>
      <c r="D105" s="104" t="str">
        <f t="shared" si="57"/>
        <v>ELCR7</v>
      </c>
      <c r="E105" s="104" t="str">
        <f>Commodities!$C$28</f>
        <v>ELC</v>
      </c>
      <c r="F105" s="110">
        <v>2010</v>
      </c>
      <c r="G105" s="110">
        <v>50</v>
      </c>
      <c r="H105" s="110"/>
      <c r="I105" s="110">
        <v>31.536000000000001</v>
      </c>
      <c r="J105" s="110"/>
      <c r="K105" s="110" t="s">
        <v>96</v>
      </c>
      <c r="L105" s="110" t="s">
        <v>96</v>
      </c>
      <c r="M105" s="101"/>
      <c r="N105" s="101"/>
      <c r="O105" s="121"/>
      <c r="P105" s="107" t="s">
        <v>96</v>
      </c>
      <c r="Q105" s="107" t="s">
        <v>96</v>
      </c>
      <c r="R105" s="107" t="s">
        <v>96</v>
      </c>
      <c r="S105" s="2" t="s">
        <v>96</v>
      </c>
      <c r="T105" s="107" t="s">
        <v>96</v>
      </c>
      <c r="U105" s="107" t="s">
        <v>96</v>
      </c>
      <c r="V105" s="107" t="s">
        <v>96</v>
      </c>
      <c r="W105" s="2" t="s">
        <v>96</v>
      </c>
      <c r="X105" s="107" t="s">
        <v>96</v>
      </c>
      <c r="Y105" s="107" t="s">
        <v>96</v>
      </c>
      <c r="Z105" s="107" t="s">
        <v>96</v>
      </c>
      <c r="AA105" s="2" t="s">
        <v>96</v>
      </c>
      <c r="AC105" s="148" t="s">
        <v>96</v>
      </c>
      <c r="AD105" s="110" t="s">
        <v>96</v>
      </c>
      <c r="AF105" s="101"/>
    </row>
    <row r="106" spans="1:32">
      <c r="A106" s="101" t="str">
        <f>Technologies!B104</f>
        <v>* Not Allowed</v>
      </c>
      <c r="B106" s="101" t="str">
        <f>Technologies!C104</f>
        <v>XELCR8N</v>
      </c>
      <c r="C106" s="101" t="str">
        <f>Technologies!D104</f>
        <v>Electricity Imports from R8 to R3 -  New</v>
      </c>
      <c r="D106" s="104" t="str">
        <f t="shared" si="57"/>
        <v>ELCR8</v>
      </c>
      <c r="E106" s="104" t="str">
        <f>Commodities!$C$28</f>
        <v>ELC</v>
      </c>
      <c r="F106" s="110">
        <v>2010</v>
      </c>
      <c r="G106" s="110">
        <v>50</v>
      </c>
      <c r="H106" s="110"/>
      <c r="I106" s="110">
        <v>31.536000000000001</v>
      </c>
      <c r="J106" s="110"/>
      <c r="K106" s="110" t="s">
        <v>96</v>
      </c>
      <c r="L106" s="110" t="s">
        <v>96</v>
      </c>
      <c r="M106" s="101"/>
      <c r="N106" s="101"/>
      <c r="O106" s="121"/>
      <c r="P106" s="107" t="s">
        <v>96</v>
      </c>
      <c r="Q106" s="107" t="s">
        <v>96</v>
      </c>
      <c r="R106" s="107" t="s">
        <v>96</v>
      </c>
      <c r="S106" s="2" t="s">
        <v>96</v>
      </c>
      <c r="T106" s="107" t="s">
        <v>96</v>
      </c>
      <c r="U106" s="107" t="s">
        <v>96</v>
      </c>
      <c r="V106" s="107" t="s">
        <v>96</v>
      </c>
      <c r="W106" s="2" t="s">
        <v>96</v>
      </c>
      <c r="X106" s="107" t="s">
        <v>96</v>
      </c>
      <c r="Y106" s="107" t="s">
        <v>96</v>
      </c>
      <c r="Z106" s="107" t="s">
        <v>96</v>
      </c>
      <c r="AA106" s="2" t="s">
        <v>96</v>
      </c>
      <c r="AC106" s="148" t="s">
        <v>96</v>
      </c>
      <c r="AD106" s="110" t="s">
        <v>96</v>
      </c>
      <c r="AF106" s="101"/>
    </row>
    <row r="107" spans="1:32">
      <c r="A107" s="101" t="str">
        <f>Technologies!B105</f>
        <v>* Not Allowed</v>
      </c>
      <c r="B107" s="101" t="str">
        <f>Technologies!C105</f>
        <v>XELCR9N</v>
      </c>
      <c r="C107" s="101" t="str">
        <f>Technologies!D105</f>
        <v>Electricity Imports from R9 to R3 -  New</v>
      </c>
      <c r="D107" s="104" t="str">
        <f t="shared" si="57"/>
        <v>ELCR9</v>
      </c>
      <c r="E107" s="104" t="str">
        <f>Commodities!$C$28</f>
        <v>ELC</v>
      </c>
      <c r="F107" s="110">
        <v>2010</v>
      </c>
      <c r="G107" s="110">
        <v>50</v>
      </c>
      <c r="H107" s="110"/>
      <c r="I107" s="110">
        <v>31.536000000000001</v>
      </c>
      <c r="J107" s="110"/>
      <c r="K107" s="110" t="s">
        <v>96</v>
      </c>
      <c r="L107" s="110" t="s">
        <v>96</v>
      </c>
      <c r="M107" s="101"/>
      <c r="N107" s="101"/>
      <c r="O107" s="121"/>
      <c r="P107" s="107" t="s">
        <v>96</v>
      </c>
      <c r="Q107" s="107" t="s">
        <v>96</v>
      </c>
      <c r="R107" s="107" t="s">
        <v>96</v>
      </c>
      <c r="S107" s="2" t="s">
        <v>96</v>
      </c>
      <c r="T107" s="107" t="s">
        <v>96</v>
      </c>
      <c r="U107" s="107" t="s">
        <v>96</v>
      </c>
      <c r="V107" s="107" t="s">
        <v>96</v>
      </c>
      <c r="W107" s="2" t="s">
        <v>96</v>
      </c>
      <c r="X107" s="107" t="s">
        <v>96</v>
      </c>
      <c r="Y107" s="107" t="s">
        <v>96</v>
      </c>
      <c r="Z107" s="107" t="s">
        <v>96</v>
      </c>
      <c r="AA107" s="2" t="s">
        <v>96</v>
      </c>
      <c r="AC107" s="148" t="s">
        <v>96</v>
      </c>
      <c r="AD107" s="110" t="s">
        <v>96</v>
      </c>
      <c r="AF107" s="101"/>
    </row>
    <row r="108" spans="1:32">
      <c r="A108" s="112" t="s">
        <v>74</v>
      </c>
      <c r="B108" s="112"/>
      <c r="C108" s="112"/>
      <c r="D108" s="112"/>
      <c r="E108" s="112" t="str">
        <f>MID(B108,4,5)</f>
        <v/>
      </c>
      <c r="F108" s="112"/>
      <c r="G108" s="112"/>
      <c r="H108" s="112"/>
      <c r="I108" s="112"/>
      <c r="J108" s="112"/>
      <c r="K108" s="112" t="s">
        <v>96</v>
      </c>
      <c r="L108" s="112" t="s">
        <v>96</v>
      </c>
      <c r="M108" s="112"/>
      <c r="N108" s="112"/>
      <c r="O108" s="125"/>
      <c r="AC108" s="149"/>
      <c r="AD108" s="112"/>
      <c r="AF108" s="112"/>
    </row>
    <row r="109" spans="1:32">
      <c r="A109" s="101" t="str">
        <f>Technologies!B107</f>
        <v>R4</v>
      </c>
      <c r="B109" s="101" t="str">
        <f>Technologies!C107</f>
        <v>XELCR1N</v>
      </c>
      <c r="C109" s="101" t="str">
        <f>Technologies!D107</f>
        <v>Electricity Imports from R1 to R4 -  New</v>
      </c>
      <c r="D109" s="104" t="str">
        <f t="shared" ref="D109:D117" si="61">MID(B109,2,5)</f>
        <v>ELCR1</v>
      </c>
      <c r="E109" s="104" t="str">
        <f>Commodities!$C$28</f>
        <v>ELC</v>
      </c>
      <c r="F109" s="110">
        <v>2010</v>
      </c>
      <c r="G109" s="110">
        <v>50</v>
      </c>
      <c r="H109" s="110">
        <f>AD109/AC109</f>
        <v>0.90909090909090906</v>
      </c>
      <c r="I109" s="110">
        <v>31.536000000000001</v>
      </c>
      <c r="J109" s="110"/>
      <c r="K109" s="150">
        <f>K99</f>
        <v>3128</v>
      </c>
      <c r="L109" s="110">
        <v>1</v>
      </c>
      <c r="M109" s="101">
        <v>0</v>
      </c>
      <c r="N109" s="101">
        <v>10</v>
      </c>
      <c r="O109" s="121">
        <v>0.9</v>
      </c>
      <c r="P109" s="107">
        <f>P48</f>
        <v>0.95</v>
      </c>
      <c r="Q109" s="107">
        <f>Q48</f>
        <v>0.95</v>
      </c>
      <c r="R109" s="107">
        <f>R48</f>
        <v>0.95</v>
      </c>
      <c r="S109" s="2">
        <f t="shared" ref="S109:S112" si="62">P109</f>
        <v>0.95</v>
      </c>
      <c r="T109" s="107">
        <f>T48</f>
        <v>0.95</v>
      </c>
      <c r="U109" s="107">
        <f>U48</f>
        <v>0.95</v>
      </c>
      <c r="V109" s="107">
        <f>V48</f>
        <v>0.95</v>
      </c>
      <c r="W109" s="2">
        <f t="shared" ref="W109:W112" si="63">T109</f>
        <v>0.95</v>
      </c>
      <c r="X109" s="107">
        <f>X48</f>
        <v>0.95</v>
      </c>
      <c r="Y109" s="107">
        <f>Y48</f>
        <v>0.95</v>
      </c>
      <c r="Z109" s="107">
        <f>Z48</f>
        <v>0.95</v>
      </c>
      <c r="AA109" s="2">
        <f>X109</f>
        <v>0.95</v>
      </c>
      <c r="AC109" s="148">
        <v>1.1000000000000001</v>
      </c>
      <c r="AD109" s="110">
        <v>1</v>
      </c>
      <c r="AF109" s="110">
        <v>0</v>
      </c>
    </row>
    <row r="110" spans="1:32">
      <c r="A110" s="101" t="str">
        <f>Technologies!B108</f>
        <v>R4</v>
      </c>
      <c r="B110" s="101" t="str">
        <f>Technologies!C108</f>
        <v>XELCR2N</v>
      </c>
      <c r="C110" s="101" t="str">
        <f>Technologies!D108</f>
        <v>Electricity Imports from R2 to R4 -  New</v>
      </c>
      <c r="D110" s="104" t="str">
        <f t="shared" si="61"/>
        <v>ELCR2</v>
      </c>
      <c r="E110" s="104" t="str">
        <f>Commodities!$C$28</f>
        <v>ELC</v>
      </c>
      <c r="F110" s="110">
        <v>2010</v>
      </c>
      <c r="G110" s="110">
        <v>50</v>
      </c>
      <c r="H110" s="110">
        <f>AD110/AC110</f>
        <v>0.95238095238095233</v>
      </c>
      <c r="I110" s="110">
        <v>31.536000000000001</v>
      </c>
      <c r="J110" s="110"/>
      <c r="K110" s="111">
        <v>500</v>
      </c>
      <c r="L110" s="110">
        <v>1</v>
      </c>
      <c r="M110" s="101">
        <v>1</v>
      </c>
      <c r="N110" s="101">
        <v>10</v>
      </c>
      <c r="O110" s="121"/>
      <c r="P110" s="107">
        <f>P49</f>
        <v>0.95</v>
      </c>
      <c r="Q110" s="107">
        <f>P110</f>
        <v>0.95</v>
      </c>
      <c r="R110" s="107">
        <f>P110</f>
        <v>0.95</v>
      </c>
      <c r="S110" s="2">
        <f t="shared" si="62"/>
        <v>0.95</v>
      </c>
      <c r="T110" s="107">
        <f>T49</f>
        <v>0.95</v>
      </c>
      <c r="U110" s="107">
        <f>T110</f>
        <v>0.95</v>
      </c>
      <c r="V110" s="107">
        <f>T110</f>
        <v>0.95</v>
      </c>
      <c r="W110" s="2">
        <f t="shared" si="63"/>
        <v>0.95</v>
      </c>
      <c r="X110" s="107">
        <f>X49</f>
        <v>0.95</v>
      </c>
      <c r="Y110" s="107">
        <f>X110</f>
        <v>0.95</v>
      </c>
      <c r="Z110" s="107">
        <f>X110</f>
        <v>0.95</v>
      </c>
      <c r="AA110" s="2">
        <f>X110</f>
        <v>0.95</v>
      </c>
      <c r="AC110" s="148">
        <v>1.05</v>
      </c>
      <c r="AD110" s="110">
        <v>1</v>
      </c>
      <c r="AF110" s="110">
        <v>0</v>
      </c>
    </row>
    <row r="111" spans="1:32">
      <c r="A111" s="101" t="str">
        <f>Technologies!B109</f>
        <v>R4</v>
      </c>
      <c r="B111" s="101" t="str">
        <f>Technologies!C109</f>
        <v>XELCR3N</v>
      </c>
      <c r="C111" s="101" t="str">
        <f>Technologies!D109</f>
        <v>Electricity Imports from R3 to R4 -  New</v>
      </c>
      <c r="D111" s="104" t="str">
        <f t="shared" si="61"/>
        <v>ELCR3</v>
      </c>
      <c r="E111" s="104" t="str">
        <f>Commodities!$C$28</f>
        <v>ELC</v>
      </c>
      <c r="F111" s="110">
        <v>2010</v>
      </c>
      <c r="G111" s="110">
        <v>50</v>
      </c>
      <c r="H111" s="110">
        <f>AD111/AC111</f>
        <v>0.95238095238095233</v>
      </c>
      <c r="I111" s="110">
        <v>31.536000000000001</v>
      </c>
      <c r="J111" s="110"/>
      <c r="K111" s="111">
        <v>500</v>
      </c>
      <c r="L111" s="110">
        <v>1</v>
      </c>
      <c r="M111" s="101">
        <v>1</v>
      </c>
      <c r="N111" s="101">
        <v>10</v>
      </c>
      <c r="O111" s="121"/>
      <c r="T111" s="107"/>
      <c r="U111" s="107"/>
      <c r="V111" s="107"/>
      <c r="X111" s="107"/>
      <c r="Y111" s="107"/>
      <c r="Z111" s="107"/>
      <c r="AA111" s="2">
        <f>X111</f>
        <v>0</v>
      </c>
      <c r="AC111" s="148">
        <v>1.05</v>
      </c>
      <c r="AD111" s="110">
        <v>1</v>
      </c>
      <c r="AF111" s="101">
        <v>0</v>
      </c>
    </row>
    <row r="112" spans="1:32">
      <c r="A112" s="101" t="str">
        <f>Technologies!B110</f>
        <v>* Not Allowed</v>
      </c>
      <c r="B112" s="101" t="str">
        <f>Technologies!C110</f>
        <v>XELCR4N</v>
      </c>
      <c r="C112" s="101" t="str">
        <f>Technologies!D110</f>
        <v>Electricity Imports from R4 to R4 -  New</v>
      </c>
      <c r="D112" s="104" t="str">
        <f t="shared" si="61"/>
        <v>ELCR4</v>
      </c>
      <c r="E112" s="104" t="str">
        <f>Commodities!$C$28</f>
        <v>ELC</v>
      </c>
      <c r="F112" s="110">
        <v>2010</v>
      </c>
      <c r="G112" s="110">
        <v>50</v>
      </c>
      <c r="H112" s="110"/>
      <c r="I112" s="110">
        <v>31.536000000000001</v>
      </c>
      <c r="J112" s="110"/>
      <c r="K112" s="110"/>
      <c r="L112" s="110" t="s">
        <v>96</v>
      </c>
      <c r="M112" s="101"/>
      <c r="N112" s="101"/>
      <c r="O112" s="121"/>
      <c r="P112" s="107" t="str">
        <f>P51</f>
        <v/>
      </c>
      <c r="Q112" s="107" t="str">
        <f>Q51</f>
        <v/>
      </c>
      <c r="R112" s="107" t="str">
        <f>R51</f>
        <v/>
      </c>
      <c r="S112" s="2" t="str">
        <f t="shared" si="62"/>
        <v/>
      </c>
      <c r="T112" s="107">
        <f>T51</f>
        <v>0</v>
      </c>
      <c r="U112" s="107">
        <f>U51</f>
        <v>0</v>
      </c>
      <c r="V112" s="107">
        <f>V51</f>
        <v>0</v>
      </c>
      <c r="W112" s="2">
        <f t="shared" si="63"/>
        <v>0</v>
      </c>
      <c r="X112" s="107">
        <f>X51</f>
        <v>0</v>
      </c>
      <c r="Y112" s="107">
        <f>Y51</f>
        <v>0</v>
      </c>
      <c r="Z112" s="107">
        <f>Z51</f>
        <v>0</v>
      </c>
      <c r="AA112" s="2">
        <v>0</v>
      </c>
      <c r="AC112" s="148" t="s">
        <v>96</v>
      </c>
      <c r="AD112" s="110" t="s">
        <v>96</v>
      </c>
      <c r="AF112" s="110">
        <v>0</v>
      </c>
    </row>
    <row r="113" spans="1:32">
      <c r="A113" s="101" t="str">
        <f>Technologies!B111</f>
        <v>* Not Allowed</v>
      </c>
      <c r="B113" s="101" t="str">
        <f>Technologies!C111</f>
        <v>XELCR5N</v>
      </c>
      <c r="C113" s="101" t="str">
        <f>Technologies!D111</f>
        <v>Electricity Imports from R5 to R4 -  New</v>
      </c>
      <c r="D113" s="104" t="str">
        <f t="shared" si="61"/>
        <v>ELCR5</v>
      </c>
      <c r="E113" s="104" t="str">
        <f>Commodities!$C$28</f>
        <v>ELC</v>
      </c>
      <c r="F113" s="110">
        <v>2010</v>
      </c>
      <c r="G113" s="110">
        <v>50</v>
      </c>
      <c r="H113" s="110"/>
      <c r="I113" s="110">
        <v>31.536000000000001</v>
      </c>
      <c r="J113" s="110"/>
      <c r="K113" s="111"/>
      <c r="L113" s="110" t="s">
        <v>96</v>
      </c>
      <c r="M113" s="101"/>
      <c r="N113" s="101"/>
      <c r="O113" s="121"/>
      <c r="P113" s="107" t="s">
        <v>96</v>
      </c>
      <c r="Q113" s="107" t="s">
        <v>96</v>
      </c>
      <c r="R113" s="107" t="s">
        <v>96</v>
      </c>
      <c r="S113" s="2" t="s">
        <v>96</v>
      </c>
      <c r="T113" s="107" t="s">
        <v>96</v>
      </c>
      <c r="U113" s="107" t="s">
        <v>96</v>
      </c>
      <c r="V113" s="107" t="s">
        <v>96</v>
      </c>
      <c r="W113" s="2" t="s">
        <v>96</v>
      </c>
      <c r="X113" s="107" t="s">
        <v>96</v>
      </c>
      <c r="Y113" s="107" t="s">
        <v>96</v>
      </c>
      <c r="Z113" s="107" t="s">
        <v>96</v>
      </c>
      <c r="AA113" s="2" t="s">
        <v>96</v>
      </c>
      <c r="AC113" s="148" t="s">
        <v>96</v>
      </c>
      <c r="AD113" s="110" t="s">
        <v>96</v>
      </c>
      <c r="AF113" s="101"/>
    </row>
    <row r="114" spans="1:32">
      <c r="A114" s="101" t="str">
        <f>Technologies!B112</f>
        <v>* Not Allowed</v>
      </c>
      <c r="B114" s="101" t="str">
        <f>Technologies!C112</f>
        <v>XELCR6N</v>
      </c>
      <c r="C114" s="101" t="str">
        <f>Technologies!D112</f>
        <v>Electricity Imports from R6 to R4 -  New</v>
      </c>
      <c r="D114" s="104" t="str">
        <f t="shared" si="61"/>
        <v>ELCR6</v>
      </c>
      <c r="E114" s="104" t="str">
        <f>Commodities!$C$28</f>
        <v>ELC</v>
      </c>
      <c r="F114" s="110">
        <v>2010</v>
      </c>
      <c r="G114" s="110">
        <v>50</v>
      </c>
      <c r="H114" s="110"/>
      <c r="I114" s="110">
        <v>31.536000000000001</v>
      </c>
      <c r="J114" s="110"/>
      <c r="K114" s="111"/>
      <c r="L114" s="110" t="s">
        <v>96</v>
      </c>
      <c r="M114" s="101"/>
      <c r="N114" s="101"/>
      <c r="O114" s="121"/>
      <c r="P114" s="107" t="s">
        <v>96</v>
      </c>
      <c r="Q114" s="107" t="s">
        <v>96</v>
      </c>
      <c r="R114" s="107" t="s">
        <v>96</v>
      </c>
      <c r="S114" s="2" t="s">
        <v>96</v>
      </c>
      <c r="T114" s="107" t="s">
        <v>96</v>
      </c>
      <c r="U114" s="107" t="s">
        <v>96</v>
      </c>
      <c r="V114" s="107" t="s">
        <v>96</v>
      </c>
      <c r="W114" s="2" t="s">
        <v>96</v>
      </c>
      <c r="X114" s="107" t="s">
        <v>96</v>
      </c>
      <c r="Y114" s="107" t="s">
        <v>96</v>
      </c>
      <c r="Z114" s="107" t="s">
        <v>96</v>
      </c>
      <c r="AA114" s="2" t="s">
        <v>96</v>
      </c>
      <c r="AC114" s="148" t="s">
        <v>96</v>
      </c>
      <c r="AD114" s="110" t="s">
        <v>96</v>
      </c>
      <c r="AF114" s="101"/>
    </row>
    <row r="115" spans="1:32">
      <c r="A115" s="101" t="str">
        <f>Technologies!B113</f>
        <v>* Not Allowed</v>
      </c>
      <c r="B115" s="101" t="str">
        <f>Technologies!C113</f>
        <v>XELCR7N</v>
      </c>
      <c r="C115" s="101" t="str">
        <f>Technologies!D113</f>
        <v>Electricity Imports from R7 to R4 -  New</v>
      </c>
      <c r="D115" s="104" t="str">
        <f t="shared" si="61"/>
        <v>ELCR7</v>
      </c>
      <c r="E115" s="104" t="str">
        <f>Commodities!$C$28</f>
        <v>ELC</v>
      </c>
      <c r="F115" s="110">
        <v>2010</v>
      </c>
      <c r="G115" s="110">
        <v>50</v>
      </c>
      <c r="H115" s="110"/>
      <c r="I115" s="110">
        <v>31.536000000000001</v>
      </c>
      <c r="J115" s="110"/>
      <c r="K115" s="111"/>
      <c r="L115" s="110" t="s">
        <v>96</v>
      </c>
      <c r="M115" s="101"/>
      <c r="N115" s="101"/>
      <c r="O115" s="121"/>
      <c r="P115" s="107" t="s">
        <v>96</v>
      </c>
      <c r="Q115" s="107" t="s">
        <v>96</v>
      </c>
      <c r="R115" s="107" t="s">
        <v>96</v>
      </c>
      <c r="S115" s="2" t="s">
        <v>96</v>
      </c>
      <c r="T115" s="107" t="s">
        <v>96</v>
      </c>
      <c r="U115" s="107" t="s">
        <v>96</v>
      </c>
      <c r="V115" s="107" t="s">
        <v>96</v>
      </c>
      <c r="W115" s="2" t="s">
        <v>96</v>
      </c>
      <c r="X115" s="107" t="s">
        <v>96</v>
      </c>
      <c r="Y115" s="107" t="s">
        <v>96</v>
      </c>
      <c r="Z115" s="107" t="s">
        <v>96</v>
      </c>
      <c r="AA115" s="2" t="s">
        <v>96</v>
      </c>
      <c r="AC115" s="148" t="s">
        <v>96</v>
      </c>
      <c r="AD115" s="110" t="s">
        <v>96</v>
      </c>
      <c r="AF115" s="101"/>
    </row>
    <row r="116" spans="1:32">
      <c r="A116" s="101" t="str">
        <f>Technologies!B114</f>
        <v>* Not Allowed</v>
      </c>
      <c r="B116" s="101" t="str">
        <f>Technologies!C114</f>
        <v>XELCR8N</v>
      </c>
      <c r="C116" s="101" t="str">
        <f>Technologies!D114</f>
        <v>Electricity Imports from R8 to R4 -  New</v>
      </c>
      <c r="D116" s="104" t="str">
        <f t="shared" si="61"/>
        <v>ELCR8</v>
      </c>
      <c r="E116" s="104" t="str">
        <f>Commodities!$C$28</f>
        <v>ELC</v>
      </c>
      <c r="F116" s="110">
        <v>2010</v>
      </c>
      <c r="G116" s="110">
        <v>50</v>
      </c>
      <c r="H116" s="110"/>
      <c r="I116" s="110">
        <v>31.536000000000001</v>
      </c>
      <c r="J116" s="110"/>
      <c r="K116" s="110" t="s">
        <v>96</v>
      </c>
      <c r="L116" s="110" t="s">
        <v>96</v>
      </c>
      <c r="M116" s="101"/>
      <c r="N116" s="101"/>
      <c r="O116" s="121"/>
      <c r="P116" s="107" t="s">
        <v>96</v>
      </c>
      <c r="Q116" s="107" t="s">
        <v>96</v>
      </c>
      <c r="R116" s="107" t="s">
        <v>96</v>
      </c>
      <c r="S116" s="2" t="s">
        <v>96</v>
      </c>
      <c r="T116" s="107" t="s">
        <v>96</v>
      </c>
      <c r="U116" s="107" t="s">
        <v>96</v>
      </c>
      <c r="V116" s="107" t="s">
        <v>96</v>
      </c>
      <c r="W116" s="2" t="s">
        <v>96</v>
      </c>
      <c r="X116" s="107" t="s">
        <v>96</v>
      </c>
      <c r="Y116" s="107" t="s">
        <v>96</v>
      </c>
      <c r="Z116" s="107" t="s">
        <v>96</v>
      </c>
      <c r="AA116" s="2" t="s">
        <v>96</v>
      </c>
      <c r="AC116" s="148" t="s">
        <v>96</v>
      </c>
      <c r="AD116" s="110" t="s">
        <v>96</v>
      </c>
      <c r="AF116" s="101"/>
    </row>
    <row r="117" spans="1:32">
      <c r="A117" s="101" t="str">
        <f>Technologies!B115</f>
        <v>* Not Allowed</v>
      </c>
      <c r="B117" s="101" t="str">
        <f>Technologies!C115</f>
        <v>XELCR9N</v>
      </c>
      <c r="C117" s="101" t="str">
        <f>Technologies!D115</f>
        <v>Electricity Imports from R9 to R4 -  New</v>
      </c>
      <c r="D117" s="104" t="str">
        <f t="shared" si="61"/>
        <v>ELCR9</v>
      </c>
      <c r="E117" s="104" t="str">
        <f>Commodities!$C$28</f>
        <v>ELC</v>
      </c>
      <c r="F117" s="110">
        <v>2010</v>
      </c>
      <c r="G117" s="110">
        <v>50</v>
      </c>
      <c r="H117" s="110"/>
      <c r="I117" s="110">
        <v>31.536000000000001</v>
      </c>
      <c r="J117" s="110"/>
      <c r="K117" s="110" t="s">
        <v>96</v>
      </c>
      <c r="L117" s="110" t="s">
        <v>96</v>
      </c>
      <c r="M117" s="101"/>
      <c r="N117" s="101"/>
      <c r="O117" s="121"/>
      <c r="P117" s="107" t="s">
        <v>96</v>
      </c>
      <c r="Q117" s="107" t="s">
        <v>96</v>
      </c>
      <c r="R117" s="107" t="s">
        <v>96</v>
      </c>
      <c r="S117" s="2" t="s">
        <v>96</v>
      </c>
      <c r="T117" s="107" t="s">
        <v>96</v>
      </c>
      <c r="U117" s="107" t="s">
        <v>96</v>
      </c>
      <c r="V117" s="107" t="s">
        <v>96</v>
      </c>
      <c r="W117" s="2" t="s">
        <v>96</v>
      </c>
      <c r="X117" s="107" t="s">
        <v>96</v>
      </c>
      <c r="Y117" s="107" t="s">
        <v>96</v>
      </c>
      <c r="Z117" s="107" t="s">
        <v>96</v>
      </c>
      <c r="AA117" s="2" t="s">
        <v>96</v>
      </c>
      <c r="AC117" s="148" t="s">
        <v>96</v>
      </c>
      <c r="AD117" s="110" t="s">
        <v>96</v>
      </c>
      <c r="AF117" s="101"/>
    </row>
    <row r="118" spans="1:32">
      <c r="A118" s="112" t="s">
        <v>75</v>
      </c>
      <c r="B118" s="112"/>
      <c r="C118" s="112"/>
      <c r="D118" s="112"/>
      <c r="E118" s="112" t="str">
        <f>MID(B118,4,5)</f>
        <v/>
      </c>
      <c r="F118" s="112"/>
      <c r="G118" s="112"/>
      <c r="H118" s="112"/>
      <c r="I118" s="112"/>
      <c r="J118" s="112"/>
      <c r="K118" s="112" t="s">
        <v>96</v>
      </c>
      <c r="L118" s="112" t="s">
        <v>96</v>
      </c>
      <c r="M118" s="112"/>
      <c r="N118" s="112"/>
      <c r="O118" s="125"/>
      <c r="AC118" s="149"/>
      <c r="AD118" s="112"/>
      <c r="AF118" s="112"/>
    </row>
    <row r="119" spans="1:32">
      <c r="A119" s="101" t="str">
        <f>Technologies!B117</f>
        <v>R5</v>
      </c>
      <c r="B119" s="101" t="str">
        <f>Technologies!C117</f>
        <v>XELCR1N</v>
      </c>
      <c r="C119" s="101" t="str">
        <f>Technologies!D117</f>
        <v>Electricity Imports from R1 to R5 -  New</v>
      </c>
      <c r="D119" s="104" t="str">
        <f t="shared" ref="D119:D127" si="64">MID(B119,2,5)</f>
        <v>ELCR1</v>
      </c>
      <c r="E119" s="104" t="str">
        <f>Commodities!$C$28</f>
        <v>ELC</v>
      </c>
      <c r="F119" s="110">
        <v>2010</v>
      </c>
      <c r="G119" s="110">
        <v>50</v>
      </c>
      <c r="H119" s="110">
        <f>AD119/AC119</f>
        <v>0.90909090909090906</v>
      </c>
      <c r="I119" s="110">
        <v>31.536000000000001</v>
      </c>
      <c r="J119" s="110"/>
      <c r="K119" s="150">
        <f>K109</f>
        <v>3128</v>
      </c>
      <c r="L119" s="110">
        <v>1</v>
      </c>
      <c r="M119" s="101">
        <v>0</v>
      </c>
      <c r="N119" s="101">
        <v>10</v>
      </c>
      <c r="O119" s="121">
        <v>0.9</v>
      </c>
      <c r="P119" s="107">
        <f t="shared" ref="P119:R120" si="65">P58</f>
        <v>0.95</v>
      </c>
      <c r="Q119" s="107">
        <f t="shared" si="65"/>
        <v>0.95</v>
      </c>
      <c r="R119" s="107">
        <f t="shared" si="65"/>
        <v>0.95</v>
      </c>
      <c r="S119" s="2">
        <f t="shared" ref="S119:S124" si="66">P119</f>
        <v>0.95</v>
      </c>
      <c r="T119" s="107">
        <f t="shared" ref="T119:V120" si="67">T58</f>
        <v>0.95</v>
      </c>
      <c r="U119" s="107">
        <f t="shared" si="67"/>
        <v>0.95</v>
      </c>
      <c r="V119" s="107">
        <f t="shared" si="67"/>
        <v>0.95</v>
      </c>
      <c r="W119" s="2">
        <f t="shared" ref="W119:W124" si="68">T119</f>
        <v>0.95</v>
      </c>
      <c r="X119" s="107">
        <f t="shared" ref="X119:Z120" si="69">X58</f>
        <v>0.95</v>
      </c>
      <c r="Y119" s="107">
        <f t="shared" si="69"/>
        <v>0.95</v>
      </c>
      <c r="Z119" s="107">
        <f t="shared" si="69"/>
        <v>0.95</v>
      </c>
      <c r="AA119" s="2">
        <f>Y119</f>
        <v>0.95</v>
      </c>
      <c r="AC119" s="148">
        <v>1.1000000000000001</v>
      </c>
      <c r="AD119" s="110">
        <v>1</v>
      </c>
      <c r="AF119" s="110">
        <v>0</v>
      </c>
    </row>
    <row r="120" spans="1:32">
      <c r="A120" s="101" t="str">
        <f>Technologies!B118</f>
        <v>R5</v>
      </c>
      <c r="B120" s="101" t="str">
        <f>Technologies!C118</f>
        <v>XELCR2N</v>
      </c>
      <c r="C120" s="101" t="str">
        <f>Technologies!D118</f>
        <v>Electricity Imports from R2 to R5 -  New</v>
      </c>
      <c r="D120" s="104" t="str">
        <f t="shared" si="64"/>
        <v>ELCR2</v>
      </c>
      <c r="E120" s="104" t="str">
        <f>Commodities!$C$28</f>
        <v>ELC</v>
      </c>
      <c r="F120" s="110">
        <v>2010</v>
      </c>
      <c r="G120" s="110">
        <v>50</v>
      </c>
      <c r="H120" s="110">
        <f>AD120/AC120</f>
        <v>0.95238095238095233</v>
      </c>
      <c r="I120" s="110">
        <v>31.536000000000001</v>
      </c>
      <c r="J120" s="110"/>
      <c r="K120" s="111">
        <v>500</v>
      </c>
      <c r="L120" s="110">
        <v>1</v>
      </c>
      <c r="M120" s="101">
        <v>1</v>
      </c>
      <c r="N120" s="101">
        <v>10</v>
      </c>
      <c r="O120" s="121"/>
      <c r="P120" s="107">
        <f t="shared" si="65"/>
        <v>0.95</v>
      </c>
      <c r="Q120" s="107">
        <f t="shared" si="65"/>
        <v>0.95</v>
      </c>
      <c r="R120" s="107">
        <f t="shared" si="65"/>
        <v>0.95</v>
      </c>
      <c r="S120" s="2">
        <f t="shared" si="66"/>
        <v>0.95</v>
      </c>
      <c r="T120" s="107">
        <f t="shared" si="67"/>
        <v>0.95</v>
      </c>
      <c r="U120" s="107">
        <f t="shared" si="67"/>
        <v>0.95</v>
      </c>
      <c r="V120" s="107">
        <f t="shared" si="67"/>
        <v>0.95</v>
      </c>
      <c r="W120" s="2">
        <f t="shared" si="68"/>
        <v>0.95</v>
      </c>
      <c r="X120" s="107">
        <f t="shared" si="69"/>
        <v>0.95</v>
      </c>
      <c r="Y120" s="107">
        <f t="shared" si="69"/>
        <v>0.95</v>
      </c>
      <c r="Z120" s="107">
        <f t="shared" si="69"/>
        <v>0.95</v>
      </c>
      <c r="AA120" s="2">
        <f t="shared" ref="AA120:AA121" si="70">Y120</f>
        <v>0.95</v>
      </c>
      <c r="AC120" s="148">
        <v>1.05</v>
      </c>
      <c r="AD120" s="110">
        <v>1</v>
      </c>
      <c r="AF120" s="110">
        <v>0</v>
      </c>
    </row>
    <row r="121" spans="1:32">
      <c r="A121" s="101" t="str">
        <f>Technologies!B119</f>
        <v>R5</v>
      </c>
      <c r="B121" s="101" t="str">
        <f>Technologies!C119</f>
        <v>XELCR3N</v>
      </c>
      <c r="C121" s="101" t="str">
        <f>Technologies!D119</f>
        <v>Electricity Imports from R3 to R5 -  New</v>
      </c>
      <c r="D121" s="104" t="str">
        <f t="shared" si="64"/>
        <v>ELCR3</v>
      </c>
      <c r="E121" s="104" t="str">
        <f>Commodities!$C$28</f>
        <v>ELC</v>
      </c>
      <c r="F121" s="110">
        <v>2010</v>
      </c>
      <c r="G121" s="110">
        <v>50</v>
      </c>
      <c r="H121" s="110">
        <f>AD121/AC121</f>
        <v>0.95238095238095233</v>
      </c>
      <c r="I121" s="110">
        <v>31.536000000000001</v>
      </c>
      <c r="J121" s="110"/>
      <c r="K121" s="111">
        <v>500</v>
      </c>
      <c r="L121" s="110">
        <v>1</v>
      </c>
      <c r="M121" s="101">
        <v>1</v>
      </c>
      <c r="N121" s="101">
        <v>10</v>
      </c>
      <c r="O121" s="121"/>
      <c r="P121" s="107">
        <f>P60</f>
        <v>0.95</v>
      </c>
      <c r="Q121" s="107">
        <f>P121</f>
        <v>0.95</v>
      </c>
      <c r="R121" s="107">
        <f>P121</f>
        <v>0.95</v>
      </c>
      <c r="S121" s="2">
        <f t="shared" si="66"/>
        <v>0.95</v>
      </c>
      <c r="T121" s="107">
        <f>T60</f>
        <v>0.95</v>
      </c>
      <c r="U121" s="107">
        <f>T121</f>
        <v>0.95</v>
      </c>
      <c r="V121" s="107">
        <f>T121</f>
        <v>0.95</v>
      </c>
      <c r="W121" s="2">
        <f t="shared" si="68"/>
        <v>0.95</v>
      </c>
      <c r="X121" s="107">
        <f>X60</f>
        <v>0.95</v>
      </c>
      <c r="Y121" s="107">
        <f>X121</f>
        <v>0.95</v>
      </c>
      <c r="Z121" s="107">
        <f>X121</f>
        <v>0.95</v>
      </c>
      <c r="AA121" s="2">
        <f t="shared" si="70"/>
        <v>0.95</v>
      </c>
      <c r="AC121" s="148">
        <v>1.05</v>
      </c>
      <c r="AD121" s="110">
        <v>1</v>
      </c>
      <c r="AF121" s="110">
        <v>0</v>
      </c>
    </row>
    <row r="122" spans="1:32">
      <c r="A122" s="101" t="str">
        <f>Technologies!B120</f>
        <v>* Not Allowed</v>
      </c>
      <c r="B122" s="101" t="str">
        <f>Technologies!C120</f>
        <v>XELCR4N</v>
      </c>
      <c r="C122" s="101" t="str">
        <f>Technologies!D120</f>
        <v>Electricity Imports from R4 to R5 -  New</v>
      </c>
      <c r="D122" s="104" t="str">
        <f t="shared" si="64"/>
        <v>ELCR4</v>
      </c>
      <c r="E122" s="104" t="str">
        <f>Commodities!$C$28</f>
        <v>ELC</v>
      </c>
      <c r="F122" s="110">
        <v>2010</v>
      </c>
      <c r="G122" s="110">
        <v>50</v>
      </c>
      <c r="H122" s="110"/>
      <c r="I122" s="110">
        <v>31.536000000000001</v>
      </c>
      <c r="J122" s="110"/>
      <c r="K122" s="111"/>
      <c r="L122" s="110" t="s">
        <v>96</v>
      </c>
      <c r="M122" s="101"/>
      <c r="N122" s="101"/>
      <c r="O122" s="121"/>
      <c r="P122" s="107" t="str">
        <f>P61</f>
        <v/>
      </c>
      <c r="Q122" s="107" t="str">
        <f>P122</f>
        <v/>
      </c>
      <c r="R122" s="107" t="str">
        <f>P122</f>
        <v/>
      </c>
      <c r="S122" s="2" t="str">
        <f t="shared" si="66"/>
        <v/>
      </c>
      <c r="T122" s="107" t="str">
        <f>T61</f>
        <v/>
      </c>
      <c r="U122" s="107" t="str">
        <f>T122</f>
        <v/>
      </c>
      <c r="V122" s="107" t="str">
        <f>T122</f>
        <v/>
      </c>
      <c r="W122" s="2" t="str">
        <f t="shared" si="68"/>
        <v/>
      </c>
      <c r="X122" s="107" t="str">
        <f>X61</f>
        <v/>
      </c>
      <c r="Y122" s="107" t="str">
        <f>X122</f>
        <v/>
      </c>
      <c r="Z122" s="107" t="str">
        <f>X122</f>
        <v/>
      </c>
      <c r="AA122" s="2" t="s">
        <v>96</v>
      </c>
      <c r="AC122" s="148" t="s">
        <v>96</v>
      </c>
      <c r="AD122" s="110" t="s">
        <v>96</v>
      </c>
      <c r="AF122" s="101"/>
    </row>
    <row r="123" spans="1:32">
      <c r="A123" s="101" t="str">
        <f>Technologies!B121</f>
        <v>* Not Allowed</v>
      </c>
      <c r="B123" s="101" t="str">
        <f>Technologies!C121</f>
        <v>XELCR5N</v>
      </c>
      <c r="C123" s="101" t="str">
        <f>Technologies!D121</f>
        <v>Electricity Imports from R5 to R5 -  New</v>
      </c>
      <c r="D123" s="104" t="str">
        <f t="shared" si="64"/>
        <v>ELCR5</v>
      </c>
      <c r="E123" s="104" t="str">
        <f>Commodities!$C$28</f>
        <v>ELC</v>
      </c>
      <c r="F123" s="110">
        <v>2010</v>
      </c>
      <c r="G123" s="110">
        <v>50</v>
      </c>
      <c r="H123" s="110"/>
      <c r="I123" s="110">
        <v>31.536000000000001</v>
      </c>
      <c r="J123" s="110"/>
      <c r="K123" s="110" t="s">
        <v>96</v>
      </c>
      <c r="L123" s="110" t="s">
        <v>96</v>
      </c>
      <c r="M123" s="101"/>
      <c r="N123" s="101"/>
      <c r="O123" s="121"/>
      <c r="P123" s="107" t="str">
        <f>P62</f>
        <v/>
      </c>
      <c r="Q123" s="107" t="str">
        <f>Q62</f>
        <v/>
      </c>
      <c r="R123" s="107" t="str">
        <f>R62</f>
        <v/>
      </c>
      <c r="S123" s="2" t="str">
        <f t="shared" si="66"/>
        <v/>
      </c>
      <c r="T123" s="107" t="str">
        <f>T62</f>
        <v/>
      </c>
      <c r="U123" s="107" t="str">
        <f>U62</f>
        <v/>
      </c>
      <c r="V123" s="107" t="str">
        <f>V62</f>
        <v/>
      </c>
      <c r="W123" s="2" t="str">
        <f t="shared" si="68"/>
        <v/>
      </c>
      <c r="X123" s="107" t="str">
        <f>X62</f>
        <v/>
      </c>
      <c r="Y123" s="107" t="str">
        <f>Y62</f>
        <v/>
      </c>
      <c r="Z123" s="107" t="str">
        <f>Z62</f>
        <v/>
      </c>
      <c r="AA123" s="2" t="s">
        <v>96</v>
      </c>
      <c r="AC123" s="148" t="s">
        <v>96</v>
      </c>
      <c r="AD123" s="110" t="s">
        <v>96</v>
      </c>
      <c r="AF123" s="101"/>
    </row>
    <row r="124" spans="1:32">
      <c r="A124" s="101" t="str">
        <f>Technologies!B122</f>
        <v>R5</v>
      </c>
      <c r="B124" s="101" t="str">
        <f>Technologies!C122</f>
        <v>XELCR6N</v>
      </c>
      <c r="C124" s="101" t="str">
        <f>Technologies!D122</f>
        <v>Electricity Imports from R6 to R5 -  New</v>
      </c>
      <c r="D124" s="104" t="str">
        <f t="shared" si="64"/>
        <v>ELCR6</v>
      </c>
      <c r="E124" s="104" t="str">
        <f>Commodities!$C$28</f>
        <v>ELC</v>
      </c>
      <c r="F124" s="110">
        <v>2010</v>
      </c>
      <c r="G124" s="110">
        <v>50</v>
      </c>
      <c r="H124" s="110">
        <f>AD124/AC124</f>
        <v>0.95238095238095233</v>
      </c>
      <c r="I124" s="110">
        <v>31.536000000000001</v>
      </c>
      <c r="J124" s="110"/>
      <c r="K124" s="111">
        <v>500</v>
      </c>
      <c r="L124" s="110">
        <v>1</v>
      </c>
      <c r="M124" s="101">
        <v>1</v>
      </c>
      <c r="N124" s="101">
        <v>10</v>
      </c>
      <c r="O124" s="121"/>
      <c r="P124" s="107">
        <f>P63</f>
        <v>0.95</v>
      </c>
      <c r="Q124" s="107">
        <f>P124</f>
        <v>0.95</v>
      </c>
      <c r="R124" s="107">
        <f>P124</f>
        <v>0.95</v>
      </c>
      <c r="S124" s="2">
        <f t="shared" si="66"/>
        <v>0.95</v>
      </c>
      <c r="T124" s="107">
        <f>T63</f>
        <v>0.95</v>
      </c>
      <c r="U124" s="107">
        <f>T124</f>
        <v>0.95</v>
      </c>
      <c r="V124" s="107">
        <f>T124</f>
        <v>0.95</v>
      </c>
      <c r="W124" s="2">
        <f t="shared" si="68"/>
        <v>0.95</v>
      </c>
      <c r="X124" s="107">
        <f>X63</f>
        <v>0.95</v>
      </c>
      <c r="Y124" s="107">
        <f>X124</f>
        <v>0.95</v>
      </c>
      <c r="Z124" s="107">
        <f>X124</f>
        <v>0.95</v>
      </c>
      <c r="AA124" s="2">
        <f>Y124</f>
        <v>0.95</v>
      </c>
      <c r="AC124" s="148">
        <v>1.05</v>
      </c>
      <c r="AD124" s="110">
        <v>1</v>
      </c>
      <c r="AF124" s="110">
        <v>0</v>
      </c>
    </row>
    <row r="125" spans="1:32">
      <c r="A125" s="101" t="str">
        <f>Technologies!B123</f>
        <v>* Not Allowed</v>
      </c>
      <c r="B125" s="101" t="str">
        <f>Technologies!C123</f>
        <v>XELCR7N</v>
      </c>
      <c r="C125" s="101" t="str">
        <f>Technologies!D123</f>
        <v>Electricity Imports from R7 to R5 -  New</v>
      </c>
      <c r="D125" s="104" t="str">
        <f t="shared" si="64"/>
        <v>ELCR7</v>
      </c>
      <c r="E125" s="104" t="str">
        <f>Commodities!$C$28</f>
        <v>ELC</v>
      </c>
      <c r="F125" s="110">
        <v>2010</v>
      </c>
      <c r="G125" s="110">
        <v>50</v>
      </c>
      <c r="H125" s="110"/>
      <c r="I125" s="110">
        <v>31.536000000000001</v>
      </c>
      <c r="J125" s="110"/>
      <c r="K125" s="111"/>
      <c r="L125" s="110" t="s">
        <v>96</v>
      </c>
      <c r="M125" s="101"/>
      <c r="N125" s="101"/>
      <c r="O125" s="121"/>
      <c r="P125" s="107" t="s">
        <v>96</v>
      </c>
      <c r="Q125" s="107" t="s">
        <v>96</v>
      </c>
      <c r="R125" s="107" t="s">
        <v>96</v>
      </c>
      <c r="S125" s="2" t="s">
        <v>96</v>
      </c>
      <c r="T125" s="107"/>
      <c r="U125" s="107"/>
      <c r="V125" s="107"/>
      <c r="X125" s="107"/>
      <c r="Y125" s="107"/>
      <c r="Z125" s="107"/>
      <c r="AA125" s="2">
        <v>0</v>
      </c>
      <c r="AC125" s="148" t="s">
        <v>96</v>
      </c>
      <c r="AD125" s="110" t="s">
        <v>96</v>
      </c>
      <c r="AF125" s="110">
        <v>0</v>
      </c>
    </row>
    <row r="126" spans="1:32">
      <c r="A126" s="101" t="str">
        <f>Technologies!B124</f>
        <v>* Not Allowed</v>
      </c>
      <c r="B126" s="101" t="str">
        <f>Technologies!C124</f>
        <v>XELCR8N</v>
      </c>
      <c r="C126" s="101" t="str">
        <f>Technologies!D124</f>
        <v>Electricity Imports from R8 to R5 -  New</v>
      </c>
      <c r="D126" s="104" t="str">
        <f t="shared" si="64"/>
        <v>ELCR8</v>
      </c>
      <c r="E126" s="104" t="str">
        <f>Commodities!$C$28</f>
        <v>ELC</v>
      </c>
      <c r="F126" s="110">
        <v>2010</v>
      </c>
      <c r="G126" s="110">
        <v>50</v>
      </c>
      <c r="H126" s="110"/>
      <c r="I126" s="110">
        <v>31.536000000000001</v>
      </c>
      <c r="J126" s="110"/>
      <c r="K126" s="110" t="s">
        <v>96</v>
      </c>
      <c r="L126" s="110" t="s">
        <v>96</v>
      </c>
      <c r="M126" s="101"/>
      <c r="N126" s="101"/>
      <c r="O126" s="121"/>
      <c r="P126" s="107" t="s">
        <v>96</v>
      </c>
      <c r="Q126" s="107" t="s">
        <v>96</v>
      </c>
      <c r="R126" s="107" t="s">
        <v>96</v>
      </c>
      <c r="S126" s="2" t="s">
        <v>96</v>
      </c>
      <c r="T126" s="107" t="s">
        <v>96</v>
      </c>
      <c r="U126" s="107" t="s">
        <v>96</v>
      </c>
      <c r="V126" s="107" t="s">
        <v>96</v>
      </c>
      <c r="W126" s="2" t="s">
        <v>96</v>
      </c>
      <c r="X126" s="107" t="s">
        <v>96</v>
      </c>
      <c r="Y126" s="107" t="s">
        <v>96</v>
      </c>
      <c r="Z126" s="107" t="s">
        <v>96</v>
      </c>
      <c r="AA126" s="2" t="s">
        <v>96</v>
      </c>
      <c r="AC126" s="148" t="s">
        <v>96</v>
      </c>
      <c r="AD126" s="110" t="s">
        <v>96</v>
      </c>
      <c r="AF126" s="101"/>
    </row>
    <row r="127" spans="1:32">
      <c r="A127" s="101" t="str">
        <f>Technologies!B125</f>
        <v>* Not Allowed</v>
      </c>
      <c r="B127" s="101" t="str">
        <f>Technologies!C125</f>
        <v>XELCR9N</v>
      </c>
      <c r="C127" s="101" t="str">
        <f>Technologies!D125</f>
        <v>Electricity Imports from R9 to R5 -  New</v>
      </c>
      <c r="D127" s="104" t="str">
        <f t="shared" si="64"/>
        <v>ELCR9</v>
      </c>
      <c r="E127" s="104" t="str">
        <f>Commodities!$C$28</f>
        <v>ELC</v>
      </c>
      <c r="F127" s="110">
        <v>2010</v>
      </c>
      <c r="G127" s="110">
        <v>50</v>
      </c>
      <c r="H127" s="110"/>
      <c r="I127" s="110">
        <v>31.536000000000001</v>
      </c>
      <c r="J127" s="110"/>
      <c r="K127" s="110" t="s">
        <v>96</v>
      </c>
      <c r="L127" s="110" t="s">
        <v>96</v>
      </c>
      <c r="M127" s="101"/>
      <c r="N127" s="101"/>
      <c r="O127" s="121"/>
      <c r="P127" s="107" t="s">
        <v>96</v>
      </c>
      <c r="Q127" s="107" t="s">
        <v>96</v>
      </c>
      <c r="R127" s="107" t="s">
        <v>96</v>
      </c>
      <c r="S127" s="2" t="s">
        <v>96</v>
      </c>
      <c r="T127" s="107" t="s">
        <v>96</v>
      </c>
      <c r="U127" s="107" t="s">
        <v>96</v>
      </c>
      <c r="V127" s="107" t="s">
        <v>96</v>
      </c>
      <c r="W127" s="2" t="s">
        <v>96</v>
      </c>
      <c r="X127" s="107" t="s">
        <v>96</v>
      </c>
      <c r="Y127" s="107" t="s">
        <v>96</v>
      </c>
      <c r="Z127" s="107" t="s">
        <v>96</v>
      </c>
      <c r="AA127" s="2" t="s">
        <v>96</v>
      </c>
      <c r="AC127" s="148" t="s">
        <v>96</v>
      </c>
      <c r="AD127" s="110" t="s">
        <v>96</v>
      </c>
      <c r="AF127" s="101"/>
    </row>
    <row r="128" spans="1:32">
      <c r="A128" s="112" t="s">
        <v>76</v>
      </c>
      <c r="B128" s="112"/>
      <c r="C128" s="112"/>
      <c r="D128" s="112"/>
      <c r="E128" s="112" t="str">
        <f>MID(B128,4,5)</f>
        <v/>
      </c>
      <c r="F128" s="112"/>
      <c r="G128" s="112"/>
      <c r="H128" s="112"/>
      <c r="I128" s="112"/>
      <c r="J128" s="112"/>
      <c r="K128" s="112" t="s">
        <v>96</v>
      </c>
      <c r="L128" s="112" t="s">
        <v>96</v>
      </c>
      <c r="M128" s="112"/>
      <c r="N128" s="112"/>
      <c r="O128" s="125"/>
      <c r="AC128" s="149"/>
      <c r="AD128" s="112"/>
      <c r="AF128" s="112"/>
    </row>
    <row r="129" spans="1:32">
      <c r="A129" s="101" t="str">
        <f>Technologies!B127</f>
        <v>R6</v>
      </c>
      <c r="B129" s="101" t="str">
        <f>Technologies!C127</f>
        <v>XELCR1N</v>
      </c>
      <c r="C129" s="101" t="str">
        <f>Technologies!D127</f>
        <v>Electricity Imports from R1 to R6 -  New</v>
      </c>
      <c r="D129" s="104" t="str">
        <f t="shared" ref="D129:D137" si="71">MID(B129,2,5)</f>
        <v>ELCR1</v>
      </c>
      <c r="E129" s="104" t="str">
        <f>Commodities!$C$28</f>
        <v>ELC</v>
      </c>
      <c r="F129" s="110">
        <v>2010</v>
      </c>
      <c r="G129" s="110">
        <v>50</v>
      </c>
      <c r="H129" s="110">
        <f>AD129/AC129</f>
        <v>0.90909090909090906</v>
      </c>
      <c r="I129" s="110">
        <v>31.536000000000001</v>
      </c>
      <c r="J129" s="110"/>
      <c r="K129" s="150">
        <f>K119</f>
        <v>3128</v>
      </c>
      <c r="L129" s="110">
        <v>1</v>
      </c>
      <c r="M129" s="101">
        <v>0</v>
      </c>
      <c r="N129" s="101">
        <v>10</v>
      </c>
      <c r="O129" s="121">
        <v>0.9</v>
      </c>
      <c r="P129" s="107">
        <f t="shared" ref="P129:R131" si="72">P68</f>
        <v>0.95</v>
      </c>
      <c r="Q129" s="107">
        <f t="shared" si="72"/>
        <v>0.95</v>
      </c>
      <c r="R129" s="107">
        <f t="shared" si="72"/>
        <v>0.95</v>
      </c>
      <c r="S129" s="2">
        <f t="shared" ref="S129:S134" si="73">P129</f>
        <v>0.95</v>
      </c>
      <c r="T129" s="107">
        <f t="shared" ref="T129:V131" si="74">T68</f>
        <v>0.95</v>
      </c>
      <c r="U129" s="107">
        <f t="shared" si="74"/>
        <v>0.95</v>
      </c>
      <c r="V129" s="107">
        <f t="shared" si="74"/>
        <v>0.95</v>
      </c>
      <c r="W129" s="2">
        <f t="shared" ref="W129:W134" si="75">T129</f>
        <v>0.95</v>
      </c>
      <c r="X129" s="107">
        <f t="shared" ref="X129:Z131" si="76">X68</f>
        <v>0.95</v>
      </c>
      <c r="Y129" s="107">
        <f t="shared" si="76"/>
        <v>0.95</v>
      </c>
      <c r="Z129" s="107">
        <f t="shared" si="76"/>
        <v>0.95</v>
      </c>
      <c r="AA129" s="2">
        <f>X129</f>
        <v>0.95</v>
      </c>
      <c r="AC129" s="148">
        <v>1.1000000000000001</v>
      </c>
      <c r="AD129" s="110">
        <v>1</v>
      </c>
      <c r="AF129" s="110">
        <v>0</v>
      </c>
    </row>
    <row r="130" spans="1:32">
      <c r="A130" s="101" t="str">
        <f>Technologies!B128</f>
        <v>* Not Allowed</v>
      </c>
      <c r="B130" s="101" t="str">
        <f>Technologies!C128</f>
        <v>XELCR2N</v>
      </c>
      <c r="C130" s="101" t="str">
        <f>Technologies!D128</f>
        <v>Electricity Imports from R2 to R6 -  New</v>
      </c>
      <c r="D130" s="104" t="str">
        <f t="shared" si="71"/>
        <v>ELCR2</v>
      </c>
      <c r="E130" s="104" t="str">
        <f>Commodities!$C$28</f>
        <v>ELC</v>
      </c>
      <c r="F130" s="110">
        <v>2010</v>
      </c>
      <c r="G130" s="110">
        <v>50</v>
      </c>
      <c r="H130" s="110"/>
      <c r="I130" s="110">
        <v>31.536000000000001</v>
      </c>
      <c r="J130" s="110"/>
      <c r="K130" s="110" t="s">
        <v>96</v>
      </c>
      <c r="L130" s="110" t="s">
        <v>96</v>
      </c>
      <c r="M130" s="101"/>
      <c r="N130" s="101"/>
      <c r="O130" s="121"/>
      <c r="P130" s="107" t="str">
        <f t="shared" si="72"/>
        <v/>
      </c>
      <c r="Q130" s="107" t="str">
        <f t="shared" si="72"/>
        <v/>
      </c>
      <c r="R130" s="107" t="str">
        <f t="shared" si="72"/>
        <v/>
      </c>
      <c r="S130" s="2" t="str">
        <f t="shared" si="73"/>
        <v/>
      </c>
      <c r="T130" s="107" t="str">
        <f t="shared" si="74"/>
        <v/>
      </c>
      <c r="U130" s="107" t="str">
        <f t="shared" si="74"/>
        <v/>
      </c>
      <c r="V130" s="107" t="str">
        <f t="shared" si="74"/>
        <v/>
      </c>
      <c r="W130" s="2" t="str">
        <f t="shared" si="75"/>
        <v/>
      </c>
      <c r="X130" s="107" t="str">
        <f t="shared" si="76"/>
        <v/>
      </c>
      <c r="Y130" s="107" t="str">
        <f t="shared" si="76"/>
        <v/>
      </c>
      <c r="Z130" s="107" t="str">
        <f t="shared" si="76"/>
        <v/>
      </c>
      <c r="AA130" s="2" t="s">
        <v>96</v>
      </c>
      <c r="AC130" s="148" t="s">
        <v>96</v>
      </c>
      <c r="AD130" s="110" t="s">
        <v>96</v>
      </c>
      <c r="AF130" s="101"/>
    </row>
    <row r="131" spans="1:32">
      <c r="A131" s="101" t="str">
        <f>Technologies!B129</f>
        <v>* Not Allowed</v>
      </c>
      <c r="B131" s="101" t="str">
        <f>Technologies!C129</f>
        <v>XELCR3N</v>
      </c>
      <c r="C131" s="101" t="str">
        <f>Technologies!D129</f>
        <v>Electricity Imports from R3 to R6 -  New</v>
      </c>
      <c r="D131" s="104" t="str">
        <f t="shared" si="71"/>
        <v>ELCR3</v>
      </c>
      <c r="E131" s="104" t="str">
        <f>Commodities!$C$28</f>
        <v>ELC</v>
      </c>
      <c r="F131" s="110">
        <v>2010</v>
      </c>
      <c r="G131" s="110">
        <v>50</v>
      </c>
      <c r="H131" s="110"/>
      <c r="I131" s="110">
        <v>31.536000000000001</v>
      </c>
      <c r="J131" s="110"/>
      <c r="K131" s="110" t="s">
        <v>96</v>
      </c>
      <c r="L131" s="110" t="s">
        <v>96</v>
      </c>
      <c r="M131" s="101"/>
      <c r="N131" s="101"/>
      <c r="O131" s="121"/>
      <c r="P131" s="107" t="str">
        <f t="shared" si="72"/>
        <v/>
      </c>
      <c r="Q131" s="107" t="str">
        <f t="shared" si="72"/>
        <v/>
      </c>
      <c r="R131" s="107" t="str">
        <f t="shared" si="72"/>
        <v/>
      </c>
      <c r="S131" s="2" t="str">
        <f t="shared" si="73"/>
        <v/>
      </c>
      <c r="T131" s="107" t="str">
        <f t="shared" si="74"/>
        <v/>
      </c>
      <c r="U131" s="107" t="str">
        <f t="shared" si="74"/>
        <v/>
      </c>
      <c r="V131" s="107" t="str">
        <f t="shared" si="74"/>
        <v/>
      </c>
      <c r="W131" s="2" t="str">
        <f t="shared" si="75"/>
        <v/>
      </c>
      <c r="X131" s="107" t="str">
        <f t="shared" si="76"/>
        <v/>
      </c>
      <c r="Y131" s="107" t="str">
        <f t="shared" si="76"/>
        <v/>
      </c>
      <c r="Z131" s="107" t="str">
        <f t="shared" si="76"/>
        <v/>
      </c>
      <c r="AA131" s="2" t="s">
        <v>96</v>
      </c>
      <c r="AC131" s="148" t="s">
        <v>96</v>
      </c>
      <c r="AD131" s="110" t="s">
        <v>96</v>
      </c>
      <c r="AF131" s="101"/>
    </row>
    <row r="132" spans="1:32">
      <c r="A132" s="101" t="str">
        <f>Technologies!B130</f>
        <v>* Not Allowed</v>
      </c>
      <c r="B132" s="101" t="str">
        <f>Technologies!C130</f>
        <v>XELCR4N</v>
      </c>
      <c r="C132" s="101" t="str">
        <f>Technologies!D130</f>
        <v>Electricity Imports from R4 to R6 -  New</v>
      </c>
      <c r="D132" s="104" t="str">
        <f t="shared" si="71"/>
        <v>ELCR4</v>
      </c>
      <c r="E132" s="104" t="str">
        <f>Commodities!$C$28</f>
        <v>ELC</v>
      </c>
      <c r="F132" s="110">
        <v>2010</v>
      </c>
      <c r="G132" s="110">
        <v>50</v>
      </c>
      <c r="H132" s="110"/>
      <c r="I132" s="110">
        <v>31.536000000000001</v>
      </c>
      <c r="J132" s="110"/>
      <c r="K132" s="111"/>
      <c r="L132" s="110" t="s">
        <v>96</v>
      </c>
      <c r="M132" s="101"/>
      <c r="N132" s="101"/>
      <c r="O132" s="121"/>
      <c r="P132" s="107" t="str">
        <f>P71</f>
        <v/>
      </c>
      <c r="Q132" s="107" t="str">
        <f>P132</f>
        <v/>
      </c>
      <c r="R132" s="107" t="str">
        <f>P132</f>
        <v/>
      </c>
      <c r="S132" s="2" t="str">
        <f t="shared" si="73"/>
        <v/>
      </c>
      <c r="T132" s="107" t="str">
        <f>T71</f>
        <v/>
      </c>
      <c r="U132" s="107" t="str">
        <f>T132</f>
        <v/>
      </c>
      <c r="V132" s="107" t="str">
        <f>T132</f>
        <v/>
      </c>
      <c r="W132" s="2" t="str">
        <f t="shared" si="75"/>
        <v/>
      </c>
      <c r="X132" s="107" t="str">
        <f>X71</f>
        <v/>
      </c>
      <c r="Y132" s="107" t="str">
        <f>X132</f>
        <v/>
      </c>
      <c r="Z132" s="107" t="str">
        <f>X132</f>
        <v/>
      </c>
      <c r="AA132" s="2" t="s">
        <v>96</v>
      </c>
      <c r="AC132" s="148" t="s">
        <v>96</v>
      </c>
      <c r="AD132" s="110" t="s">
        <v>96</v>
      </c>
      <c r="AF132" s="101"/>
    </row>
    <row r="133" spans="1:32">
      <c r="A133" s="101" t="str">
        <f>Technologies!B131</f>
        <v>R6</v>
      </c>
      <c r="B133" s="101" t="str">
        <f>Technologies!C131</f>
        <v>XELCR5N</v>
      </c>
      <c r="C133" s="101" t="str">
        <f>Technologies!D131</f>
        <v>Electricity Imports from R5 to R6 -  New</v>
      </c>
      <c r="D133" s="104" t="str">
        <f t="shared" si="71"/>
        <v>ELCR5</v>
      </c>
      <c r="E133" s="104" t="str">
        <f>Commodities!$C$28</f>
        <v>ELC</v>
      </c>
      <c r="F133" s="110">
        <v>2010</v>
      </c>
      <c r="G133" s="110">
        <v>50</v>
      </c>
      <c r="H133" s="110">
        <f>AD133/AC133</f>
        <v>0.95238095238095233</v>
      </c>
      <c r="I133" s="110">
        <v>31.536000000000001</v>
      </c>
      <c r="J133" s="110"/>
      <c r="K133" s="111">
        <v>500</v>
      </c>
      <c r="L133" s="110">
        <v>1</v>
      </c>
      <c r="M133" s="101">
        <v>1</v>
      </c>
      <c r="N133" s="101">
        <v>10</v>
      </c>
      <c r="O133" s="121"/>
      <c r="P133" s="107">
        <f>P72</f>
        <v>0.95</v>
      </c>
      <c r="Q133" s="107">
        <f>P133</f>
        <v>0.95</v>
      </c>
      <c r="R133" s="107">
        <f>P133</f>
        <v>0.95</v>
      </c>
      <c r="S133" s="2">
        <f t="shared" si="73"/>
        <v>0.95</v>
      </c>
      <c r="T133" s="107">
        <f>T72</f>
        <v>0.95</v>
      </c>
      <c r="U133" s="107">
        <f>T133</f>
        <v>0.95</v>
      </c>
      <c r="V133" s="107">
        <f>T133</f>
        <v>0.95</v>
      </c>
      <c r="W133" s="2">
        <f t="shared" si="75"/>
        <v>0.95</v>
      </c>
      <c r="X133" s="107">
        <f>X72</f>
        <v>0.95</v>
      </c>
      <c r="Y133" s="107">
        <f>X133</f>
        <v>0.95</v>
      </c>
      <c r="Z133" s="107">
        <f>X133</f>
        <v>0.95</v>
      </c>
      <c r="AA133" s="2">
        <f>X133</f>
        <v>0.95</v>
      </c>
      <c r="AC133" s="148">
        <v>1.05</v>
      </c>
      <c r="AD133" s="110">
        <v>1</v>
      </c>
      <c r="AF133" s="110">
        <v>0</v>
      </c>
    </row>
    <row r="134" spans="1:32">
      <c r="A134" s="101" t="str">
        <f>Technologies!B132</f>
        <v>* Not Allowed</v>
      </c>
      <c r="B134" s="101" t="str">
        <f>Technologies!C132</f>
        <v>XELCR6N</v>
      </c>
      <c r="C134" s="101" t="str">
        <f>Technologies!D132</f>
        <v>Electricity Imports from R6 to R6 -  New</v>
      </c>
      <c r="D134" s="104" t="str">
        <f t="shared" si="71"/>
        <v>ELCR6</v>
      </c>
      <c r="E134" s="104" t="str">
        <f>Commodities!$C$28</f>
        <v>ELC</v>
      </c>
      <c r="F134" s="110">
        <v>2010</v>
      </c>
      <c r="G134" s="110">
        <v>50</v>
      </c>
      <c r="H134" s="110"/>
      <c r="I134" s="110">
        <v>31.536000000000001</v>
      </c>
      <c r="J134" s="110"/>
      <c r="K134" s="110" t="s">
        <v>96</v>
      </c>
      <c r="L134" s="110" t="s">
        <v>96</v>
      </c>
      <c r="M134" s="101"/>
      <c r="N134" s="101"/>
      <c r="O134" s="121"/>
      <c r="P134" s="107" t="str">
        <f>P73</f>
        <v/>
      </c>
      <c r="Q134" s="107" t="str">
        <f>Q73</f>
        <v/>
      </c>
      <c r="R134" s="107" t="str">
        <f>R73</f>
        <v/>
      </c>
      <c r="S134" s="2" t="str">
        <f t="shared" si="73"/>
        <v/>
      </c>
      <c r="T134" s="107" t="str">
        <f>T73</f>
        <v/>
      </c>
      <c r="U134" s="107" t="str">
        <f>U73</f>
        <v/>
      </c>
      <c r="V134" s="107" t="str">
        <f>V73</f>
        <v/>
      </c>
      <c r="W134" s="2" t="str">
        <f t="shared" si="75"/>
        <v/>
      </c>
      <c r="X134" s="107" t="str">
        <f>X73</f>
        <v/>
      </c>
      <c r="Y134" s="107" t="str">
        <f>Y73</f>
        <v/>
      </c>
      <c r="Z134" s="107" t="str">
        <f>Z73</f>
        <v/>
      </c>
      <c r="AA134" s="2" t="s">
        <v>96</v>
      </c>
      <c r="AC134" s="148" t="s">
        <v>96</v>
      </c>
      <c r="AD134" s="110" t="s">
        <v>96</v>
      </c>
      <c r="AF134" s="101"/>
    </row>
    <row r="135" spans="1:32">
      <c r="A135" s="101" t="str">
        <f>Technologies!B133</f>
        <v>* Not Allowed</v>
      </c>
      <c r="B135" s="101" t="str">
        <f>Technologies!C133</f>
        <v>XELCR7N</v>
      </c>
      <c r="C135" s="101" t="str">
        <f>Technologies!D133</f>
        <v>Electricity Imports from R7 to R6 -  New</v>
      </c>
      <c r="D135" s="104" t="str">
        <f t="shared" si="71"/>
        <v>ELCR7</v>
      </c>
      <c r="E135" s="104" t="str">
        <f>Commodities!$C$28</f>
        <v>ELC</v>
      </c>
      <c r="F135" s="110">
        <v>2010</v>
      </c>
      <c r="G135" s="110">
        <v>50</v>
      </c>
      <c r="H135" s="110"/>
      <c r="I135" s="110">
        <v>31.536000000000001</v>
      </c>
      <c r="J135" s="110"/>
      <c r="K135" s="111"/>
      <c r="L135" s="110" t="s">
        <v>96</v>
      </c>
      <c r="M135" s="101"/>
      <c r="N135" s="101"/>
      <c r="O135" s="121"/>
      <c r="P135" s="107" t="s">
        <v>96</v>
      </c>
      <c r="Q135" s="107" t="s">
        <v>96</v>
      </c>
      <c r="R135" s="107" t="s">
        <v>96</v>
      </c>
      <c r="S135" s="2" t="s">
        <v>96</v>
      </c>
      <c r="T135" s="107" t="s">
        <v>96</v>
      </c>
      <c r="U135" s="107" t="s">
        <v>96</v>
      </c>
      <c r="V135" s="107" t="s">
        <v>96</v>
      </c>
      <c r="W135" s="2" t="s">
        <v>96</v>
      </c>
      <c r="X135" s="107" t="s">
        <v>96</v>
      </c>
      <c r="Y135" s="107" t="s">
        <v>96</v>
      </c>
      <c r="Z135" s="107" t="s">
        <v>96</v>
      </c>
      <c r="AA135" s="2" t="s">
        <v>96</v>
      </c>
      <c r="AC135" s="148" t="s">
        <v>96</v>
      </c>
      <c r="AD135" s="110" t="s">
        <v>96</v>
      </c>
      <c r="AF135" s="101"/>
    </row>
    <row r="136" spans="1:32">
      <c r="A136" s="101" t="str">
        <f>Technologies!B134</f>
        <v>* Not Allowed</v>
      </c>
      <c r="B136" s="101" t="str">
        <f>Technologies!C134</f>
        <v>XELCR8N</v>
      </c>
      <c r="C136" s="101" t="str">
        <f>Technologies!D134</f>
        <v>Electricity Imports from R8 to R6 -  New</v>
      </c>
      <c r="D136" s="104" t="str">
        <f t="shared" si="71"/>
        <v>ELCR8</v>
      </c>
      <c r="E136" s="104" t="str">
        <f>Commodities!$C$28</f>
        <v>ELC</v>
      </c>
      <c r="F136" s="110">
        <v>2010</v>
      </c>
      <c r="G136" s="110">
        <v>50</v>
      </c>
      <c r="H136" s="110"/>
      <c r="I136" s="110">
        <v>31.536000000000001</v>
      </c>
      <c r="J136" s="110"/>
      <c r="K136" s="111"/>
      <c r="L136" s="110" t="s">
        <v>96</v>
      </c>
      <c r="M136" s="101"/>
      <c r="N136" s="101"/>
      <c r="O136" s="121"/>
      <c r="P136" s="107" t="s">
        <v>96</v>
      </c>
      <c r="Q136" s="107" t="s">
        <v>96</v>
      </c>
      <c r="R136" s="107" t="s">
        <v>96</v>
      </c>
      <c r="S136" s="2" t="s">
        <v>96</v>
      </c>
      <c r="T136" s="107" t="s">
        <v>96</v>
      </c>
      <c r="U136" s="107" t="s">
        <v>96</v>
      </c>
      <c r="V136" s="107" t="s">
        <v>96</v>
      </c>
      <c r="W136" s="2" t="s">
        <v>96</v>
      </c>
      <c r="X136" s="107" t="s">
        <v>96</v>
      </c>
      <c r="Y136" s="107" t="s">
        <v>96</v>
      </c>
      <c r="Z136" s="107" t="s">
        <v>96</v>
      </c>
      <c r="AA136" s="2" t="s">
        <v>96</v>
      </c>
      <c r="AC136" s="148" t="s">
        <v>96</v>
      </c>
      <c r="AD136" s="110" t="s">
        <v>96</v>
      </c>
      <c r="AF136" s="101"/>
    </row>
    <row r="137" spans="1:32">
      <c r="A137" s="101" t="str">
        <f>Technologies!B135</f>
        <v>* Not Allowed</v>
      </c>
      <c r="B137" s="101" t="str">
        <f>Technologies!C135</f>
        <v>XELCR9N</v>
      </c>
      <c r="C137" s="101" t="str">
        <f>Technologies!D135</f>
        <v>Electricity Imports from R9 to R6 -  New</v>
      </c>
      <c r="D137" s="104" t="str">
        <f t="shared" si="71"/>
        <v>ELCR9</v>
      </c>
      <c r="E137" s="104" t="str">
        <f>Commodities!$C$28</f>
        <v>ELC</v>
      </c>
      <c r="F137" s="110">
        <v>2010</v>
      </c>
      <c r="G137" s="110">
        <v>50</v>
      </c>
      <c r="H137" s="110"/>
      <c r="I137" s="110">
        <v>31.536000000000001</v>
      </c>
      <c r="J137" s="110"/>
      <c r="K137" s="110" t="s">
        <v>96</v>
      </c>
      <c r="L137" s="110" t="s">
        <v>96</v>
      </c>
      <c r="M137" s="101"/>
      <c r="N137" s="101"/>
      <c r="O137" s="121"/>
      <c r="P137" s="107" t="s">
        <v>96</v>
      </c>
      <c r="Q137" s="107" t="s">
        <v>96</v>
      </c>
      <c r="R137" s="107" t="s">
        <v>96</v>
      </c>
      <c r="S137" s="2" t="s">
        <v>96</v>
      </c>
      <c r="T137" s="107" t="s">
        <v>96</v>
      </c>
      <c r="U137" s="107" t="s">
        <v>96</v>
      </c>
      <c r="V137" s="107" t="s">
        <v>96</v>
      </c>
      <c r="W137" s="2" t="s">
        <v>96</v>
      </c>
      <c r="X137" s="107" t="s">
        <v>96</v>
      </c>
      <c r="Y137" s="107" t="s">
        <v>96</v>
      </c>
      <c r="Z137" s="107" t="s">
        <v>96</v>
      </c>
      <c r="AA137" s="2" t="s">
        <v>96</v>
      </c>
      <c r="AC137" s="148" t="s">
        <v>96</v>
      </c>
      <c r="AD137" s="110" t="s">
        <v>96</v>
      </c>
      <c r="AF137" s="101"/>
    </row>
    <row r="138" spans="1:32">
      <c r="D138" s="99"/>
      <c r="E138" s="99"/>
    </row>
    <row r="139" spans="1:32">
      <c r="D139" s="99"/>
      <c r="E139" s="99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385A7-A23E-4658-8572-DBD28B639382}">
  <sheetPr>
    <tabColor rgb="FFFFC000"/>
  </sheetPr>
  <dimension ref="A1:AD20"/>
  <sheetViews>
    <sheetView zoomScale="75" workbookViewId="0">
      <pane xSplit="6" ySplit="4" topLeftCell="O5" activePane="bottomRight" state="frozen"/>
      <selection activeCell="A2" sqref="A2"/>
      <selection pane="topRight" activeCell="A2" sqref="A2"/>
      <selection pane="bottomLeft" activeCell="A2" sqref="A2"/>
      <selection pane="bottomRight" activeCell="X28" sqref="X28"/>
    </sheetView>
  </sheetViews>
  <sheetFormatPr defaultColWidth="9.109375" defaultRowHeight="13.2"/>
  <cols>
    <col min="1" max="1" width="9.109375" style="2"/>
    <col min="2" max="2" width="10.33203125" style="2" customWidth="1"/>
    <col min="3" max="3" width="15" style="2" customWidth="1"/>
    <col min="4" max="4" width="47.5546875" style="2" customWidth="1"/>
    <col min="5" max="5" width="15" style="2" customWidth="1"/>
    <col min="6" max="6" width="10.5546875" style="2" customWidth="1"/>
    <col min="7" max="8" width="15" style="107" customWidth="1"/>
    <col min="9" max="9" width="11.5546875" style="107" bestFit="1" customWidth="1"/>
    <col min="10" max="10" width="10.5546875" style="107" customWidth="1"/>
    <col min="11" max="12" width="14.88671875" style="107" customWidth="1"/>
    <col min="13" max="13" width="15.44140625" style="2" bestFit="1" customWidth="1"/>
    <col min="14" max="26" width="15.33203125" style="2" customWidth="1"/>
    <col min="27" max="28" width="16.109375" style="107" customWidth="1"/>
    <col min="29" max="16384" width="9.109375" style="2"/>
  </cols>
  <sheetData>
    <row r="1" spans="2:30">
      <c r="B1" s="1" t="s">
        <v>61</v>
      </c>
      <c r="C1" s="2" t="s">
        <v>162</v>
      </c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</row>
    <row r="2" spans="2:30">
      <c r="K2" s="116"/>
      <c r="L2" s="116"/>
    </row>
    <row r="3" spans="2:30">
      <c r="F3" s="115" t="s">
        <v>299</v>
      </c>
    </row>
    <row r="4" spans="2:30" ht="15.75" customHeight="1">
      <c r="B4" s="98" t="s">
        <v>139</v>
      </c>
      <c r="C4" s="98" t="s">
        <v>7</v>
      </c>
      <c r="D4" s="98" t="s">
        <v>8</v>
      </c>
      <c r="E4" s="98" t="s">
        <v>10</v>
      </c>
      <c r="F4" s="98" t="s">
        <v>11</v>
      </c>
      <c r="G4" s="98" t="s">
        <v>290</v>
      </c>
      <c r="H4" s="132" t="s">
        <v>359</v>
      </c>
      <c r="I4" s="98" t="s">
        <v>351</v>
      </c>
      <c r="J4" s="98" t="s">
        <v>300</v>
      </c>
      <c r="K4" s="98" t="s">
        <v>356</v>
      </c>
      <c r="L4" s="98" t="s">
        <v>357</v>
      </c>
      <c r="M4" s="98" t="s">
        <v>294</v>
      </c>
      <c r="N4" s="132" t="s">
        <v>392</v>
      </c>
      <c r="O4" s="132" t="s">
        <v>393</v>
      </c>
      <c r="P4" s="132" t="s">
        <v>394</v>
      </c>
      <c r="Q4" s="132" t="s">
        <v>395</v>
      </c>
      <c r="R4" s="132" t="s">
        <v>396</v>
      </c>
      <c r="S4" s="132" t="s">
        <v>397</v>
      </c>
      <c r="T4" s="132" t="s">
        <v>401</v>
      </c>
      <c r="U4" s="132" t="s">
        <v>390</v>
      </c>
      <c r="V4" s="132" t="s">
        <v>385</v>
      </c>
      <c r="W4" s="132" t="s">
        <v>386</v>
      </c>
      <c r="X4" s="132" t="s">
        <v>387</v>
      </c>
      <c r="Y4" s="132" t="s">
        <v>400</v>
      </c>
      <c r="Z4" s="132" t="s">
        <v>388</v>
      </c>
      <c r="AA4" s="132" t="s">
        <v>391</v>
      </c>
      <c r="AB4" s="132" t="s">
        <v>407</v>
      </c>
    </row>
    <row r="5" spans="2:30">
      <c r="B5" s="112" t="s">
        <v>78</v>
      </c>
      <c r="C5" s="112"/>
      <c r="D5" s="112"/>
      <c r="E5" s="112"/>
      <c r="F5" s="114"/>
      <c r="G5" s="113"/>
      <c r="H5" s="113"/>
      <c r="I5" s="113"/>
      <c r="J5" s="113"/>
      <c r="K5" s="113"/>
      <c r="L5" s="113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</row>
    <row r="6" spans="2:30">
      <c r="B6" s="121" t="s">
        <v>63</v>
      </c>
      <c r="C6" s="121" t="s">
        <v>376</v>
      </c>
      <c r="D6" s="121" t="s">
        <v>373</v>
      </c>
      <c r="E6" s="121"/>
      <c r="F6" s="104" t="str">
        <f>Commodities!$C$28</f>
        <v>ELC</v>
      </c>
      <c r="G6" s="110">
        <v>2010</v>
      </c>
      <c r="H6" s="110">
        <v>31.54</v>
      </c>
      <c r="I6" s="110">
        <v>50</v>
      </c>
      <c r="J6" s="134">
        <v>1</v>
      </c>
      <c r="K6" s="120">
        <f>MAX(Historical_trade!J4:J12)/1000</f>
        <v>3.101</v>
      </c>
      <c r="L6" s="120">
        <f>K6</f>
        <v>3.101</v>
      </c>
      <c r="M6" s="110"/>
      <c r="N6" s="133">
        <f>Historical_trade!J17*3.6</f>
        <v>12.0389544</v>
      </c>
      <c r="O6" s="133">
        <f>N6</f>
        <v>12.0389544</v>
      </c>
      <c r="P6" s="133">
        <f>Historical_trade!J22*3.6</f>
        <v>40.797910800000004</v>
      </c>
      <c r="Q6" s="133">
        <f t="shared" ref="Q6" si="0">N6*0.95</f>
        <v>11.43700668</v>
      </c>
      <c r="R6" s="133">
        <f t="shared" ref="R6:R11" si="1">O6*0.95</f>
        <v>11.43700668</v>
      </c>
      <c r="S6" s="133">
        <f t="shared" ref="S6:S11" si="2">P6*0.95</f>
        <v>38.758015260000001</v>
      </c>
      <c r="T6" s="133"/>
      <c r="U6" s="133">
        <f t="shared" ref="U6:U11" si="3">K6</f>
        <v>3.101</v>
      </c>
      <c r="V6" s="136">
        <f>Historical_trade!D30/3.6</f>
        <v>10.927602211181643</v>
      </c>
      <c r="W6" s="136">
        <f>V6</f>
        <v>10.927602211181643</v>
      </c>
      <c r="X6" s="136">
        <f>Historical_trade!D35/3.6</f>
        <v>5.8088390638209733</v>
      </c>
      <c r="Y6" s="136">
        <f>W6</f>
        <v>10.927602211181643</v>
      </c>
      <c r="Z6" s="136">
        <f>V6*1.25</f>
        <v>13.659502763977054</v>
      </c>
      <c r="AA6" s="138">
        <f>P6/(K6*H6)</f>
        <v>0.41713292314525341</v>
      </c>
      <c r="AB6" s="138">
        <v>0.5</v>
      </c>
    </row>
    <row r="7" spans="2:30">
      <c r="B7" s="121" t="s">
        <v>63</v>
      </c>
      <c r="C7" s="121" t="s">
        <v>377</v>
      </c>
      <c r="D7" s="121" t="s">
        <v>374</v>
      </c>
      <c r="E7" s="121"/>
      <c r="F7" s="104" t="str">
        <f>Commodities!$C$28</f>
        <v>ELC</v>
      </c>
      <c r="G7" s="110">
        <v>2010</v>
      </c>
      <c r="H7" s="110">
        <v>31.54</v>
      </c>
      <c r="I7" s="110">
        <v>50</v>
      </c>
      <c r="J7" s="110">
        <v>1</v>
      </c>
      <c r="K7" s="120">
        <f>MAX(Historical_trade!K4:K12)/1000</f>
        <v>1.6850000000000001</v>
      </c>
      <c r="L7" s="120">
        <f t="shared" ref="L7:L11" si="4">K7</f>
        <v>1.6850000000000001</v>
      </c>
      <c r="M7" s="110"/>
      <c r="N7" s="133">
        <f>Historical_trade!K17*3.6</f>
        <v>1.4933736</v>
      </c>
      <c r="O7" s="133">
        <f>N7</f>
        <v>1.4933736</v>
      </c>
      <c r="P7" s="133">
        <f>Historical_trade!K22*3.6</f>
        <v>0.5033088</v>
      </c>
      <c r="Q7" s="133">
        <f>N7*0.95</f>
        <v>1.4187049199999999</v>
      </c>
      <c r="R7" s="133">
        <f t="shared" si="1"/>
        <v>1.4187049199999999</v>
      </c>
      <c r="S7" s="133">
        <f t="shared" si="2"/>
        <v>0.47814335999999996</v>
      </c>
      <c r="T7" s="133"/>
      <c r="U7" s="133">
        <f t="shared" si="3"/>
        <v>1.6850000000000001</v>
      </c>
      <c r="V7" s="136">
        <f>Historical_trade!E30/3.6</f>
        <v>12.503432430992682</v>
      </c>
      <c r="W7" s="136">
        <f>V7</f>
        <v>12.503432430992682</v>
      </c>
      <c r="X7" s="136">
        <f>Historical_trade!E35/3.6</f>
        <v>6.1491643059228442</v>
      </c>
      <c r="Y7" s="136">
        <f t="shared" ref="Y7:Y20" si="5">W7</f>
        <v>12.503432430992682</v>
      </c>
      <c r="Z7" s="136">
        <f>V7*1.25</f>
        <v>15.629290538740852</v>
      </c>
      <c r="AA7" s="138">
        <f>U7/(K7*H7)</f>
        <v>3.1705770450221944E-2</v>
      </c>
      <c r="AB7" s="138">
        <v>0.5</v>
      </c>
    </row>
    <row r="8" spans="2:30">
      <c r="B8" s="121" t="s">
        <v>63</v>
      </c>
      <c r="C8" s="121" t="s">
        <v>378</v>
      </c>
      <c r="D8" s="121" t="s">
        <v>375</v>
      </c>
      <c r="E8" s="121"/>
      <c r="F8" s="104" t="str">
        <f>Commodities!$C$28</f>
        <v>ELC</v>
      </c>
      <c r="G8" s="110">
        <v>2010</v>
      </c>
      <c r="H8" s="110">
        <v>31.54</v>
      </c>
      <c r="I8" s="110">
        <v>50</v>
      </c>
      <c r="J8" s="110">
        <v>1</v>
      </c>
      <c r="K8" s="120">
        <f>MAX(Historical_trade!L4:L12)/1000</f>
        <v>3.5030000000000001</v>
      </c>
      <c r="L8" s="120">
        <f t="shared" si="4"/>
        <v>3.5030000000000001</v>
      </c>
      <c r="M8" s="110"/>
      <c r="N8" s="133">
        <f>Historical_trade!L17*3.6</f>
        <v>30.135949200000002</v>
      </c>
      <c r="O8" s="133">
        <f>N8</f>
        <v>30.135949200000002</v>
      </c>
      <c r="P8" s="133">
        <f>Historical_trade!L22*3.6</f>
        <v>62.450154000000005</v>
      </c>
      <c r="Q8" s="133">
        <f t="shared" ref="Q8:Q11" si="6">N8*0.95</f>
        <v>28.629151740000001</v>
      </c>
      <c r="R8" s="133">
        <f t="shared" si="1"/>
        <v>28.629151740000001</v>
      </c>
      <c r="S8" s="133">
        <f t="shared" si="2"/>
        <v>59.327646300000005</v>
      </c>
      <c r="T8" s="133"/>
      <c r="U8" s="133">
        <f t="shared" si="3"/>
        <v>3.5030000000000001</v>
      </c>
      <c r="V8" s="136">
        <f>Historical_trade!F30/3.6</f>
        <v>10.927602211181643</v>
      </c>
      <c r="W8" s="136">
        <f>V8</f>
        <v>10.927602211181643</v>
      </c>
      <c r="X8" s="136">
        <f>Historical_trade!F35/3.6</f>
        <v>5.8088390638209733</v>
      </c>
      <c r="Y8" s="136">
        <f t="shared" si="5"/>
        <v>10.927602211181643</v>
      </c>
      <c r="Z8" s="136">
        <f>V8*1.25</f>
        <v>13.659502763977054</v>
      </c>
      <c r="AA8" s="138">
        <f>P8/(K8*H8)</f>
        <v>0.56523843771196391</v>
      </c>
      <c r="AB8" s="138">
        <v>0.5</v>
      </c>
      <c r="AD8" s="139"/>
    </row>
    <row r="9" spans="2:30">
      <c r="B9" s="121" t="s">
        <v>63</v>
      </c>
      <c r="C9" s="121" t="s">
        <v>379</v>
      </c>
      <c r="D9" s="121" t="s">
        <v>382</v>
      </c>
      <c r="E9" s="104" t="str">
        <f>Commodities!$C$28</f>
        <v>ELC</v>
      </c>
      <c r="F9" s="121"/>
      <c r="G9" s="110">
        <v>2010</v>
      </c>
      <c r="H9" s="110">
        <v>31.54</v>
      </c>
      <c r="I9" s="110">
        <v>50</v>
      </c>
      <c r="J9" s="110">
        <v>1</v>
      </c>
      <c r="K9" s="120">
        <f>MAX(Historical_trade!D4:D12)/1000</f>
        <v>0.97499999999999998</v>
      </c>
      <c r="L9" s="120">
        <f t="shared" si="4"/>
        <v>0.97499999999999998</v>
      </c>
      <c r="M9" s="110"/>
      <c r="N9" s="133">
        <f>Historical_trade!D17*3.6</f>
        <v>0.48233519999999996</v>
      </c>
      <c r="O9" s="133">
        <f>N9</f>
        <v>0.48233519999999996</v>
      </c>
      <c r="P9" s="133">
        <f>Historical_trade!D22*3.6</f>
        <v>5.274E-3</v>
      </c>
      <c r="Q9" s="133">
        <f t="shared" si="6"/>
        <v>0.45821843999999995</v>
      </c>
      <c r="R9" s="133">
        <f t="shared" si="1"/>
        <v>0.45821843999999995</v>
      </c>
      <c r="S9" s="133">
        <f t="shared" si="2"/>
        <v>5.0102999999999996E-3</v>
      </c>
      <c r="T9" s="133"/>
      <c r="U9" s="133">
        <f t="shared" si="3"/>
        <v>0.97499999999999998</v>
      </c>
      <c r="V9" s="136">
        <f>-V6</f>
        <v>-10.927602211181643</v>
      </c>
      <c r="W9" s="136">
        <f t="shared" ref="W9:Z9" si="7">-W6</f>
        <v>-10.927602211181643</v>
      </c>
      <c r="X9" s="136">
        <f t="shared" si="7"/>
        <v>-5.8088390638209733</v>
      </c>
      <c r="Y9" s="136">
        <f t="shared" si="5"/>
        <v>-10.927602211181643</v>
      </c>
      <c r="Z9" s="136">
        <f t="shared" si="7"/>
        <v>-13.659502763977054</v>
      </c>
      <c r="AA9" s="138">
        <f>U9/(K9*H9)</f>
        <v>3.1705770450221937E-2</v>
      </c>
      <c r="AB9" s="138"/>
    </row>
    <row r="10" spans="2:30">
      <c r="B10" s="121" t="s">
        <v>63</v>
      </c>
      <c r="C10" s="121" t="s">
        <v>380</v>
      </c>
      <c r="D10" s="121" t="s">
        <v>383</v>
      </c>
      <c r="E10" s="104" t="str">
        <f>Commodities!$C$28</f>
        <v>ELC</v>
      </c>
      <c r="F10" s="121"/>
      <c r="G10" s="110">
        <v>2010</v>
      </c>
      <c r="H10" s="110">
        <v>31.54</v>
      </c>
      <c r="I10" s="110">
        <v>50</v>
      </c>
      <c r="J10" s="110">
        <v>1</v>
      </c>
      <c r="K10" s="120">
        <f>MAX(Historical_trade!E4:E12)/1000</f>
        <v>1.9239999999999999</v>
      </c>
      <c r="L10" s="120">
        <f t="shared" si="4"/>
        <v>1.9239999999999999</v>
      </c>
      <c r="M10" s="110"/>
      <c r="N10" s="133">
        <f>Historical_trade!E17*3.6</f>
        <v>7.3669967999999999</v>
      </c>
      <c r="O10" s="133">
        <f t="shared" ref="O10:O11" si="8">N10</f>
        <v>7.3669967999999999</v>
      </c>
      <c r="P10" s="133">
        <f>Historical_trade!E22*3.6</f>
        <v>25.891012800000002</v>
      </c>
      <c r="Q10" s="133">
        <f t="shared" si="6"/>
        <v>6.9986469599999994</v>
      </c>
      <c r="R10" s="133">
        <f t="shared" si="1"/>
        <v>6.9986469599999994</v>
      </c>
      <c r="S10" s="133">
        <f t="shared" si="2"/>
        <v>24.596462160000002</v>
      </c>
      <c r="T10" s="133"/>
      <c r="U10" s="133">
        <f t="shared" si="3"/>
        <v>1.9239999999999999</v>
      </c>
      <c r="V10" s="136">
        <f t="shared" ref="V10:Z11" si="9">-V7</f>
        <v>-12.503432430992682</v>
      </c>
      <c r="W10" s="136">
        <f t="shared" si="9"/>
        <v>-12.503432430992682</v>
      </c>
      <c r="X10" s="136">
        <f t="shared" si="9"/>
        <v>-6.1491643059228442</v>
      </c>
      <c r="Y10" s="136">
        <f t="shared" si="5"/>
        <v>-12.503432430992682</v>
      </c>
      <c r="Z10" s="136">
        <f t="shared" si="9"/>
        <v>-15.629290538740852</v>
      </c>
      <c r="AA10" s="138">
        <f>P10/(K10*H10)</f>
        <v>0.42666034748469761</v>
      </c>
      <c r="AB10" s="138"/>
    </row>
    <row r="11" spans="2:30">
      <c r="B11" s="121" t="s">
        <v>63</v>
      </c>
      <c r="C11" s="121" t="s">
        <v>381</v>
      </c>
      <c r="D11" s="121" t="s">
        <v>384</v>
      </c>
      <c r="E11" s="104" t="str">
        <f>Commodities!$C$28</f>
        <v>ELC</v>
      </c>
      <c r="F11" s="121"/>
      <c r="G11" s="110">
        <v>2010</v>
      </c>
      <c r="H11" s="110">
        <v>31.54</v>
      </c>
      <c r="I11" s="110">
        <v>50</v>
      </c>
      <c r="J11" s="110">
        <v>1</v>
      </c>
      <c r="K11" s="120">
        <f>MAX(Historical_trade!F4:F12)/1000</f>
        <v>1.347</v>
      </c>
      <c r="L11" s="120">
        <f t="shared" si="4"/>
        <v>1.347</v>
      </c>
      <c r="M11" s="110"/>
      <c r="N11" s="133">
        <f>Historical_trade!F17*3.6</f>
        <v>3.6000000000000001E-5</v>
      </c>
      <c r="O11" s="133">
        <f t="shared" si="8"/>
        <v>3.6000000000000001E-5</v>
      </c>
      <c r="P11" s="133">
        <f>Historical_trade!F22*3.6</f>
        <v>0</v>
      </c>
      <c r="Q11" s="133">
        <f t="shared" si="6"/>
        <v>3.4199999999999998E-5</v>
      </c>
      <c r="R11" s="133">
        <f t="shared" si="1"/>
        <v>3.4199999999999998E-5</v>
      </c>
      <c r="S11" s="133">
        <f t="shared" si="2"/>
        <v>0</v>
      </c>
      <c r="T11" s="133"/>
      <c r="U11" s="133">
        <f t="shared" si="3"/>
        <v>1.347</v>
      </c>
      <c r="V11" s="136">
        <f t="shared" si="9"/>
        <v>-10.927602211181643</v>
      </c>
      <c r="W11" s="136">
        <f t="shared" si="9"/>
        <v>-10.927602211181643</v>
      </c>
      <c r="X11" s="136">
        <f t="shared" si="9"/>
        <v>-5.8088390638209733</v>
      </c>
      <c r="Y11" s="136">
        <f t="shared" si="5"/>
        <v>-10.927602211181643</v>
      </c>
      <c r="Z11" s="136">
        <f t="shared" si="9"/>
        <v>-13.659502763977054</v>
      </c>
      <c r="AA11" s="138">
        <f>U11/(K11*H11)</f>
        <v>3.1705770450221937E-2</v>
      </c>
      <c r="AB11" s="138"/>
    </row>
    <row r="12" spans="2:30">
      <c r="B12" s="112" t="s">
        <v>79</v>
      </c>
      <c r="C12" s="112"/>
      <c r="D12" s="112"/>
      <c r="E12" s="112"/>
      <c r="F12" s="114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</row>
    <row r="13" spans="2:30">
      <c r="B13" s="121" t="s">
        <v>63</v>
      </c>
      <c r="C13" s="101" t="str">
        <f>C6&amp;"N"</f>
        <v>XELCIMPPJMN</v>
      </c>
      <c r="D13" s="121" t="s">
        <v>373</v>
      </c>
      <c r="E13" s="121"/>
      <c r="F13" s="104" t="str">
        <f>Commodities!$C$28</f>
        <v>ELC</v>
      </c>
      <c r="G13" s="110">
        <v>2025</v>
      </c>
      <c r="H13" s="110">
        <v>31.54</v>
      </c>
      <c r="I13" s="110">
        <v>50</v>
      </c>
      <c r="J13" s="110">
        <v>1</v>
      </c>
      <c r="K13" s="110"/>
      <c r="L13" s="110"/>
      <c r="M13" s="110">
        <v>999</v>
      </c>
      <c r="N13" s="110"/>
      <c r="O13" s="110"/>
      <c r="P13" s="110"/>
      <c r="Q13" s="110"/>
      <c r="R13" s="110"/>
      <c r="S13" s="110"/>
      <c r="T13" s="110"/>
      <c r="U13" s="137">
        <f>K6*0.25</f>
        <v>0.77524999999999999</v>
      </c>
      <c r="V13" s="136">
        <f>V6</f>
        <v>10.927602211181643</v>
      </c>
      <c r="W13" s="136">
        <f t="shared" ref="W13:Z13" si="10">W6</f>
        <v>10.927602211181643</v>
      </c>
      <c r="X13" s="136">
        <f t="shared" si="10"/>
        <v>5.8088390638209733</v>
      </c>
      <c r="Y13" s="136">
        <f t="shared" si="5"/>
        <v>10.927602211181643</v>
      </c>
      <c r="Z13" s="136">
        <f t="shared" si="10"/>
        <v>13.659502763977054</v>
      </c>
      <c r="AA13" s="138">
        <f>1/3</f>
        <v>0.33333333333333331</v>
      </c>
      <c r="AB13" s="138">
        <v>0.5</v>
      </c>
    </row>
    <row r="14" spans="2:30" s="107" customFormat="1">
      <c r="B14" s="121" t="s">
        <v>63</v>
      </c>
      <c r="C14" s="101" t="str">
        <f>C7&amp;"N"</f>
        <v>XELCIMPNEN</v>
      </c>
      <c r="D14" s="121" t="s">
        <v>374</v>
      </c>
      <c r="E14" s="121"/>
      <c r="F14" s="104" t="str">
        <f>Commodities!$C$28</f>
        <v>ELC</v>
      </c>
      <c r="G14" s="110">
        <v>2025</v>
      </c>
      <c r="H14" s="110">
        <v>31.54</v>
      </c>
      <c r="I14" s="110">
        <v>50</v>
      </c>
      <c r="J14" s="110">
        <v>1</v>
      </c>
      <c r="K14" s="110"/>
      <c r="L14" s="110"/>
      <c r="M14" s="110">
        <v>999</v>
      </c>
      <c r="N14" s="110"/>
      <c r="O14" s="110"/>
      <c r="P14" s="110"/>
      <c r="Q14" s="110"/>
      <c r="R14" s="110"/>
      <c r="S14" s="110"/>
      <c r="T14" s="110"/>
      <c r="U14" s="137">
        <f>K7*0.25</f>
        <v>0.42125000000000001</v>
      </c>
      <c r="V14" s="136">
        <f t="shared" ref="V14:Z14" si="11">V7</f>
        <v>12.503432430992682</v>
      </c>
      <c r="W14" s="136">
        <f t="shared" si="11"/>
        <v>12.503432430992682</v>
      </c>
      <c r="X14" s="136">
        <f t="shared" si="11"/>
        <v>6.1491643059228442</v>
      </c>
      <c r="Y14" s="136">
        <f t="shared" si="5"/>
        <v>12.503432430992682</v>
      </c>
      <c r="Z14" s="136">
        <f t="shared" si="11"/>
        <v>15.629290538740852</v>
      </c>
      <c r="AA14" s="138">
        <f t="shared" ref="AA14:AA18" si="12">1/3</f>
        <v>0.33333333333333331</v>
      </c>
      <c r="AB14" s="138">
        <v>0.5</v>
      </c>
    </row>
    <row r="15" spans="2:30" s="107" customFormat="1">
      <c r="B15" s="121" t="s">
        <v>63</v>
      </c>
      <c r="C15" s="101" t="str">
        <f>C8&amp;"N"</f>
        <v>XELCIMPCAN</v>
      </c>
      <c r="D15" s="121" t="s">
        <v>375</v>
      </c>
      <c r="E15" s="121"/>
      <c r="F15" s="104" t="str">
        <f>Commodities!$C$28</f>
        <v>ELC</v>
      </c>
      <c r="G15" s="110">
        <v>2025</v>
      </c>
      <c r="H15" s="110">
        <v>31.54</v>
      </c>
      <c r="I15" s="110">
        <v>50</v>
      </c>
      <c r="J15" s="110">
        <v>1</v>
      </c>
      <c r="K15" s="110"/>
      <c r="L15" s="110"/>
      <c r="M15" s="110">
        <v>999</v>
      </c>
      <c r="N15" s="110"/>
      <c r="O15" s="110"/>
      <c r="P15" s="110"/>
      <c r="Q15" s="110"/>
      <c r="R15" s="110"/>
      <c r="S15" s="110"/>
      <c r="T15" s="110"/>
      <c r="U15" s="137">
        <f>K8*0.5</f>
        <v>1.7515000000000001</v>
      </c>
      <c r="V15" s="136">
        <f t="shared" ref="V15:Z15" si="13">V8</f>
        <v>10.927602211181643</v>
      </c>
      <c r="W15" s="136">
        <f t="shared" si="13"/>
        <v>10.927602211181643</v>
      </c>
      <c r="X15" s="136">
        <f t="shared" si="13"/>
        <v>5.8088390638209733</v>
      </c>
      <c r="Y15" s="136">
        <f t="shared" si="5"/>
        <v>10.927602211181643</v>
      </c>
      <c r="Z15" s="136">
        <f t="shared" si="13"/>
        <v>13.659502763977054</v>
      </c>
      <c r="AA15" s="138">
        <f t="shared" si="12"/>
        <v>0.33333333333333331</v>
      </c>
      <c r="AB15" s="138">
        <v>0.5</v>
      </c>
    </row>
    <row r="16" spans="2:30" s="107" customFormat="1">
      <c r="B16" s="121" t="s">
        <v>63</v>
      </c>
      <c r="C16" s="101" t="str">
        <f t="shared" ref="C16:C18" si="14">C9&amp;"N"</f>
        <v>XELCEXPPJMN</v>
      </c>
      <c r="D16" s="121" t="s">
        <v>382</v>
      </c>
      <c r="E16" s="104" t="str">
        <f>Commodities!$C$28</f>
        <v>ELC</v>
      </c>
      <c r="F16" s="121"/>
      <c r="G16" s="110">
        <v>2025</v>
      </c>
      <c r="H16" s="110">
        <v>31.54</v>
      </c>
      <c r="I16" s="110">
        <v>50</v>
      </c>
      <c r="J16" s="110">
        <v>1</v>
      </c>
      <c r="K16" s="110"/>
      <c r="L16" s="110"/>
      <c r="M16" s="110">
        <v>1000</v>
      </c>
      <c r="N16" s="110"/>
      <c r="O16" s="110"/>
      <c r="P16" s="110"/>
      <c r="Q16" s="110"/>
      <c r="R16" s="110"/>
      <c r="S16" s="110"/>
      <c r="T16" s="110"/>
      <c r="U16" s="137">
        <f>K9*0.25</f>
        <v>0.24374999999999999</v>
      </c>
      <c r="V16" s="136">
        <f>V9</f>
        <v>-10.927602211181643</v>
      </c>
      <c r="W16" s="136">
        <f t="shared" ref="W16:Z16" si="15">W9</f>
        <v>-10.927602211181643</v>
      </c>
      <c r="X16" s="136">
        <f t="shared" si="15"/>
        <v>-5.8088390638209733</v>
      </c>
      <c r="Y16" s="136">
        <f t="shared" si="5"/>
        <v>-10.927602211181643</v>
      </c>
      <c r="Z16" s="136">
        <f t="shared" si="15"/>
        <v>-13.659502763977054</v>
      </c>
      <c r="AA16" s="138">
        <f t="shared" si="12"/>
        <v>0.33333333333333331</v>
      </c>
      <c r="AB16" s="138"/>
    </row>
    <row r="17" spans="1:28" s="107" customFormat="1">
      <c r="B17" s="121" t="s">
        <v>63</v>
      </c>
      <c r="C17" s="101" t="str">
        <f t="shared" si="14"/>
        <v>XELCEXPNEN</v>
      </c>
      <c r="D17" s="121" t="s">
        <v>383</v>
      </c>
      <c r="E17" s="104" t="str">
        <f>Commodities!$C$28</f>
        <v>ELC</v>
      </c>
      <c r="F17" s="121"/>
      <c r="G17" s="110">
        <v>2025</v>
      </c>
      <c r="H17" s="110">
        <v>31.54</v>
      </c>
      <c r="I17" s="110">
        <v>50</v>
      </c>
      <c r="J17" s="110">
        <v>1</v>
      </c>
      <c r="K17" s="110"/>
      <c r="L17" s="110"/>
      <c r="M17" s="110">
        <v>1001</v>
      </c>
      <c r="N17" s="110"/>
      <c r="O17" s="110"/>
      <c r="P17" s="110"/>
      <c r="Q17" s="110"/>
      <c r="R17" s="110"/>
      <c r="S17" s="110"/>
      <c r="T17" s="110"/>
      <c r="U17" s="137">
        <f>K10*0.25</f>
        <v>0.48099999999999998</v>
      </c>
      <c r="V17" s="136">
        <f t="shared" ref="V17:Z17" si="16">V10</f>
        <v>-12.503432430992682</v>
      </c>
      <c r="W17" s="136">
        <f t="shared" si="16"/>
        <v>-12.503432430992682</v>
      </c>
      <c r="X17" s="136">
        <f t="shared" si="16"/>
        <v>-6.1491643059228442</v>
      </c>
      <c r="Y17" s="136">
        <f t="shared" si="5"/>
        <v>-12.503432430992682</v>
      </c>
      <c r="Z17" s="136">
        <f t="shared" si="16"/>
        <v>-15.629290538740852</v>
      </c>
      <c r="AA17" s="138">
        <f t="shared" si="12"/>
        <v>0.33333333333333331</v>
      </c>
      <c r="AB17" s="138"/>
    </row>
    <row r="18" spans="1:28">
      <c r="A18" s="107"/>
      <c r="B18" s="121" t="s">
        <v>63</v>
      </c>
      <c r="C18" s="101" t="str">
        <f t="shared" si="14"/>
        <v>XELCEXPCAN</v>
      </c>
      <c r="D18" s="121" t="s">
        <v>384</v>
      </c>
      <c r="E18" s="104" t="str">
        <f>Commodities!$C$28</f>
        <v>ELC</v>
      </c>
      <c r="F18" s="121"/>
      <c r="G18" s="110">
        <v>2025</v>
      </c>
      <c r="H18" s="110">
        <v>31.54</v>
      </c>
      <c r="I18" s="110">
        <v>50</v>
      </c>
      <c r="J18" s="110">
        <v>1</v>
      </c>
      <c r="K18" s="110"/>
      <c r="L18" s="110"/>
      <c r="M18" s="110">
        <v>1002</v>
      </c>
      <c r="N18" s="110"/>
      <c r="O18" s="110"/>
      <c r="P18" s="110"/>
      <c r="Q18" s="110"/>
      <c r="R18" s="110"/>
      <c r="S18" s="110"/>
      <c r="T18" s="110"/>
      <c r="U18" s="137">
        <f>K11*0.5</f>
        <v>0.67349999999999999</v>
      </c>
      <c r="V18" s="136">
        <f t="shared" ref="V18:Z18" si="17">V11</f>
        <v>-10.927602211181643</v>
      </c>
      <c r="W18" s="136">
        <f t="shared" si="17"/>
        <v>-10.927602211181643</v>
      </c>
      <c r="X18" s="136">
        <f t="shared" si="17"/>
        <v>-5.8088390638209733</v>
      </c>
      <c r="Y18" s="136">
        <f t="shared" si="5"/>
        <v>-10.927602211181643</v>
      </c>
      <c r="Z18" s="136">
        <f t="shared" si="17"/>
        <v>-13.659502763977054</v>
      </c>
      <c r="AA18" s="138">
        <f t="shared" si="12"/>
        <v>0.33333333333333331</v>
      </c>
      <c r="AB18" s="138"/>
    </row>
    <row r="19" spans="1:28">
      <c r="B19" s="112" t="s">
        <v>78</v>
      </c>
      <c r="C19" s="112"/>
      <c r="D19" s="112"/>
      <c r="E19" s="112"/>
      <c r="F19" s="114"/>
      <c r="G19" s="113"/>
      <c r="H19" s="113"/>
      <c r="I19" s="113"/>
      <c r="J19" s="113"/>
      <c r="K19" s="113"/>
      <c r="L19" s="113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</row>
    <row r="20" spans="1:28">
      <c r="B20" s="121" t="s">
        <v>65</v>
      </c>
      <c r="C20" s="121" t="s">
        <v>398</v>
      </c>
      <c r="D20" s="121" t="s">
        <v>406</v>
      </c>
      <c r="E20" s="121"/>
      <c r="F20" s="104" t="str">
        <f>Commodities!$C$28</f>
        <v>ELC</v>
      </c>
      <c r="G20" s="110">
        <v>2010</v>
      </c>
      <c r="H20" s="110">
        <v>31.54</v>
      </c>
      <c r="I20" s="110">
        <v>50</v>
      </c>
      <c r="J20" s="134">
        <v>1</v>
      </c>
      <c r="K20" s="120">
        <f>Historical_trade!M4/1000</f>
        <v>1</v>
      </c>
      <c r="L20" s="120">
        <f>K20</f>
        <v>1</v>
      </c>
      <c r="M20" s="110"/>
      <c r="N20" s="133">
        <f>Historical_trade!S17*3.6</f>
        <v>18.215999999999998</v>
      </c>
      <c r="O20" s="133">
        <f>N20</f>
        <v>18.215999999999998</v>
      </c>
      <c r="P20" s="133">
        <f>Historical_trade!S25*3.6</f>
        <v>18.215999999999998</v>
      </c>
      <c r="Q20" s="133">
        <f t="shared" ref="Q20" si="18">N20*0.95</f>
        <v>17.305199999999996</v>
      </c>
      <c r="R20" s="133">
        <f t="shared" ref="R20" si="19">O20*0.95</f>
        <v>17.305199999999996</v>
      </c>
      <c r="S20" s="133">
        <f t="shared" ref="S20" si="20">P20*0.95</f>
        <v>17.305199999999996</v>
      </c>
      <c r="T20" s="133">
        <f>S20</f>
        <v>17.305199999999996</v>
      </c>
      <c r="U20" s="133">
        <f t="shared" ref="U20" si="21">K20</f>
        <v>1</v>
      </c>
      <c r="V20" s="136">
        <f>Historical_trade!D30/3.6</f>
        <v>10.927602211181643</v>
      </c>
      <c r="W20" s="136">
        <f>V20</f>
        <v>10.927602211181643</v>
      </c>
      <c r="X20" s="136">
        <f>Historical_trade!D35/3.6</f>
        <v>5.8088390638209733</v>
      </c>
      <c r="Y20" s="136">
        <f t="shared" si="5"/>
        <v>10.927602211181643</v>
      </c>
      <c r="Z20" s="136">
        <f>V20*1.25</f>
        <v>13.659502763977054</v>
      </c>
      <c r="AA20" s="138">
        <f>P20/(K20*H20)</f>
        <v>0.57755231452124278</v>
      </c>
      <c r="AB20" s="138">
        <v>0.5</v>
      </c>
    </row>
  </sheetData>
  <phoneticPr fontId="70" type="noConversion"/>
  <pageMargins left="0.75" right="0.75" top="1" bottom="1" header="0.5" footer="0.5"/>
  <pageSetup paperSize="9" orientation="landscape" horizontalDpi="1200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0671B-A51E-40E4-9EA0-7BD266EBD83D}">
  <dimension ref="A1:S38"/>
  <sheetViews>
    <sheetView topLeftCell="A10" workbookViewId="0">
      <selection activeCell="H34" sqref="H34"/>
    </sheetView>
  </sheetViews>
  <sheetFormatPr defaultRowHeight="13.2"/>
  <cols>
    <col min="3" max="3" width="15" customWidth="1"/>
  </cols>
  <sheetData>
    <row r="1" spans="1:19">
      <c r="A1" s="131" t="s">
        <v>362</v>
      </c>
    </row>
    <row r="2" spans="1:19">
      <c r="C2" s="1" t="s">
        <v>363</v>
      </c>
      <c r="I2" s="1" t="s">
        <v>364</v>
      </c>
    </row>
    <row r="3" spans="1:19">
      <c r="C3" t="s">
        <v>212</v>
      </c>
      <c r="D3" t="s">
        <v>365</v>
      </c>
      <c r="E3" t="s">
        <v>87</v>
      </c>
      <c r="F3" t="s">
        <v>366</v>
      </c>
      <c r="G3" s="109" t="s">
        <v>399</v>
      </c>
      <c r="I3" t="s">
        <v>212</v>
      </c>
      <c r="J3" t="s">
        <v>365</v>
      </c>
      <c r="K3" t="s">
        <v>87</v>
      </c>
      <c r="L3" t="s">
        <v>366</v>
      </c>
      <c r="M3" s="109" t="s">
        <v>399</v>
      </c>
    </row>
    <row r="4" spans="1:19">
      <c r="C4">
        <v>2015</v>
      </c>
      <c r="D4">
        <v>975</v>
      </c>
      <c r="E4">
        <v>1753</v>
      </c>
      <c r="F4">
        <v>10</v>
      </c>
      <c r="G4">
        <v>0</v>
      </c>
      <c r="I4">
        <v>2015</v>
      </c>
      <c r="J4">
        <v>1868</v>
      </c>
      <c r="K4">
        <v>1291</v>
      </c>
      <c r="L4">
        <v>3398</v>
      </c>
      <c r="M4" s="135">
        <v>1000</v>
      </c>
      <c r="O4" s="135"/>
    </row>
    <row r="5" spans="1:19">
      <c r="C5">
        <v>2016</v>
      </c>
      <c r="D5">
        <v>846</v>
      </c>
      <c r="E5">
        <v>1657</v>
      </c>
      <c r="F5">
        <v>0</v>
      </c>
      <c r="G5">
        <v>0</v>
      </c>
      <c r="I5">
        <v>2016</v>
      </c>
      <c r="J5">
        <v>2083</v>
      </c>
      <c r="K5">
        <v>1353</v>
      </c>
      <c r="L5">
        <v>3503</v>
      </c>
      <c r="M5" s="135">
        <v>1000</v>
      </c>
      <c r="O5" s="135"/>
    </row>
    <row r="6" spans="1:19">
      <c r="C6">
        <v>2017</v>
      </c>
      <c r="D6">
        <v>940</v>
      </c>
      <c r="E6">
        <v>1708</v>
      </c>
      <c r="F6">
        <v>0</v>
      </c>
      <c r="G6">
        <v>0</v>
      </c>
      <c r="I6">
        <v>2017</v>
      </c>
      <c r="J6">
        <v>2522</v>
      </c>
      <c r="K6">
        <v>1685</v>
      </c>
      <c r="L6">
        <v>3392</v>
      </c>
      <c r="M6" s="135">
        <v>1000</v>
      </c>
      <c r="O6" s="135"/>
    </row>
    <row r="7" spans="1:19">
      <c r="C7">
        <v>2018</v>
      </c>
      <c r="D7">
        <v>936</v>
      </c>
      <c r="E7">
        <v>1769</v>
      </c>
      <c r="F7">
        <v>193</v>
      </c>
      <c r="G7">
        <v>0</v>
      </c>
      <c r="I7">
        <v>2018</v>
      </c>
      <c r="J7">
        <v>2406</v>
      </c>
      <c r="K7">
        <v>1678</v>
      </c>
      <c r="L7">
        <v>3310</v>
      </c>
      <c r="M7" s="135">
        <v>1000</v>
      </c>
      <c r="O7" s="135"/>
    </row>
    <row r="8" spans="1:19">
      <c r="C8">
        <v>2019</v>
      </c>
      <c r="D8">
        <v>381</v>
      </c>
      <c r="E8">
        <v>1875</v>
      </c>
      <c r="F8">
        <v>0</v>
      </c>
      <c r="G8">
        <v>0</v>
      </c>
      <c r="I8">
        <v>2019</v>
      </c>
      <c r="J8">
        <v>2663</v>
      </c>
      <c r="K8">
        <v>1480</v>
      </c>
      <c r="L8">
        <v>3226</v>
      </c>
      <c r="M8" s="135">
        <v>1000</v>
      </c>
      <c r="O8" s="135"/>
    </row>
    <row r="9" spans="1:19">
      <c r="C9">
        <v>2020</v>
      </c>
      <c r="D9">
        <v>282</v>
      </c>
      <c r="E9">
        <v>1788</v>
      </c>
      <c r="F9">
        <v>0</v>
      </c>
      <c r="G9">
        <v>0</v>
      </c>
      <c r="I9">
        <v>2020</v>
      </c>
      <c r="J9">
        <v>2675</v>
      </c>
      <c r="K9">
        <v>1217</v>
      </c>
      <c r="L9">
        <f>L8</f>
        <v>3226</v>
      </c>
      <c r="M9" s="135">
        <v>1000</v>
      </c>
      <c r="O9" s="135"/>
    </row>
    <row r="10" spans="1:19">
      <c r="C10">
        <v>2021</v>
      </c>
      <c r="D10">
        <v>281</v>
      </c>
      <c r="E10">
        <v>1819</v>
      </c>
      <c r="F10">
        <v>47</v>
      </c>
      <c r="G10">
        <v>0</v>
      </c>
      <c r="I10">
        <v>2021</v>
      </c>
      <c r="J10">
        <v>2669</v>
      </c>
      <c r="K10">
        <v>1517</v>
      </c>
      <c r="L10">
        <v>3449</v>
      </c>
      <c r="M10" s="135">
        <v>1000</v>
      </c>
      <c r="O10" s="135"/>
    </row>
    <row r="11" spans="1:19">
      <c r="C11">
        <v>2022</v>
      </c>
      <c r="D11">
        <v>853</v>
      </c>
      <c r="E11">
        <v>1900</v>
      </c>
      <c r="F11">
        <v>475</v>
      </c>
      <c r="G11">
        <v>0</v>
      </c>
      <c r="I11">
        <v>2022</v>
      </c>
      <c r="J11">
        <v>2818</v>
      </c>
      <c r="K11">
        <v>1499</v>
      </c>
      <c r="L11">
        <v>3400</v>
      </c>
      <c r="M11" s="135">
        <v>1000</v>
      </c>
      <c r="O11" s="135"/>
    </row>
    <row r="12" spans="1:19">
      <c r="C12">
        <v>2023</v>
      </c>
      <c r="D12">
        <v>0</v>
      </c>
      <c r="E12">
        <v>1924</v>
      </c>
      <c r="F12">
        <v>1347</v>
      </c>
      <c r="G12">
        <v>0</v>
      </c>
      <c r="I12">
        <v>2023</v>
      </c>
      <c r="J12">
        <v>3101</v>
      </c>
      <c r="K12">
        <v>1501</v>
      </c>
      <c r="L12">
        <v>3248</v>
      </c>
      <c r="M12" s="135">
        <v>1000</v>
      </c>
      <c r="O12" s="135"/>
    </row>
    <row r="15" spans="1:19">
      <c r="C15" s="1" t="s">
        <v>367</v>
      </c>
      <c r="I15" s="1" t="s">
        <v>368</v>
      </c>
      <c r="O15" s="1" t="s">
        <v>369</v>
      </c>
    </row>
    <row r="16" spans="1:19">
      <c r="C16" t="s">
        <v>370</v>
      </c>
      <c r="D16" t="s">
        <v>365</v>
      </c>
      <c r="E16" t="s">
        <v>87</v>
      </c>
      <c r="F16" t="s">
        <v>366</v>
      </c>
      <c r="G16" s="109" t="s">
        <v>399</v>
      </c>
      <c r="I16" t="s">
        <v>370</v>
      </c>
      <c r="J16" t="s">
        <v>365</v>
      </c>
      <c r="K16" t="s">
        <v>87</v>
      </c>
      <c r="L16" t="s">
        <v>366</v>
      </c>
      <c r="M16" s="109" t="s">
        <v>399</v>
      </c>
      <c r="O16" t="s">
        <v>370</v>
      </c>
      <c r="P16" t="s">
        <v>365</v>
      </c>
      <c r="Q16" t="s">
        <v>87</v>
      </c>
      <c r="R16" t="s">
        <v>366</v>
      </c>
      <c r="S16" s="109" t="s">
        <v>399</v>
      </c>
    </row>
    <row r="17" spans="1:19">
      <c r="C17">
        <v>2015</v>
      </c>
      <c r="D17">
        <v>0.13398199999999999</v>
      </c>
      <c r="E17">
        <v>2.0463879999999999</v>
      </c>
      <c r="F17">
        <v>1.0000000000000001E-5</v>
      </c>
      <c r="G17">
        <v>0</v>
      </c>
      <c r="I17">
        <v>2015</v>
      </c>
      <c r="J17">
        <v>3.3441540000000001</v>
      </c>
      <c r="K17">
        <v>0.41482599999999997</v>
      </c>
      <c r="L17">
        <v>8.3710970000000007</v>
      </c>
      <c r="M17" s="140">
        <f>46*0.11</f>
        <v>5.0599999999999996</v>
      </c>
      <c r="O17">
        <v>2015</v>
      </c>
      <c r="P17">
        <v>3.210172</v>
      </c>
      <c r="Q17">
        <v>-1.631562</v>
      </c>
      <c r="R17">
        <v>8.3710870000000011</v>
      </c>
      <c r="S17" s="141">
        <f>M17</f>
        <v>5.0599999999999996</v>
      </c>
    </row>
    <row r="18" spans="1:19">
      <c r="C18">
        <v>2016</v>
      </c>
      <c r="D18">
        <v>7.7658000000000005E-2</v>
      </c>
      <c r="E18">
        <v>4.0602520000000002</v>
      </c>
      <c r="F18">
        <v>0</v>
      </c>
      <c r="G18">
        <v>0</v>
      </c>
      <c r="I18">
        <v>2016</v>
      </c>
      <c r="J18">
        <v>8.4665540000000004</v>
      </c>
      <c r="K18">
        <v>0.50324000000000002</v>
      </c>
      <c r="L18">
        <v>20.149065</v>
      </c>
      <c r="M18" s="140">
        <f t="shared" ref="M18:M25" si="0">46*0.11</f>
        <v>5.0599999999999996</v>
      </c>
      <c r="O18">
        <v>2016</v>
      </c>
      <c r="P18">
        <v>8.3888960000000008</v>
      </c>
      <c r="Q18">
        <v>-3.5570120000000003</v>
      </c>
      <c r="R18">
        <v>20.149065</v>
      </c>
      <c r="S18" s="141">
        <f t="shared" ref="S18:S25" si="1">M18</f>
        <v>5.0599999999999996</v>
      </c>
    </row>
    <row r="19" spans="1:19">
      <c r="C19">
        <v>2017</v>
      </c>
      <c r="D19">
        <v>0.11197500000000001</v>
      </c>
      <c r="E19">
        <v>2.9687890000000001</v>
      </c>
      <c r="F19">
        <v>0</v>
      </c>
      <c r="G19">
        <v>0</v>
      </c>
      <c r="I19">
        <v>2017</v>
      </c>
      <c r="J19">
        <v>9.4249430000000007</v>
      </c>
      <c r="K19">
        <v>1.5466899999999999</v>
      </c>
      <c r="L19">
        <v>19.68234</v>
      </c>
      <c r="M19" s="140">
        <f t="shared" si="0"/>
        <v>5.0599999999999996</v>
      </c>
      <c r="O19">
        <v>2017</v>
      </c>
      <c r="P19">
        <v>9.3129680000000015</v>
      </c>
      <c r="Q19">
        <v>-1.4220990000000002</v>
      </c>
      <c r="R19">
        <v>19.68234</v>
      </c>
      <c r="S19" s="141">
        <f t="shared" si="1"/>
        <v>5.0599999999999996</v>
      </c>
    </row>
    <row r="20" spans="1:19">
      <c r="C20">
        <v>2018</v>
      </c>
      <c r="D20">
        <v>3.5907000000000001E-2</v>
      </c>
      <c r="E20">
        <v>4.273676</v>
      </c>
      <c r="F20">
        <v>2.3699999999999999E-4</v>
      </c>
      <c r="G20">
        <v>0</v>
      </c>
      <c r="I20">
        <v>2018</v>
      </c>
      <c r="J20">
        <v>12.806003</v>
      </c>
      <c r="K20">
        <v>0.79474999999999996</v>
      </c>
      <c r="L20">
        <v>18.863864</v>
      </c>
      <c r="M20" s="140">
        <f t="shared" si="0"/>
        <v>5.0599999999999996</v>
      </c>
      <c r="O20">
        <v>2018</v>
      </c>
      <c r="P20">
        <v>12.770096000000001</v>
      </c>
      <c r="Q20">
        <v>-3.478926</v>
      </c>
      <c r="R20">
        <v>18.863627000000001</v>
      </c>
      <c r="S20" s="141">
        <f t="shared" si="1"/>
        <v>5.0599999999999996</v>
      </c>
    </row>
    <row r="21" spans="1:19">
      <c r="C21">
        <v>2019</v>
      </c>
      <c r="D21">
        <v>6.1890000000000001E-3</v>
      </c>
      <c r="E21">
        <v>5.9896380000000002</v>
      </c>
      <c r="F21">
        <v>0</v>
      </c>
      <c r="G21">
        <v>0</v>
      </c>
      <c r="I21">
        <v>2019</v>
      </c>
      <c r="J21">
        <v>12.878807</v>
      </c>
      <c r="K21">
        <v>0.302784</v>
      </c>
      <c r="L21">
        <v>17.445074999999999</v>
      </c>
      <c r="M21" s="140">
        <f t="shared" si="0"/>
        <v>5.0599999999999996</v>
      </c>
      <c r="O21">
        <v>2019</v>
      </c>
      <c r="P21">
        <v>12.872617999999999</v>
      </c>
      <c r="Q21">
        <v>-5.6868540000000003</v>
      </c>
      <c r="R21">
        <v>17.445074999999999</v>
      </c>
      <c r="S21" s="141">
        <f t="shared" si="1"/>
        <v>5.0599999999999996</v>
      </c>
    </row>
    <row r="22" spans="1:19">
      <c r="C22">
        <v>2020</v>
      </c>
      <c r="D22">
        <v>1.4649999999999999E-3</v>
      </c>
      <c r="E22">
        <v>7.191948</v>
      </c>
      <c r="F22">
        <v>0</v>
      </c>
      <c r="G22">
        <v>0</v>
      </c>
      <c r="I22">
        <v>2020</v>
      </c>
      <c r="J22">
        <v>11.332753</v>
      </c>
      <c r="K22">
        <v>0.13980799999999999</v>
      </c>
      <c r="L22">
        <v>17.347265</v>
      </c>
      <c r="M22" s="140">
        <f t="shared" si="0"/>
        <v>5.0599999999999996</v>
      </c>
      <c r="O22">
        <v>2020</v>
      </c>
      <c r="P22">
        <v>11.331288000000001</v>
      </c>
      <c r="Q22">
        <v>-7.0521399999999996</v>
      </c>
      <c r="R22">
        <v>17.347265</v>
      </c>
      <c r="S22" s="141">
        <f t="shared" si="1"/>
        <v>5.0599999999999996</v>
      </c>
    </row>
    <row r="23" spans="1:19">
      <c r="C23">
        <v>2021</v>
      </c>
      <c r="D23">
        <v>9.7799999999999992E-4</v>
      </c>
      <c r="E23">
        <v>3.7024970000000001</v>
      </c>
      <c r="F23">
        <v>9.2999999999999997E-5</v>
      </c>
      <c r="G23">
        <v>0</v>
      </c>
      <c r="I23">
        <v>2021</v>
      </c>
      <c r="J23">
        <v>13.885814</v>
      </c>
      <c r="K23">
        <v>1.1675899999999999</v>
      </c>
      <c r="L23">
        <v>16.542128999999999</v>
      </c>
      <c r="M23" s="140">
        <f t="shared" si="0"/>
        <v>5.0599999999999996</v>
      </c>
      <c r="O23">
        <v>2021</v>
      </c>
      <c r="P23">
        <v>13.884836</v>
      </c>
      <c r="Q23">
        <v>-2.5349070000000005</v>
      </c>
      <c r="R23">
        <v>16.542036</v>
      </c>
      <c r="S23" s="141">
        <f t="shared" si="1"/>
        <v>5.0599999999999996</v>
      </c>
    </row>
    <row r="24" spans="1:19">
      <c r="C24">
        <v>2022</v>
      </c>
      <c r="D24">
        <v>3.0023000000000001E-2</v>
      </c>
      <c r="E24">
        <v>3.0299800000000001</v>
      </c>
      <c r="F24">
        <v>6.7000000000000002E-3</v>
      </c>
      <c r="G24">
        <v>0</v>
      </c>
      <c r="I24">
        <v>2022</v>
      </c>
      <c r="J24">
        <v>15.081747</v>
      </c>
      <c r="K24">
        <v>1.792065</v>
      </c>
      <c r="L24">
        <v>14.503895999999999</v>
      </c>
      <c r="M24" s="140">
        <f t="shared" si="0"/>
        <v>5.0599999999999996</v>
      </c>
      <c r="O24">
        <v>2022</v>
      </c>
      <c r="P24">
        <v>15.051724</v>
      </c>
      <c r="Q24">
        <v>-1.2379150000000001</v>
      </c>
      <c r="R24">
        <v>14.497195999999999</v>
      </c>
      <c r="S24" s="141">
        <f t="shared" si="1"/>
        <v>5.0599999999999996</v>
      </c>
    </row>
    <row r="25" spans="1:19">
      <c r="C25">
        <v>2023</v>
      </c>
      <c r="D25">
        <v>0</v>
      </c>
      <c r="E25">
        <v>4.0316150000000004</v>
      </c>
      <c r="F25">
        <v>0.308697</v>
      </c>
      <c r="G25">
        <v>0</v>
      </c>
      <c r="I25">
        <v>2023</v>
      </c>
      <c r="J25">
        <v>19.294263000000001</v>
      </c>
      <c r="K25">
        <v>1.3816310000000001</v>
      </c>
      <c r="L25">
        <v>7.1178220000000003</v>
      </c>
      <c r="M25" s="140">
        <f t="shared" si="0"/>
        <v>5.0599999999999996</v>
      </c>
      <c r="O25">
        <v>2023</v>
      </c>
      <c r="P25">
        <v>19.294263000000001</v>
      </c>
      <c r="Q25">
        <v>-2.6499840000000003</v>
      </c>
      <c r="R25">
        <v>6.8091249999999999</v>
      </c>
      <c r="S25" s="141">
        <f t="shared" si="1"/>
        <v>5.0599999999999996</v>
      </c>
    </row>
    <row r="27" spans="1:19">
      <c r="A27" s="131" t="s">
        <v>371</v>
      </c>
    </row>
    <row r="28" spans="1:19">
      <c r="C28" s="1" t="s">
        <v>372</v>
      </c>
    </row>
    <row r="29" spans="1:19">
      <c r="C29" t="s">
        <v>389</v>
      </c>
      <c r="D29" t="s">
        <v>365</v>
      </c>
      <c r="E29" t="s">
        <v>87</v>
      </c>
      <c r="F29" t="s">
        <v>366</v>
      </c>
      <c r="G29" s="109" t="s">
        <v>399</v>
      </c>
    </row>
    <row r="30" spans="1:19">
      <c r="C30">
        <v>2015</v>
      </c>
      <c r="D30" s="135">
        <v>39.339367960253917</v>
      </c>
      <c r="E30" s="135">
        <v>45.012356751573655</v>
      </c>
      <c r="F30" s="135">
        <v>39.339367960253917</v>
      </c>
      <c r="G30" s="135">
        <v>39.339367960253917</v>
      </c>
    </row>
    <row r="31" spans="1:19">
      <c r="C31">
        <v>2016</v>
      </c>
      <c r="D31" s="135">
        <v>31.264035828653643</v>
      </c>
      <c r="E31" s="135">
        <v>32.196344945721194</v>
      </c>
      <c r="F31" s="135">
        <v>31.264035828653643</v>
      </c>
      <c r="G31" s="135">
        <v>39.339367960253917</v>
      </c>
    </row>
    <row r="32" spans="1:19">
      <c r="C32">
        <v>2017</v>
      </c>
      <c r="D32" s="135">
        <v>31.28571160722284</v>
      </c>
      <c r="E32" s="135">
        <v>35.022119450599739</v>
      </c>
      <c r="F32" s="135">
        <v>31.28571160722284</v>
      </c>
      <c r="G32" s="135">
        <v>39.339367960253917</v>
      </c>
    </row>
    <row r="33" spans="3:7">
      <c r="C33">
        <v>2018</v>
      </c>
      <c r="D33" s="135">
        <v>36.278450416208415</v>
      </c>
      <c r="E33" s="135">
        <v>43.280322631640679</v>
      </c>
      <c r="F33" s="135">
        <v>36.278450416208415</v>
      </c>
      <c r="G33" s="135">
        <v>39.339367960253917</v>
      </c>
    </row>
    <row r="34" spans="3:7">
      <c r="C34">
        <v>2019</v>
      </c>
      <c r="D34" s="135">
        <v>26.955229613424841</v>
      </c>
      <c r="E34" s="135">
        <v>29.894246724999533</v>
      </c>
      <c r="F34" s="135">
        <v>26.955229613424841</v>
      </c>
      <c r="G34" s="135">
        <v>39.339367960253917</v>
      </c>
    </row>
    <row r="35" spans="3:7">
      <c r="C35">
        <v>2020</v>
      </c>
      <c r="D35" s="135">
        <v>20.911820629755503</v>
      </c>
      <c r="E35" s="135">
        <v>22.136991501322239</v>
      </c>
      <c r="F35" s="135">
        <v>20.911820629755503</v>
      </c>
      <c r="G35" s="135">
        <v>39.339367960253917</v>
      </c>
    </row>
    <row r="36" spans="3:7">
      <c r="C36">
        <v>2021</v>
      </c>
      <c r="D36" s="135">
        <v>37.882217472584607</v>
      </c>
      <c r="E36" s="135">
        <v>42.905548717308072</v>
      </c>
      <c r="F36" s="135">
        <v>37.882217472584607</v>
      </c>
      <c r="G36" s="135">
        <v>39.339367960253917</v>
      </c>
    </row>
    <row r="37" spans="3:7">
      <c r="C37">
        <v>2022</v>
      </c>
      <c r="D37" s="135">
        <v>68.556578105120607</v>
      </c>
      <c r="E37" s="135">
        <v>72.689449541876925</v>
      </c>
      <c r="F37" s="135">
        <v>68.556578105120607</v>
      </c>
      <c r="G37" s="135">
        <v>39.339367960253917</v>
      </c>
    </row>
    <row r="38" spans="3:7">
      <c r="C38">
        <v>2023</v>
      </c>
      <c r="D38" s="135">
        <v>28.839035667434256</v>
      </c>
      <c r="E38" s="135">
        <v>30.525100284493195</v>
      </c>
      <c r="F38" s="135">
        <v>28.839035667434256</v>
      </c>
      <c r="G38" s="135">
        <v>39.339367960253917</v>
      </c>
    </row>
  </sheetData>
  <hyperlinks>
    <hyperlink ref="A1" r:id="rId1" xr:uid="{19C053FA-2ABD-46C7-A568-0BC6528942BB}"/>
    <hyperlink ref="A27" r:id="rId2" xr:uid="{C829426A-1B3C-4FBD-9A17-281EC195F2AA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C15CA-1C43-4CD5-95AD-C0D624111C0F}">
  <dimension ref="B1:V89"/>
  <sheetViews>
    <sheetView zoomScale="85" zoomScaleNormal="85" workbookViewId="0">
      <selection activeCell="N30" sqref="N30"/>
    </sheetView>
  </sheetViews>
  <sheetFormatPr defaultColWidth="9.109375" defaultRowHeight="13.2"/>
  <cols>
    <col min="1" max="1" width="9.109375" style="42"/>
    <col min="2" max="2" width="12" style="42" customWidth="1"/>
    <col min="3" max="3" width="4" style="46" customWidth="1"/>
    <col min="4" max="14" width="9.109375" style="42"/>
    <col min="15" max="15" width="16.88671875" style="42" customWidth="1"/>
    <col min="16" max="16" width="12" style="42" customWidth="1"/>
    <col min="17" max="17" width="16.44140625" style="42" customWidth="1"/>
    <col min="18" max="19" width="9.109375" style="42"/>
    <col min="20" max="20" width="13.33203125" style="46" customWidth="1"/>
    <col min="21" max="16384" width="9.109375" style="42"/>
  </cols>
  <sheetData>
    <row r="1" spans="2:19">
      <c r="B1" s="38" t="s">
        <v>205</v>
      </c>
      <c r="C1" s="39"/>
      <c r="D1" s="40"/>
      <c r="E1" s="40"/>
      <c r="F1" s="40"/>
      <c r="G1" s="40"/>
      <c r="H1" s="40"/>
      <c r="I1" s="40"/>
      <c r="J1" s="40"/>
      <c r="K1" s="40"/>
      <c r="L1" s="41"/>
      <c r="O1" s="43" t="s">
        <v>206</v>
      </c>
      <c r="P1" s="44"/>
      <c r="Q1" s="44"/>
      <c r="R1" s="44"/>
      <c r="S1" s="45"/>
    </row>
    <row r="2" spans="2:19">
      <c r="B2" s="47" t="s">
        <v>207</v>
      </c>
      <c r="C2" s="48"/>
      <c r="D2" s="49"/>
      <c r="E2" s="49"/>
      <c r="F2" s="49"/>
      <c r="G2" s="49"/>
      <c r="H2" s="49"/>
      <c r="I2" s="49"/>
      <c r="J2" s="49"/>
      <c r="K2" s="49"/>
      <c r="L2" s="50"/>
      <c r="O2" s="51" t="s">
        <v>208</v>
      </c>
      <c r="P2" s="52" t="s">
        <v>209</v>
      </c>
      <c r="Q2" s="52" t="s">
        <v>210</v>
      </c>
      <c r="R2" s="52" t="s">
        <v>211</v>
      </c>
      <c r="S2" s="53" t="s">
        <v>212</v>
      </c>
    </row>
    <row r="3" spans="2:19">
      <c r="B3" s="54" t="s">
        <v>84</v>
      </c>
      <c r="C3" s="55"/>
      <c r="D3" s="56" t="s">
        <v>85</v>
      </c>
      <c r="E3" s="57"/>
      <c r="F3" s="57"/>
      <c r="G3" s="57"/>
      <c r="H3" s="57"/>
      <c r="I3" s="57"/>
      <c r="J3" s="57"/>
      <c r="K3" s="57"/>
      <c r="L3" s="58"/>
      <c r="O3" s="59" t="s">
        <v>213</v>
      </c>
      <c r="P3" s="60" t="s">
        <v>214</v>
      </c>
      <c r="Q3" s="60" t="s">
        <v>215</v>
      </c>
      <c r="R3" s="61">
        <v>345</v>
      </c>
      <c r="S3" s="62">
        <f>((S$4/R$4)*R3)</f>
        <v>320</v>
      </c>
    </row>
    <row r="4" spans="2:19">
      <c r="B4" s="63" t="s">
        <v>86</v>
      </c>
      <c r="C4" s="64"/>
      <c r="D4" s="64" t="s">
        <v>87</v>
      </c>
      <c r="E4" s="65" t="s">
        <v>216</v>
      </c>
      <c r="F4" s="65" t="s">
        <v>217</v>
      </c>
      <c r="G4" s="65" t="s">
        <v>218</v>
      </c>
      <c r="H4" s="65" t="s">
        <v>219</v>
      </c>
      <c r="I4" s="65" t="s">
        <v>220</v>
      </c>
      <c r="J4" s="65"/>
      <c r="K4" s="65"/>
      <c r="L4" s="66"/>
      <c r="O4" s="67" t="s">
        <v>221</v>
      </c>
      <c r="P4" s="68" t="s">
        <v>222</v>
      </c>
      <c r="Q4" s="68" t="s">
        <v>66</v>
      </c>
      <c r="R4" s="46">
        <v>345</v>
      </c>
      <c r="S4" s="69">
        <v>320</v>
      </c>
    </row>
    <row r="5" spans="2:19">
      <c r="B5" s="63"/>
      <c r="C5" s="64"/>
      <c r="D5" s="64" t="s">
        <v>63</v>
      </c>
      <c r="E5" s="65" t="s">
        <v>27</v>
      </c>
      <c r="F5" s="65" t="s">
        <v>64</v>
      </c>
      <c r="G5" s="65" t="s">
        <v>65</v>
      </c>
      <c r="H5" s="65" t="s">
        <v>66</v>
      </c>
      <c r="I5" s="65" t="s">
        <v>67</v>
      </c>
      <c r="J5" s="65" t="s">
        <v>68</v>
      </c>
      <c r="K5" s="65" t="s">
        <v>28</v>
      </c>
      <c r="L5" s="66" t="s">
        <v>69</v>
      </c>
      <c r="O5" s="67" t="s">
        <v>223</v>
      </c>
      <c r="P5" s="68" t="s">
        <v>224</v>
      </c>
      <c r="Q5" s="68" t="s">
        <v>225</v>
      </c>
      <c r="R5" s="46">
        <v>138</v>
      </c>
      <c r="S5" s="69">
        <f t="shared" ref="S5:S19" si="0">((S$4/R$4)*R5)</f>
        <v>128</v>
      </c>
    </row>
    <row r="6" spans="2:19">
      <c r="B6" s="63" t="str">
        <f>D4</f>
        <v>NE</v>
      </c>
      <c r="C6" s="64" t="s">
        <v>63</v>
      </c>
      <c r="D6" s="70" t="s">
        <v>96</v>
      </c>
      <c r="E6" s="71">
        <f>5300/1000*T68</f>
        <v>2.3477596741344193</v>
      </c>
      <c r="F6" s="71">
        <f>5300/1000*T69</f>
        <v>1.3276985743380856</v>
      </c>
      <c r="G6" s="71">
        <f>5300/1000*T70</f>
        <v>1.379271328354831</v>
      </c>
      <c r="H6" s="71">
        <f>5300/1000*T71</f>
        <v>0.17090970807875086</v>
      </c>
      <c r="I6" s="71">
        <f>5300/1000*T72</f>
        <v>7.4360715093912774E-2</v>
      </c>
      <c r="J6" s="72"/>
      <c r="K6" s="71" t="s">
        <v>96</v>
      </c>
      <c r="L6" s="73" t="s">
        <v>96</v>
      </c>
      <c r="O6" s="67" t="s">
        <v>226</v>
      </c>
      <c r="P6" s="68" t="s">
        <v>224</v>
      </c>
      <c r="Q6" s="68" t="s">
        <v>225</v>
      </c>
      <c r="R6" s="46">
        <v>138</v>
      </c>
      <c r="S6" s="69">
        <f>((S$4/R$4)*R6)</f>
        <v>128</v>
      </c>
    </row>
    <row r="7" spans="2:19">
      <c r="B7" s="54" t="str">
        <f>E4</f>
        <v>BK</v>
      </c>
      <c r="C7" s="55" t="s">
        <v>27</v>
      </c>
      <c r="D7" s="72">
        <f>E6</f>
        <v>2.3477596741344193</v>
      </c>
      <c r="E7" s="74"/>
      <c r="F7" s="74">
        <f>E8</f>
        <v>0.32</v>
      </c>
      <c r="G7" s="74">
        <v>1</v>
      </c>
      <c r="H7" s="74">
        <v>0.3</v>
      </c>
      <c r="I7" s="74" t="s">
        <v>96</v>
      </c>
      <c r="J7" s="74" t="s">
        <v>96</v>
      </c>
      <c r="K7" s="74" t="s">
        <v>96</v>
      </c>
      <c r="L7" s="75" t="s">
        <v>96</v>
      </c>
      <c r="O7" s="67" t="s">
        <v>227</v>
      </c>
      <c r="P7" s="68" t="s">
        <v>222</v>
      </c>
      <c r="Q7" s="68" t="s">
        <v>66</v>
      </c>
      <c r="R7" s="46">
        <v>138</v>
      </c>
      <c r="S7" s="69">
        <f t="shared" si="0"/>
        <v>128</v>
      </c>
    </row>
    <row r="8" spans="2:19">
      <c r="B8" s="54" t="str">
        <f>F4</f>
        <v>BX</v>
      </c>
      <c r="C8" s="42" t="s">
        <v>64</v>
      </c>
      <c r="D8" s="72">
        <f>F6</f>
        <v>1.3276985743380856</v>
      </c>
      <c r="E8" s="74">
        <f>S3/1000</f>
        <v>0.32</v>
      </c>
      <c r="F8" s="74"/>
      <c r="G8" s="74">
        <f>($S14+$S17)/1000</f>
        <v>0.25600000000000001</v>
      </c>
      <c r="H8" s="74">
        <f>$S12/1000</f>
        <v>0.128</v>
      </c>
      <c r="I8" s="74"/>
      <c r="J8" s="74"/>
      <c r="K8" s="74" t="s">
        <v>96</v>
      </c>
      <c r="L8" s="75" t="s">
        <v>96</v>
      </c>
      <c r="O8" s="67" t="s">
        <v>228</v>
      </c>
      <c r="P8" s="68" t="s">
        <v>229</v>
      </c>
      <c r="Q8" s="68" t="s">
        <v>68</v>
      </c>
      <c r="R8" s="46">
        <v>138</v>
      </c>
      <c r="S8" s="69">
        <f t="shared" si="0"/>
        <v>128</v>
      </c>
    </row>
    <row r="9" spans="2:19">
      <c r="B9" s="54" t="str">
        <f>G4</f>
        <v>MH</v>
      </c>
      <c r="C9" s="42" t="s">
        <v>65</v>
      </c>
      <c r="D9" s="72">
        <f>G6</f>
        <v>1.379271328354831</v>
      </c>
      <c r="E9" s="74">
        <v>0.128</v>
      </c>
      <c r="F9" s="74">
        <f>G8</f>
        <v>0.25600000000000001</v>
      </c>
      <c r="G9" s="74" t="s">
        <v>96</v>
      </c>
      <c r="H9" s="74"/>
      <c r="I9" s="74"/>
      <c r="J9" s="74"/>
      <c r="K9" s="74"/>
      <c r="L9" s="75" t="s">
        <v>96</v>
      </c>
      <c r="O9" s="67" t="s">
        <v>230</v>
      </c>
      <c r="P9" s="68" t="s">
        <v>224</v>
      </c>
      <c r="Q9" s="68" t="s">
        <v>225</v>
      </c>
      <c r="R9" s="46">
        <v>138</v>
      </c>
      <c r="S9" s="69">
        <f t="shared" si="0"/>
        <v>128</v>
      </c>
    </row>
    <row r="10" spans="2:19">
      <c r="B10" s="54" t="str">
        <f>H4</f>
        <v>SI</v>
      </c>
      <c r="C10" s="42" t="s">
        <v>66</v>
      </c>
      <c r="D10" s="72">
        <f>H6</f>
        <v>0.17090970807875086</v>
      </c>
      <c r="E10" s="74">
        <f>H7</f>
        <v>0.3</v>
      </c>
      <c r="F10" s="74">
        <f>H8</f>
        <v>0.128</v>
      </c>
      <c r="G10" s="74" t="s">
        <v>96</v>
      </c>
      <c r="H10" s="74"/>
      <c r="I10" s="74">
        <f>($S5+$S6+$S9+$S10)/1000</f>
        <v>0.51200000000000001</v>
      </c>
      <c r="J10" s="74"/>
      <c r="K10" s="74" t="s">
        <v>96</v>
      </c>
      <c r="L10" s="75" t="s">
        <v>96</v>
      </c>
      <c r="O10" s="67" t="s">
        <v>231</v>
      </c>
      <c r="P10" s="68" t="s">
        <v>224</v>
      </c>
      <c r="Q10" s="68" t="s">
        <v>225</v>
      </c>
      <c r="R10" s="46">
        <v>138</v>
      </c>
      <c r="S10" s="69">
        <f t="shared" si="0"/>
        <v>128</v>
      </c>
    </row>
    <row r="11" spans="2:19">
      <c r="B11" s="54" t="str">
        <f>I4</f>
        <v>QN</v>
      </c>
      <c r="C11" s="42" t="s">
        <v>67</v>
      </c>
      <c r="D11" s="72">
        <f>I6</f>
        <v>7.4360715093912774E-2</v>
      </c>
      <c r="E11" s="74"/>
      <c r="F11" s="74"/>
      <c r="G11" s="74"/>
      <c r="H11" s="74">
        <f>I10</f>
        <v>0.51200000000000001</v>
      </c>
      <c r="I11" s="74"/>
      <c r="J11" s="74"/>
      <c r="K11" s="74" t="s">
        <v>96</v>
      </c>
      <c r="L11" s="75" t="s">
        <v>96</v>
      </c>
      <c r="O11" s="67" t="s">
        <v>232</v>
      </c>
      <c r="P11" s="68" t="s">
        <v>222</v>
      </c>
      <c r="Q11" s="68" t="s">
        <v>66</v>
      </c>
      <c r="R11" s="46">
        <v>138</v>
      </c>
      <c r="S11" s="69">
        <f t="shared" si="0"/>
        <v>128</v>
      </c>
    </row>
    <row r="12" spans="2:19">
      <c r="B12" s="54"/>
      <c r="C12" s="55" t="s">
        <v>68</v>
      </c>
      <c r="D12" s="72"/>
      <c r="E12" s="74" t="s">
        <v>96</v>
      </c>
      <c r="F12" s="74"/>
      <c r="G12" s="74"/>
      <c r="H12" s="74" t="s">
        <v>96</v>
      </c>
      <c r="I12" s="74"/>
      <c r="J12" s="74"/>
      <c r="K12" s="74"/>
      <c r="L12" s="75"/>
      <c r="O12" s="67" t="s">
        <v>233</v>
      </c>
      <c r="P12" s="68" t="s">
        <v>234</v>
      </c>
      <c r="Q12" s="68" t="s">
        <v>235</v>
      </c>
      <c r="R12" s="46">
        <v>138</v>
      </c>
      <c r="S12" s="69">
        <f t="shared" si="0"/>
        <v>128</v>
      </c>
    </row>
    <row r="13" spans="2:19">
      <c r="B13" s="54"/>
      <c r="C13" s="55" t="s">
        <v>28</v>
      </c>
      <c r="D13" s="72"/>
      <c r="E13" s="74" t="s">
        <v>96</v>
      </c>
      <c r="F13" s="74" t="s">
        <v>96</v>
      </c>
      <c r="G13" s="74"/>
      <c r="H13" s="74" t="s">
        <v>96</v>
      </c>
      <c r="I13" s="74" t="s">
        <v>96</v>
      </c>
      <c r="J13" s="74"/>
      <c r="K13" s="74" t="s">
        <v>96</v>
      </c>
      <c r="L13" s="75"/>
      <c r="O13" s="67" t="s">
        <v>236</v>
      </c>
      <c r="P13" s="68" t="s">
        <v>220</v>
      </c>
      <c r="Q13" s="68" t="s">
        <v>67</v>
      </c>
      <c r="R13" s="46">
        <v>138</v>
      </c>
      <c r="S13" s="69">
        <f t="shared" si="0"/>
        <v>128</v>
      </c>
    </row>
    <row r="14" spans="2:19">
      <c r="B14" s="76"/>
      <c r="C14" s="56" t="s">
        <v>69</v>
      </c>
      <c r="D14" s="77" t="s">
        <v>96</v>
      </c>
      <c r="E14" s="78" t="s">
        <v>96</v>
      </c>
      <c r="F14" s="78" t="s">
        <v>96</v>
      </c>
      <c r="G14" s="78" t="s">
        <v>96</v>
      </c>
      <c r="H14" s="78" t="s">
        <v>96</v>
      </c>
      <c r="I14" s="78" t="s">
        <v>96</v>
      </c>
      <c r="J14" s="78" t="s">
        <v>96</v>
      </c>
      <c r="K14" s="78"/>
      <c r="L14" s="79" t="s">
        <v>96</v>
      </c>
      <c r="O14" s="67" t="s">
        <v>237</v>
      </c>
      <c r="P14" s="68" t="s">
        <v>238</v>
      </c>
      <c r="Q14" s="68" t="s">
        <v>239</v>
      </c>
      <c r="R14" s="46">
        <v>138</v>
      </c>
      <c r="S14" s="69">
        <f t="shared" si="0"/>
        <v>128</v>
      </c>
    </row>
    <row r="15" spans="2:19">
      <c r="O15" s="67" t="s">
        <v>240</v>
      </c>
      <c r="P15" s="68" t="s">
        <v>241</v>
      </c>
      <c r="Q15" s="68" t="s">
        <v>68</v>
      </c>
      <c r="R15" s="46">
        <v>138</v>
      </c>
      <c r="S15" s="69">
        <f t="shared" si="0"/>
        <v>128</v>
      </c>
    </row>
    <row r="16" spans="2:19">
      <c r="O16" s="67" t="s">
        <v>242</v>
      </c>
      <c r="P16" s="68" t="s">
        <v>242</v>
      </c>
      <c r="Q16" s="68" t="s">
        <v>67</v>
      </c>
      <c r="R16" s="46">
        <v>138</v>
      </c>
      <c r="S16" s="69">
        <f t="shared" si="0"/>
        <v>128</v>
      </c>
    </row>
    <row r="17" spans="2:22">
      <c r="B17" s="63" t="s">
        <v>97</v>
      </c>
      <c r="C17" s="64"/>
      <c r="D17" s="80" t="s">
        <v>85</v>
      </c>
      <c r="E17" s="81"/>
      <c r="F17" s="81"/>
      <c r="G17" s="81"/>
      <c r="H17" s="81"/>
      <c r="I17" s="81"/>
      <c r="J17" s="81"/>
      <c r="K17" s="81"/>
      <c r="L17" s="82"/>
      <c r="O17" s="67" t="s">
        <v>243</v>
      </c>
      <c r="P17" s="68" t="s">
        <v>244</v>
      </c>
      <c r="Q17" s="68" t="s">
        <v>245</v>
      </c>
      <c r="R17" s="46">
        <v>138</v>
      </c>
      <c r="S17" s="69">
        <f t="shared" si="0"/>
        <v>128</v>
      </c>
    </row>
    <row r="18" spans="2:22">
      <c r="B18" s="63" t="s">
        <v>86</v>
      </c>
      <c r="C18" s="64"/>
      <c r="D18" s="64" t="str">
        <f>D4</f>
        <v>NE</v>
      </c>
      <c r="E18" s="65" t="str">
        <f t="shared" ref="E18:J18" si="1">E4</f>
        <v>BK</v>
      </c>
      <c r="F18" s="65" t="str">
        <f t="shared" si="1"/>
        <v>BX</v>
      </c>
      <c r="G18" s="65" t="str">
        <f t="shared" si="1"/>
        <v>MH</v>
      </c>
      <c r="H18" s="65" t="str">
        <f t="shared" si="1"/>
        <v>SI</v>
      </c>
      <c r="I18" s="65" t="str">
        <f t="shared" si="1"/>
        <v>QN</v>
      </c>
      <c r="J18" s="65">
        <f t="shared" si="1"/>
        <v>0</v>
      </c>
      <c r="K18" s="65"/>
      <c r="L18" s="66"/>
      <c r="O18" s="67" t="s">
        <v>246</v>
      </c>
      <c r="P18" s="68" t="s">
        <v>238</v>
      </c>
      <c r="Q18" s="68" t="s">
        <v>239</v>
      </c>
      <c r="R18" s="46">
        <v>138</v>
      </c>
      <c r="S18" s="69">
        <f t="shared" si="0"/>
        <v>128</v>
      </c>
    </row>
    <row r="19" spans="2:22">
      <c r="B19" s="63"/>
      <c r="C19" s="64"/>
      <c r="D19" s="64" t="s">
        <v>63</v>
      </c>
      <c r="E19" s="65" t="s">
        <v>27</v>
      </c>
      <c r="F19" s="65" t="s">
        <v>64</v>
      </c>
      <c r="G19" s="65" t="s">
        <v>65</v>
      </c>
      <c r="H19" s="65" t="s">
        <v>66</v>
      </c>
      <c r="I19" s="65" t="s">
        <v>67</v>
      </c>
      <c r="J19" s="65" t="s">
        <v>68</v>
      </c>
      <c r="K19" s="65" t="s">
        <v>28</v>
      </c>
      <c r="L19" s="66" t="s">
        <v>69</v>
      </c>
      <c r="O19" s="83" t="s">
        <v>247</v>
      </c>
      <c r="P19" s="68" t="s">
        <v>217</v>
      </c>
      <c r="Q19" s="68" t="s">
        <v>65</v>
      </c>
      <c r="R19" s="46">
        <v>138</v>
      </c>
      <c r="S19" s="69">
        <f t="shared" si="0"/>
        <v>128</v>
      </c>
    </row>
    <row r="20" spans="2:22">
      <c r="B20" s="63" t="str">
        <f>B6</f>
        <v>NE</v>
      </c>
      <c r="C20" s="142" t="s">
        <v>63</v>
      </c>
      <c r="D20" s="70" t="str">
        <f>D6</f>
        <v/>
      </c>
      <c r="E20" s="71">
        <f t="shared" ref="E20:L20" si="2">E6</f>
        <v>2.3477596741344193</v>
      </c>
      <c r="F20" s="71">
        <f t="shared" si="2"/>
        <v>1.3276985743380856</v>
      </c>
      <c r="G20" s="71">
        <f t="shared" si="2"/>
        <v>1.379271328354831</v>
      </c>
      <c r="H20" s="71">
        <f t="shared" si="2"/>
        <v>0.17090970807875086</v>
      </c>
      <c r="I20" s="71">
        <f t="shared" si="2"/>
        <v>7.4360715093912774E-2</v>
      </c>
      <c r="J20" s="71"/>
      <c r="K20" s="71" t="str">
        <f t="shared" si="2"/>
        <v/>
      </c>
      <c r="L20" s="73" t="str">
        <f t="shared" si="2"/>
        <v/>
      </c>
      <c r="O20" s="84"/>
      <c r="P20" s="85"/>
      <c r="Q20" s="85"/>
      <c r="R20" s="85"/>
      <c r="S20" s="86"/>
    </row>
    <row r="21" spans="2:22">
      <c r="B21" s="54" t="str">
        <f t="shared" ref="B21:B26" si="3">B7</f>
        <v>BK</v>
      </c>
      <c r="C21" s="143" t="s">
        <v>27</v>
      </c>
      <c r="D21" s="72">
        <f t="shared" ref="D21:L27" si="4">D7</f>
        <v>2.3477596741344193</v>
      </c>
      <c r="E21" s="74"/>
      <c r="F21" s="74">
        <f>F7</f>
        <v>0.32</v>
      </c>
      <c r="G21" s="74">
        <f>G7</f>
        <v>1</v>
      </c>
      <c r="H21" s="74">
        <f t="shared" si="4"/>
        <v>0.3</v>
      </c>
      <c r="I21" s="74" t="str">
        <f t="shared" si="4"/>
        <v/>
      </c>
      <c r="J21" s="74" t="str">
        <f t="shared" si="4"/>
        <v/>
      </c>
      <c r="K21" s="74" t="str">
        <f t="shared" si="4"/>
        <v/>
      </c>
      <c r="L21" s="75" t="str">
        <f t="shared" si="4"/>
        <v/>
      </c>
      <c r="O21" s="84" t="s">
        <v>248</v>
      </c>
      <c r="P21" s="85"/>
      <c r="Q21" s="85"/>
      <c r="R21" s="85"/>
      <c r="S21" s="86"/>
    </row>
    <row r="22" spans="2:22">
      <c r="B22" s="54" t="str">
        <f t="shared" si="3"/>
        <v>BX</v>
      </c>
      <c r="C22" s="144" t="s">
        <v>64</v>
      </c>
      <c r="D22" s="72">
        <f t="shared" si="4"/>
        <v>1.3276985743380856</v>
      </c>
      <c r="E22" s="74">
        <f>E8</f>
        <v>0.32</v>
      </c>
      <c r="F22" s="74"/>
      <c r="G22" s="74">
        <f>G8</f>
        <v>0.25600000000000001</v>
      </c>
      <c r="H22" s="74">
        <f>H8</f>
        <v>0.128</v>
      </c>
      <c r="I22" s="74"/>
      <c r="J22" s="74"/>
      <c r="K22" s="74" t="str">
        <f t="shared" si="4"/>
        <v/>
      </c>
      <c r="L22" s="75" t="str">
        <f t="shared" si="4"/>
        <v/>
      </c>
    </row>
    <row r="23" spans="2:22">
      <c r="B23" s="54" t="str">
        <f t="shared" si="3"/>
        <v>MH</v>
      </c>
      <c r="C23" s="144" t="s">
        <v>65</v>
      </c>
      <c r="D23" s="72">
        <f t="shared" si="4"/>
        <v>1.379271328354831</v>
      </c>
      <c r="E23" s="74">
        <f>E9</f>
        <v>0.128</v>
      </c>
      <c r="F23" s="74">
        <f>F9</f>
        <v>0.25600000000000001</v>
      </c>
      <c r="G23" s="74"/>
      <c r="H23" s="74"/>
      <c r="I23" s="74"/>
      <c r="J23" s="74"/>
      <c r="K23" s="74"/>
      <c r="L23" s="75" t="str">
        <f t="shared" si="4"/>
        <v/>
      </c>
      <c r="O23" s="43" t="s">
        <v>249</v>
      </c>
      <c r="P23" s="44"/>
      <c r="Q23" s="44"/>
      <c r="R23" s="44"/>
      <c r="S23" s="44"/>
      <c r="T23" s="86"/>
    </row>
    <row r="24" spans="2:22">
      <c r="B24" s="54" t="str">
        <f t="shared" si="3"/>
        <v>SI</v>
      </c>
      <c r="C24" s="144" t="s">
        <v>66</v>
      </c>
      <c r="D24" s="72">
        <f t="shared" si="4"/>
        <v>0.17090970807875086</v>
      </c>
      <c r="E24" s="74">
        <f>E10</f>
        <v>0.3</v>
      </c>
      <c r="F24" s="74">
        <f>F10</f>
        <v>0.128</v>
      </c>
      <c r="G24" s="74" t="str">
        <f t="shared" si="4"/>
        <v/>
      </c>
      <c r="H24" s="74"/>
      <c r="I24" s="74">
        <f>I10</f>
        <v>0.51200000000000001</v>
      </c>
      <c r="J24" s="74"/>
      <c r="K24" s="74" t="str">
        <f t="shared" si="4"/>
        <v/>
      </c>
      <c r="L24" s="75" t="str">
        <f t="shared" si="4"/>
        <v/>
      </c>
      <c r="O24" s="51" t="s">
        <v>208</v>
      </c>
      <c r="P24" s="52" t="s">
        <v>209</v>
      </c>
      <c r="Q24" s="52" t="s">
        <v>210</v>
      </c>
      <c r="R24" s="52" t="s">
        <v>211</v>
      </c>
      <c r="S24" s="52" t="s">
        <v>212</v>
      </c>
      <c r="T24" s="53" t="s">
        <v>250</v>
      </c>
    </row>
    <row r="25" spans="2:22">
      <c r="B25" s="54" t="str">
        <f t="shared" si="3"/>
        <v>QN</v>
      </c>
      <c r="C25" s="144" t="s">
        <v>67</v>
      </c>
      <c r="D25" s="72">
        <f t="shared" si="4"/>
        <v>7.4360715093912774E-2</v>
      </c>
      <c r="E25" s="74"/>
      <c r="F25" s="74"/>
      <c r="G25" s="74"/>
      <c r="H25" s="74">
        <f>I24</f>
        <v>0.51200000000000001</v>
      </c>
      <c r="I25" s="74"/>
      <c r="J25" s="74"/>
      <c r="K25" s="74" t="str">
        <f t="shared" si="4"/>
        <v/>
      </c>
      <c r="L25" s="75" t="str">
        <f t="shared" si="4"/>
        <v/>
      </c>
      <c r="O25" s="59" t="s">
        <v>251</v>
      </c>
      <c r="P25" s="60" t="s">
        <v>216</v>
      </c>
      <c r="Q25" s="60" t="s">
        <v>64</v>
      </c>
      <c r="R25" s="61">
        <v>138</v>
      </c>
      <c r="S25" s="62">
        <v>763</v>
      </c>
      <c r="T25" s="87" t="s">
        <v>252</v>
      </c>
    </row>
    <row r="26" spans="2:22">
      <c r="B26" s="54">
        <f t="shared" si="3"/>
        <v>0</v>
      </c>
      <c r="C26" s="143" t="s">
        <v>68</v>
      </c>
      <c r="D26" s="72"/>
      <c r="E26" s="74" t="str">
        <f t="shared" si="4"/>
        <v/>
      </c>
      <c r="F26" s="74"/>
      <c r="G26" s="74"/>
      <c r="H26" s="74" t="str">
        <f t="shared" si="4"/>
        <v/>
      </c>
      <c r="I26" s="74"/>
      <c r="J26" s="74"/>
      <c r="K26" s="74"/>
      <c r="L26" s="75"/>
      <c r="O26" s="67" t="s">
        <v>253</v>
      </c>
      <c r="P26" s="68" t="s">
        <v>219</v>
      </c>
      <c r="Q26" s="68" t="s">
        <v>68</v>
      </c>
      <c r="R26" s="46">
        <v>345</v>
      </c>
      <c r="S26" s="69">
        <v>315</v>
      </c>
      <c r="T26" s="87" t="s">
        <v>254</v>
      </c>
    </row>
    <row r="27" spans="2:22">
      <c r="B27" s="54"/>
      <c r="C27" s="143" t="s">
        <v>28</v>
      </c>
      <c r="D27" s="72"/>
      <c r="E27" s="74" t="str">
        <f t="shared" si="4"/>
        <v/>
      </c>
      <c r="F27" s="74" t="str">
        <f t="shared" si="4"/>
        <v/>
      </c>
      <c r="G27" s="74"/>
      <c r="H27" s="74" t="str">
        <f t="shared" si="4"/>
        <v/>
      </c>
      <c r="I27" s="74" t="str">
        <f t="shared" si="4"/>
        <v/>
      </c>
      <c r="J27" s="74"/>
      <c r="K27" s="74" t="str">
        <f t="shared" si="4"/>
        <v/>
      </c>
      <c r="L27" s="75"/>
      <c r="O27" s="67" t="s">
        <v>255</v>
      </c>
      <c r="P27" s="68" t="s">
        <v>256</v>
      </c>
      <c r="Q27" s="68" t="s">
        <v>256</v>
      </c>
      <c r="R27" s="46" t="s">
        <v>256</v>
      </c>
      <c r="S27" s="69">
        <v>350</v>
      </c>
      <c r="T27" s="87" t="s">
        <v>254</v>
      </c>
    </row>
    <row r="28" spans="2:22">
      <c r="B28" s="76"/>
      <c r="C28" s="56" t="s">
        <v>69</v>
      </c>
      <c r="D28" s="77" t="str">
        <f t="shared" ref="D28:L28" si="5">D14</f>
        <v/>
      </c>
      <c r="E28" s="78" t="str">
        <f t="shared" si="5"/>
        <v/>
      </c>
      <c r="F28" s="78" t="str">
        <f t="shared" si="5"/>
        <v/>
      </c>
      <c r="G28" s="78" t="str">
        <f t="shared" si="5"/>
        <v/>
      </c>
      <c r="H28" s="78" t="str">
        <f t="shared" si="5"/>
        <v/>
      </c>
      <c r="I28" s="78" t="str">
        <f t="shared" si="5"/>
        <v/>
      </c>
      <c r="J28" s="78" t="str">
        <f t="shared" si="5"/>
        <v/>
      </c>
      <c r="K28" s="78"/>
      <c r="L28" s="79" t="str">
        <f t="shared" si="5"/>
        <v/>
      </c>
      <c r="O28" s="67" t="s">
        <v>257</v>
      </c>
      <c r="P28" s="68" t="s">
        <v>224</v>
      </c>
      <c r="Q28" s="68" t="s">
        <v>225</v>
      </c>
      <c r="R28" s="46">
        <v>138</v>
      </c>
      <c r="S28" s="69">
        <f>((S$4/R$4)*R28)</f>
        <v>128</v>
      </c>
    </row>
    <row r="29" spans="2:22">
      <c r="O29" s="67" t="s">
        <v>258</v>
      </c>
      <c r="P29" s="68" t="s">
        <v>224</v>
      </c>
      <c r="Q29" s="68" t="s">
        <v>225</v>
      </c>
      <c r="R29" s="46">
        <v>138</v>
      </c>
      <c r="S29" s="69">
        <f>((S$4/R$4)*R29)</f>
        <v>128</v>
      </c>
      <c r="V29" s="1" t="s">
        <v>259</v>
      </c>
    </row>
    <row r="30" spans="2:22">
      <c r="B30" s="42" t="s">
        <v>98</v>
      </c>
      <c r="O30" s="67" t="s">
        <v>227</v>
      </c>
      <c r="P30" s="68" t="s">
        <v>222</v>
      </c>
      <c r="Q30" s="68" t="s">
        <v>66</v>
      </c>
      <c r="R30" s="46">
        <v>138</v>
      </c>
      <c r="S30" s="69">
        <f>((S$4/R$4)*R30)</f>
        <v>128</v>
      </c>
    </row>
    <row r="31" spans="2:22">
      <c r="O31" s="67" t="s">
        <v>260</v>
      </c>
      <c r="P31" s="68" t="s">
        <v>222</v>
      </c>
      <c r="Q31" s="68" t="s">
        <v>66</v>
      </c>
      <c r="R31" s="46">
        <v>138</v>
      </c>
      <c r="S31" s="69">
        <f>((S$4/R$4)*R31)</f>
        <v>128</v>
      </c>
    </row>
    <row r="32" spans="2:22">
      <c r="B32" s="42" t="s">
        <v>99</v>
      </c>
      <c r="F32" s="42" t="s">
        <v>64</v>
      </c>
      <c r="G32" s="42" t="s">
        <v>65</v>
      </c>
      <c r="H32" s="42" t="s">
        <v>66</v>
      </c>
      <c r="I32" s="42" t="s">
        <v>67</v>
      </c>
      <c r="O32" s="67" t="s">
        <v>261</v>
      </c>
      <c r="P32" s="68" t="s">
        <v>222</v>
      </c>
      <c r="Q32" s="68" t="s">
        <v>66</v>
      </c>
      <c r="R32" s="46">
        <v>138</v>
      </c>
      <c r="S32" s="69">
        <f>((S$4/R$4)*R32)</f>
        <v>128</v>
      </c>
    </row>
    <row r="33" spans="2:20">
      <c r="B33" s="63" t="s">
        <v>100</v>
      </c>
      <c r="C33" s="64"/>
      <c r="D33" s="80" t="s">
        <v>85</v>
      </c>
      <c r="E33" s="81"/>
      <c r="F33" s="81"/>
      <c r="G33" s="81"/>
      <c r="H33" s="81"/>
      <c r="I33" s="81"/>
      <c r="J33" s="81"/>
      <c r="K33" s="81"/>
      <c r="L33" s="82"/>
      <c r="O33" s="67" t="s">
        <v>221</v>
      </c>
      <c r="P33" s="68" t="s">
        <v>222</v>
      </c>
      <c r="Q33" s="68" t="s">
        <v>66</v>
      </c>
      <c r="R33" s="46">
        <v>345</v>
      </c>
      <c r="S33" s="69">
        <v>660</v>
      </c>
      <c r="T33" s="87" t="s">
        <v>254</v>
      </c>
    </row>
    <row r="34" spans="2:20">
      <c r="B34" s="63" t="s">
        <v>86</v>
      </c>
      <c r="C34" s="64"/>
      <c r="D34" s="64" t="str">
        <f t="shared" ref="D34:J34" si="6">D$18</f>
        <v>NE</v>
      </c>
      <c r="E34" s="65" t="str">
        <f t="shared" si="6"/>
        <v>BK</v>
      </c>
      <c r="F34" s="65" t="str">
        <f t="shared" si="6"/>
        <v>BX</v>
      </c>
      <c r="G34" s="65" t="str">
        <f t="shared" si="6"/>
        <v>MH</v>
      </c>
      <c r="H34" s="65" t="str">
        <f t="shared" si="6"/>
        <v>SI</v>
      </c>
      <c r="I34" s="65" t="str">
        <f t="shared" si="6"/>
        <v>QN</v>
      </c>
      <c r="J34" s="65">
        <f t="shared" si="6"/>
        <v>0</v>
      </c>
      <c r="K34" s="65"/>
      <c r="L34" s="66"/>
      <c r="O34" s="67" t="s">
        <v>262</v>
      </c>
      <c r="P34" s="68" t="s">
        <v>222</v>
      </c>
      <c r="Q34" s="68" t="s">
        <v>66</v>
      </c>
      <c r="R34" s="46">
        <v>138</v>
      </c>
      <c r="S34" s="69">
        <f t="shared" ref="S34:S46" si="7">((S$4/R$4)*R34)</f>
        <v>128</v>
      </c>
    </row>
    <row r="35" spans="2:20">
      <c r="B35" s="63"/>
      <c r="C35" s="64"/>
      <c r="D35" s="64" t="s">
        <v>63</v>
      </c>
      <c r="E35" s="65" t="s">
        <v>27</v>
      </c>
      <c r="F35" s="65" t="s">
        <v>64</v>
      </c>
      <c r="G35" s="65" t="s">
        <v>65</v>
      </c>
      <c r="H35" s="65" t="s">
        <v>66</v>
      </c>
      <c r="I35" s="65" t="s">
        <v>67</v>
      </c>
      <c r="J35" s="65" t="s">
        <v>68</v>
      </c>
      <c r="K35" s="65" t="s">
        <v>28</v>
      </c>
      <c r="L35" s="66" t="s">
        <v>69</v>
      </c>
      <c r="O35" s="67" t="s">
        <v>263</v>
      </c>
      <c r="P35" s="68" t="s">
        <v>229</v>
      </c>
      <c r="Q35" s="68" t="s">
        <v>68</v>
      </c>
      <c r="R35" s="46">
        <v>138</v>
      </c>
      <c r="S35" s="69">
        <f t="shared" si="7"/>
        <v>128</v>
      </c>
    </row>
    <row r="36" spans="2:20">
      <c r="B36" s="63" t="str">
        <f>B20</f>
        <v>NE</v>
      </c>
      <c r="C36" s="64" t="s">
        <v>63</v>
      </c>
      <c r="D36" s="70" t="str">
        <f>D20</f>
        <v/>
      </c>
      <c r="E36" s="71">
        <f t="shared" ref="D36:L43" si="8">E20</f>
        <v>2.3477596741344193</v>
      </c>
      <c r="F36" s="71">
        <f t="shared" si="8"/>
        <v>1.3276985743380856</v>
      </c>
      <c r="G36" s="71">
        <f t="shared" si="8"/>
        <v>1.379271328354831</v>
      </c>
      <c r="H36" s="71">
        <f t="shared" si="8"/>
        <v>0.17090970807875086</v>
      </c>
      <c r="I36" s="71">
        <f t="shared" si="8"/>
        <v>7.4360715093912774E-2</v>
      </c>
      <c r="J36" s="71"/>
      <c r="K36" s="71" t="str">
        <f t="shared" si="8"/>
        <v/>
      </c>
      <c r="L36" s="73" t="str">
        <f t="shared" si="8"/>
        <v/>
      </c>
      <c r="O36" s="67" t="s">
        <v>264</v>
      </c>
      <c r="P36" s="68" t="s">
        <v>224</v>
      </c>
      <c r="Q36" s="68" t="s">
        <v>225</v>
      </c>
      <c r="R36" s="46">
        <v>138</v>
      </c>
      <c r="S36" s="69">
        <f t="shared" si="7"/>
        <v>128</v>
      </c>
    </row>
    <row r="37" spans="2:20">
      <c r="B37" s="54" t="str">
        <f t="shared" ref="B37:B44" si="9">B21</f>
        <v>BK</v>
      </c>
      <c r="C37" s="55" t="s">
        <v>27</v>
      </c>
      <c r="D37" s="72">
        <f t="shared" ref="D37:L40" si="10">D21</f>
        <v>2.3477596741344193</v>
      </c>
      <c r="E37" s="74"/>
      <c r="F37" s="74">
        <f t="shared" si="8"/>
        <v>0.32</v>
      </c>
      <c r="G37" s="74">
        <f t="shared" si="8"/>
        <v>1</v>
      </c>
      <c r="H37" s="74">
        <f t="shared" si="10"/>
        <v>0.3</v>
      </c>
      <c r="I37" s="74" t="str">
        <f t="shared" si="10"/>
        <v/>
      </c>
      <c r="J37" s="74" t="str">
        <f t="shared" si="10"/>
        <v/>
      </c>
      <c r="K37" s="74" t="str">
        <f t="shared" si="10"/>
        <v/>
      </c>
      <c r="L37" s="75" t="str">
        <f t="shared" si="10"/>
        <v/>
      </c>
      <c r="O37" s="67" t="s">
        <v>265</v>
      </c>
      <c r="P37" s="68" t="s">
        <v>224</v>
      </c>
      <c r="Q37" s="68" t="s">
        <v>225</v>
      </c>
      <c r="R37" s="46">
        <v>138</v>
      </c>
      <c r="S37" s="69">
        <f t="shared" si="7"/>
        <v>128</v>
      </c>
    </row>
    <row r="38" spans="2:20">
      <c r="B38" s="54" t="str">
        <f t="shared" si="9"/>
        <v>BX</v>
      </c>
      <c r="C38" s="42" t="s">
        <v>64</v>
      </c>
      <c r="D38" s="72">
        <f t="shared" si="10"/>
        <v>1.3276985743380856</v>
      </c>
      <c r="E38" s="74">
        <f t="shared" si="8"/>
        <v>0.32</v>
      </c>
      <c r="F38" s="74"/>
      <c r="G38" s="74">
        <f t="shared" si="8"/>
        <v>0.25600000000000001</v>
      </c>
      <c r="H38" s="74">
        <f>H22</f>
        <v>0.128</v>
      </c>
      <c r="I38" s="74"/>
      <c r="J38" s="74"/>
      <c r="K38" s="74" t="str">
        <f t="shared" si="10"/>
        <v/>
      </c>
      <c r="L38" s="75" t="str">
        <f t="shared" si="10"/>
        <v/>
      </c>
      <c r="O38" s="67" t="s">
        <v>266</v>
      </c>
      <c r="P38" s="68" t="s">
        <v>222</v>
      </c>
      <c r="Q38" s="68" t="s">
        <v>66</v>
      </c>
      <c r="R38" s="46">
        <v>138</v>
      </c>
      <c r="S38" s="69">
        <f t="shared" si="7"/>
        <v>128</v>
      </c>
    </row>
    <row r="39" spans="2:20">
      <c r="B39" s="54" t="str">
        <f t="shared" si="9"/>
        <v>MH</v>
      </c>
      <c r="C39" s="42" t="s">
        <v>65</v>
      </c>
      <c r="D39" s="72">
        <f t="shared" si="10"/>
        <v>1.379271328354831</v>
      </c>
      <c r="E39" s="74">
        <f t="shared" si="8"/>
        <v>0.128</v>
      </c>
      <c r="F39" s="74">
        <f t="shared" si="8"/>
        <v>0.25600000000000001</v>
      </c>
      <c r="G39" s="74"/>
      <c r="H39" s="74"/>
      <c r="I39" s="74"/>
      <c r="J39" s="74"/>
      <c r="K39" s="74"/>
      <c r="L39" s="75" t="str">
        <f t="shared" si="10"/>
        <v/>
      </c>
      <c r="O39" s="67" t="s">
        <v>267</v>
      </c>
      <c r="P39" s="68" t="s">
        <v>234</v>
      </c>
      <c r="Q39" s="68" t="s">
        <v>235</v>
      </c>
      <c r="R39" s="46">
        <v>138</v>
      </c>
      <c r="S39" s="69">
        <f t="shared" si="7"/>
        <v>128</v>
      </c>
    </row>
    <row r="40" spans="2:20">
      <c r="B40" s="54" t="str">
        <f t="shared" si="9"/>
        <v>SI</v>
      </c>
      <c r="C40" s="42" t="s">
        <v>66</v>
      </c>
      <c r="D40" s="72">
        <f t="shared" si="10"/>
        <v>0.17090970807875086</v>
      </c>
      <c r="E40" s="74">
        <f t="shared" si="8"/>
        <v>0.3</v>
      </c>
      <c r="F40" s="74">
        <f t="shared" si="8"/>
        <v>0.128</v>
      </c>
      <c r="G40" s="74" t="str">
        <f t="shared" si="10"/>
        <v/>
      </c>
      <c r="H40" s="74"/>
      <c r="I40" s="74">
        <f>I24</f>
        <v>0.51200000000000001</v>
      </c>
      <c r="J40" s="74"/>
      <c r="K40" s="74" t="str">
        <f t="shared" si="10"/>
        <v/>
      </c>
      <c r="L40" s="75" t="str">
        <f t="shared" si="10"/>
        <v/>
      </c>
      <c r="O40" s="67" t="s">
        <v>268</v>
      </c>
      <c r="P40" s="68" t="s">
        <v>238</v>
      </c>
      <c r="Q40" s="68" t="s">
        <v>239</v>
      </c>
      <c r="R40" s="46">
        <v>138</v>
      </c>
      <c r="S40" s="69">
        <f t="shared" si="7"/>
        <v>128</v>
      </c>
    </row>
    <row r="41" spans="2:20">
      <c r="B41" s="54" t="str">
        <f t="shared" si="9"/>
        <v>QN</v>
      </c>
      <c r="C41" s="42" t="s">
        <v>67</v>
      </c>
      <c r="D41" s="72">
        <f t="shared" si="8"/>
        <v>7.4360715093912774E-2</v>
      </c>
      <c r="E41" s="74"/>
      <c r="F41" s="74"/>
      <c r="G41" s="74"/>
      <c r="H41" s="74"/>
      <c r="I41" s="74"/>
      <c r="J41" s="74"/>
      <c r="K41" s="74" t="str">
        <f t="shared" si="8"/>
        <v/>
      </c>
      <c r="L41" s="75" t="str">
        <f t="shared" si="8"/>
        <v/>
      </c>
      <c r="O41" s="67" t="s">
        <v>269</v>
      </c>
      <c r="P41" s="68" t="s">
        <v>241</v>
      </c>
      <c r="Q41" s="68" t="s">
        <v>68</v>
      </c>
      <c r="R41" s="46">
        <v>138</v>
      </c>
      <c r="S41" s="69">
        <f t="shared" si="7"/>
        <v>128</v>
      </c>
    </row>
    <row r="42" spans="2:20">
      <c r="B42" s="54">
        <f t="shared" si="9"/>
        <v>0</v>
      </c>
      <c r="C42" s="55" t="s">
        <v>68</v>
      </c>
      <c r="D42" s="72"/>
      <c r="E42" s="74" t="str">
        <f t="shared" si="8"/>
        <v/>
      </c>
      <c r="F42" s="74"/>
      <c r="G42" s="74"/>
      <c r="H42" s="74" t="str">
        <f t="shared" si="8"/>
        <v/>
      </c>
      <c r="I42" s="74"/>
      <c r="J42" s="74"/>
      <c r="K42" s="74"/>
      <c r="L42" s="75"/>
      <c r="O42" s="67" t="s">
        <v>270</v>
      </c>
      <c r="P42" s="68" t="s">
        <v>242</v>
      </c>
      <c r="Q42" s="68" t="s">
        <v>67</v>
      </c>
      <c r="R42" s="46">
        <v>138</v>
      </c>
      <c r="S42" s="69">
        <f t="shared" si="7"/>
        <v>128</v>
      </c>
    </row>
    <row r="43" spans="2:20">
      <c r="B43" s="54">
        <f t="shared" si="9"/>
        <v>0</v>
      </c>
      <c r="C43" s="55" t="s">
        <v>28</v>
      </c>
      <c r="D43" s="72"/>
      <c r="E43" s="74" t="str">
        <f t="shared" si="8"/>
        <v/>
      </c>
      <c r="F43" s="74" t="str">
        <f t="shared" si="8"/>
        <v/>
      </c>
      <c r="G43" s="74"/>
      <c r="H43" s="74" t="str">
        <f t="shared" si="8"/>
        <v/>
      </c>
      <c r="I43" s="74" t="str">
        <f t="shared" si="8"/>
        <v/>
      </c>
      <c r="J43" s="74"/>
      <c r="K43" s="74" t="str">
        <f t="shared" si="8"/>
        <v/>
      </c>
      <c r="L43" s="75"/>
      <c r="O43" s="67" t="s">
        <v>271</v>
      </c>
      <c r="P43" s="68" t="s">
        <v>242</v>
      </c>
      <c r="Q43" s="68" t="s">
        <v>67</v>
      </c>
      <c r="R43" s="46">
        <v>138</v>
      </c>
      <c r="S43" s="69">
        <f t="shared" si="7"/>
        <v>128</v>
      </c>
    </row>
    <row r="44" spans="2:20">
      <c r="B44" s="76">
        <f t="shared" si="9"/>
        <v>0</v>
      </c>
      <c r="C44" s="56" t="s">
        <v>69</v>
      </c>
      <c r="D44" s="77" t="str">
        <f t="shared" ref="D44:L44" si="11">D28</f>
        <v/>
      </c>
      <c r="E44" s="78" t="str">
        <f t="shared" si="11"/>
        <v/>
      </c>
      <c r="F44" s="78" t="str">
        <f t="shared" si="11"/>
        <v/>
      </c>
      <c r="G44" s="78" t="str">
        <f t="shared" si="11"/>
        <v/>
      </c>
      <c r="H44" s="78" t="str">
        <f t="shared" si="11"/>
        <v/>
      </c>
      <c r="I44" s="78" t="str">
        <f t="shared" si="11"/>
        <v/>
      </c>
      <c r="J44" s="78" t="str">
        <f t="shared" si="11"/>
        <v/>
      </c>
      <c r="K44" s="78"/>
      <c r="L44" s="79" t="str">
        <f t="shared" si="11"/>
        <v/>
      </c>
      <c r="O44" s="67" t="s">
        <v>272</v>
      </c>
      <c r="P44" s="68"/>
      <c r="Q44" s="68"/>
      <c r="R44" s="46">
        <v>345</v>
      </c>
      <c r="S44" s="69">
        <f t="shared" si="7"/>
        <v>320</v>
      </c>
    </row>
    <row r="45" spans="2:20">
      <c r="B45" s="54" t="s">
        <v>161</v>
      </c>
      <c r="O45" s="67" t="s">
        <v>231</v>
      </c>
      <c r="P45" s="68" t="s">
        <v>242</v>
      </c>
      <c r="Q45" s="68" t="s">
        <v>67</v>
      </c>
      <c r="R45" s="46">
        <v>138</v>
      </c>
      <c r="S45" s="69">
        <f t="shared" si="7"/>
        <v>128</v>
      </c>
    </row>
    <row r="46" spans="2:20">
      <c r="O46" s="83" t="s">
        <v>273</v>
      </c>
      <c r="P46" s="68" t="s">
        <v>238</v>
      </c>
      <c r="Q46" s="68" t="s">
        <v>239</v>
      </c>
      <c r="R46" s="46">
        <v>138</v>
      </c>
      <c r="S46" s="69">
        <f t="shared" si="7"/>
        <v>128</v>
      </c>
    </row>
    <row r="47" spans="2:20">
      <c r="B47" s="63" t="s">
        <v>101</v>
      </c>
      <c r="C47" s="64"/>
      <c r="D47" s="80" t="s">
        <v>85</v>
      </c>
      <c r="E47" s="81"/>
      <c r="F47" s="81"/>
      <c r="G47" s="81"/>
      <c r="H47" s="81"/>
      <c r="I47" s="81"/>
      <c r="J47" s="81"/>
      <c r="K47" s="81"/>
      <c r="L47" s="82"/>
      <c r="O47" s="84"/>
      <c r="P47" s="85"/>
      <c r="Q47" s="85"/>
      <c r="R47" s="85"/>
      <c r="S47" s="86">
        <f>SUM(S26:S46)</f>
        <v>3821</v>
      </c>
    </row>
    <row r="48" spans="2:20">
      <c r="B48" s="63" t="s">
        <v>86</v>
      </c>
      <c r="C48" s="64"/>
      <c r="D48" s="64" t="str">
        <f t="shared" ref="D48:J48" si="12">D$18</f>
        <v>NE</v>
      </c>
      <c r="E48" s="65" t="str">
        <f t="shared" si="12"/>
        <v>BK</v>
      </c>
      <c r="F48" s="65" t="str">
        <f t="shared" si="12"/>
        <v>BX</v>
      </c>
      <c r="G48" s="65" t="str">
        <f t="shared" si="12"/>
        <v>MH</v>
      </c>
      <c r="H48" s="65" t="str">
        <f t="shared" si="12"/>
        <v>SI</v>
      </c>
      <c r="I48" s="65" t="str">
        <f t="shared" si="12"/>
        <v>QN</v>
      </c>
      <c r="J48" s="65">
        <f t="shared" si="12"/>
        <v>0</v>
      </c>
      <c r="K48" s="65"/>
      <c r="L48" s="66"/>
    </row>
    <row r="49" spans="2:20">
      <c r="B49" s="63"/>
      <c r="C49" s="64"/>
      <c r="D49" s="64" t="s">
        <v>63</v>
      </c>
      <c r="E49" s="65" t="s">
        <v>27</v>
      </c>
      <c r="F49" s="65" t="s">
        <v>64</v>
      </c>
      <c r="G49" s="65" t="s">
        <v>65</v>
      </c>
      <c r="H49" s="65" t="s">
        <v>66</v>
      </c>
      <c r="I49" s="65" t="s">
        <v>67</v>
      </c>
      <c r="J49" s="65" t="s">
        <v>68</v>
      </c>
      <c r="K49" s="65" t="s">
        <v>28</v>
      </c>
      <c r="L49" s="66" t="s">
        <v>69</v>
      </c>
    </row>
    <row r="50" spans="2:20">
      <c r="B50" s="63" t="str">
        <f>D48</f>
        <v>NE</v>
      </c>
      <c r="C50" s="64" t="s">
        <v>63</v>
      </c>
      <c r="D50" s="88" t="str">
        <f>IF(D6="","",0.95)</f>
        <v/>
      </c>
      <c r="E50" s="89">
        <f>IF(E6="","",0.95)</f>
        <v>0.95</v>
      </c>
      <c r="F50" s="89">
        <f t="shared" ref="F50:L52" si="13">IF(F6="","",0.95)</f>
        <v>0.95</v>
      </c>
      <c r="G50" s="89">
        <f t="shared" si="13"/>
        <v>0.95</v>
      </c>
      <c r="H50" s="89">
        <f t="shared" si="13"/>
        <v>0.95</v>
      </c>
      <c r="I50" s="89">
        <f t="shared" si="13"/>
        <v>0.95</v>
      </c>
      <c r="J50" s="89" t="str">
        <f t="shared" si="13"/>
        <v/>
      </c>
      <c r="K50" s="89" t="str">
        <f t="shared" si="13"/>
        <v/>
      </c>
      <c r="L50" s="90" t="str">
        <f t="shared" si="13"/>
        <v/>
      </c>
      <c r="O50" s="146" t="s">
        <v>402</v>
      </c>
    </row>
    <row r="51" spans="2:20">
      <c r="B51" s="54" t="str">
        <f>E48</f>
        <v>BK</v>
      </c>
      <c r="C51" s="143" t="s">
        <v>27</v>
      </c>
      <c r="D51" s="91">
        <f>IF(D7="","",0.95)</f>
        <v>0.95</v>
      </c>
      <c r="E51" s="92" t="str">
        <f>IF(E7="","",0.95)</f>
        <v/>
      </c>
      <c r="F51" s="92">
        <f t="shared" si="13"/>
        <v>0.95</v>
      </c>
      <c r="G51" s="92">
        <f t="shared" si="13"/>
        <v>0.95</v>
      </c>
      <c r="H51" s="92">
        <f t="shared" si="13"/>
        <v>0.95</v>
      </c>
      <c r="I51" s="92" t="str">
        <f t="shared" si="13"/>
        <v/>
      </c>
      <c r="J51" s="92" t="str">
        <f t="shared" si="13"/>
        <v/>
      </c>
      <c r="K51" s="92" t="str">
        <f t="shared" si="13"/>
        <v/>
      </c>
      <c r="L51" s="93" t="str">
        <f t="shared" si="13"/>
        <v/>
      </c>
      <c r="O51" s="145" t="s">
        <v>25</v>
      </c>
      <c r="P51" s="42">
        <v>2010</v>
      </c>
      <c r="Q51" s="42">
        <v>2015</v>
      </c>
      <c r="R51" s="42">
        <v>2020</v>
      </c>
      <c r="S51" s="42">
        <v>2025</v>
      </c>
      <c r="T51" s="68" t="s">
        <v>404</v>
      </c>
    </row>
    <row r="52" spans="2:20">
      <c r="B52" s="54" t="str">
        <f>F48</f>
        <v>BX</v>
      </c>
      <c r="C52" s="144" t="s">
        <v>64</v>
      </c>
      <c r="D52" s="91">
        <f>IF(D8="","",0.95)</f>
        <v>0.95</v>
      </c>
      <c r="E52" s="92">
        <f t="shared" ref="E52:L52" si="14">IF(E8="","",0.95)</f>
        <v>0.95</v>
      </c>
      <c r="F52" s="92" t="str">
        <f t="shared" si="14"/>
        <v/>
      </c>
      <c r="G52" s="92">
        <f t="shared" si="13"/>
        <v>0.95</v>
      </c>
      <c r="H52" s="92">
        <f t="shared" si="14"/>
        <v>0.95</v>
      </c>
      <c r="I52" s="92" t="str">
        <f t="shared" si="14"/>
        <v/>
      </c>
      <c r="J52" s="92" t="str">
        <f t="shared" si="14"/>
        <v/>
      </c>
      <c r="K52" s="92" t="str">
        <f t="shared" si="14"/>
        <v/>
      </c>
      <c r="L52" s="93" t="str">
        <f t="shared" si="14"/>
        <v/>
      </c>
      <c r="O52" s="145" t="s">
        <v>27</v>
      </c>
      <c r="P52" s="42">
        <v>47.79</v>
      </c>
      <c r="Q52" s="42">
        <v>42.67</v>
      </c>
      <c r="R52" s="42">
        <v>41.55</v>
      </c>
      <c r="S52" s="42">
        <v>45.99</v>
      </c>
      <c r="T52" s="147">
        <f>SUM(P52:R52)/SUM($P$52:$R$56)</f>
        <v>0.25436923136212114</v>
      </c>
    </row>
    <row r="53" spans="2:20">
      <c r="B53" s="54" t="str">
        <f>G48</f>
        <v>MH</v>
      </c>
      <c r="C53" s="144" t="s">
        <v>65</v>
      </c>
      <c r="D53" s="91">
        <f t="shared" ref="D53:L58" si="15">IF(D9="","",0.95)</f>
        <v>0.95</v>
      </c>
      <c r="E53" s="92">
        <f t="shared" si="15"/>
        <v>0.95</v>
      </c>
      <c r="F53" s="92">
        <f t="shared" si="15"/>
        <v>0.95</v>
      </c>
      <c r="G53" s="92"/>
      <c r="H53" s="92" t="str">
        <f t="shared" si="15"/>
        <v/>
      </c>
      <c r="I53" s="92" t="str">
        <f t="shared" si="15"/>
        <v/>
      </c>
      <c r="J53" s="92" t="str">
        <f t="shared" si="15"/>
        <v/>
      </c>
      <c r="K53" s="92" t="str">
        <f t="shared" si="15"/>
        <v/>
      </c>
      <c r="L53" s="93" t="str">
        <f t="shared" si="15"/>
        <v/>
      </c>
      <c r="O53" s="145" t="s">
        <v>64</v>
      </c>
      <c r="P53" s="42">
        <v>24.2</v>
      </c>
      <c r="Q53" s="42">
        <v>21.52</v>
      </c>
      <c r="R53" s="42">
        <v>20.84</v>
      </c>
      <c r="S53" s="42">
        <v>22.36</v>
      </c>
      <c r="T53" s="147">
        <f t="shared" ref="T53:T56" si="16">SUM(P53:R53)/SUM($P$52:$R$56)</f>
        <v>0.12825404165944085</v>
      </c>
    </row>
    <row r="54" spans="2:20">
      <c r="B54" s="54" t="str">
        <f>H48</f>
        <v>SI</v>
      </c>
      <c r="C54" s="144" t="s">
        <v>66</v>
      </c>
      <c r="D54" s="91">
        <f t="shared" si="15"/>
        <v>0.95</v>
      </c>
      <c r="E54" s="92">
        <f t="shared" si="15"/>
        <v>0.95</v>
      </c>
      <c r="F54" s="92">
        <f>IF(F10="","",0.95)</f>
        <v>0.95</v>
      </c>
      <c r="G54" s="92" t="str">
        <f t="shared" si="15"/>
        <v/>
      </c>
      <c r="H54" s="92" t="str">
        <f t="shared" si="15"/>
        <v/>
      </c>
      <c r="I54" s="92">
        <f t="shared" si="15"/>
        <v>0.95</v>
      </c>
      <c r="J54" s="92"/>
      <c r="K54" s="92" t="str">
        <f t="shared" si="15"/>
        <v/>
      </c>
      <c r="L54" s="93" t="str">
        <f t="shared" si="15"/>
        <v/>
      </c>
      <c r="O54" s="145" t="s">
        <v>65</v>
      </c>
      <c r="P54" s="42">
        <v>75.27</v>
      </c>
      <c r="Q54" s="42">
        <v>61.95</v>
      </c>
      <c r="R54" s="42">
        <v>62.95</v>
      </c>
      <c r="S54" s="42">
        <v>67.64</v>
      </c>
      <c r="T54" s="147">
        <f t="shared" si="16"/>
        <v>0.38570630286914476</v>
      </c>
    </row>
    <row r="55" spans="2:20">
      <c r="B55" s="54" t="str">
        <f>I48</f>
        <v>QN</v>
      </c>
      <c r="C55" s="144" t="s">
        <v>67</v>
      </c>
      <c r="D55" s="91">
        <f t="shared" si="15"/>
        <v>0.95</v>
      </c>
      <c r="E55" s="92" t="str">
        <f t="shared" si="15"/>
        <v/>
      </c>
      <c r="F55" s="92" t="str">
        <f t="shared" si="15"/>
        <v/>
      </c>
      <c r="G55" s="92" t="str">
        <f t="shared" si="15"/>
        <v/>
      </c>
      <c r="H55" s="92">
        <f t="shared" si="15"/>
        <v>0.95</v>
      </c>
      <c r="I55" s="92" t="str">
        <f t="shared" si="15"/>
        <v/>
      </c>
      <c r="J55" s="92" t="str">
        <f t="shared" si="15"/>
        <v/>
      </c>
      <c r="K55" s="92" t="str">
        <f t="shared" si="15"/>
        <v/>
      </c>
      <c r="L55" s="93" t="str">
        <f t="shared" si="15"/>
        <v/>
      </c>
      <c r="O55" s="145" t="s">
        <v>66</v>
      </c>
      <c r="P55" s="42">
        <v>11.81</v>
      </c>
      <c r="Q55" s="42">
        <v>11.11</v>
      </c>
      <c r="R55" s="42">
        <v>10.46</v>
      </c>
      <c r="S55" s="42">
        <v>11.41</v>
      </c>
      <c r="T55" s="147">
        <f t="shared" si="16"/>
        <v>6.4319710195194349E-2</v>
      </c>
    </row>
    <row r="56" spans="2:20">
      <c r="B56" s="54">
        <f>J48</f>
        <v>0</v>
      </c>
      <c r="C56" s="143" t="s">
        <v>68</v>
      </c>
      <c r="D56" s="91" t="str">
        <f t="shared" si="15"/>
        <v/>
      </c>
      <c r="E56" s="92" t="str">
        <f t="shared" si="15"/>
        <v/>
      </c>
      <c r="F56" s="92" t="str">
        <f t="shared" si="15"/>
        <v/>
      </c>
      <c r="G56" s="92" t="str">
        <f t="shared" si="15"/>
        <v/>
      </c>
      <c r="H56" s="92"/>
      <c r="I56" s="92" t="str">
        <f t="shared" si="15"/>
        <v/>
      </c>
      <c r="J56" s="92" t="str">
        <f t="shared" si="15"/>
        <v/>
      </c>
      <c r="K56" s="92" t="str">
        <f t="shared" si="15"/>
        <v/>
      </c>
      <c r="L56" s="93" t="str">
        <f t="shared" si="15"/>
        <v/>
      </c>
      <c r="O56" s="145" t="s">
        <v>67</v>
      </c>
      <c r="P56" s="42">
        <v>29.57</v>
      </c>
      <c r="Q56" s="42">
        <v>28.38</v>
      </c>
      <c r="R56" s="42">
        <v>28.9</v>
      </c>
      <c r="S56" s="42">
        <v>30.7</v>
      </c>
      <c r="T56" s="147">
        <f t="shared" si="16"/>
        <v>0.16735071391409909</v>
      </c>
    </row>
    <row r="57" spans="2:20">
      <c r="B57" s="54"/>
      <c r="C57" s="143" t="s">
        <v>28</v>
      </c>
      <c r="D57" s="91" t="str">
        <f t="shared" si="15"/>
        <v/>
      </c>
      <c r="E57" s="92" t="str">
        <f t="shared" si="15"/>
        <v/>
      </c>
      <c r="F57" s="92" t="str">
        <f t="shared" si="15"/>
        <v/>
      </c>
      <c r="G57" s="92" t="str">
        <f t="shared" si="15"/>
        <v/>
      </c>
      <c r="H57" s="92" t="str">
        <f t="shared" si="15"/>
        <v/>
      </c>
      <c r="I57" s="92" t="str">
        <f t="shared" si="15"/>
        <v/>
      </c>
      <c r="J57" s="92" t="str">
        <f t="shared" si="15"/>
        <v/>
      </c>
      <c r="K57" s="92" t="str">
        <f t="shared" si="15"/>
        <v/>
      </c>
      <c r="L57" s="93" t="str">
        <f t="shared" si="15"/>
        <v/>
      </c>
    </row>
    <row r="58" spans="2:20">
      <c r="B58" s="76"/>
      <c r="C58" s="56" t="s">
        <v>69</v>
      </c>
      <c r="D58" s="94" t="str">
        <f t="shared" si="15"/>
        <v/>
      </c>
      <c r="E58" s="95" t="str">
        <f t="shared" si="15"/>
        <v/>
      </c>
      <c r="F58" s="95" t="str">
        <f t="shared" si="15"/>
        <v/>
      </c>
      <c r="G58" s="95" t="str">
        <f t="shared" si="15"/>
        <v/>
      </c>
      <c r="H58" s="95" t="str">
        <f t="shared" si="15"/>
        <v/>
      </c>
      <c r="I58" s="95" t="str">
        <f t="shared" si="15"/>
        <v/>
      </c>
      <c r="J58" s="95" t="str">
        <f t="shared" si="15"/>
        <v/>
      </c>
      <c r="K58" s="95" t="str">
        <f t="shared" si="15"/>
        <v/>
      </c>
      <c r="L58" s="96" t="str">
        <f t="shared" si="15"/>
        <v/>
      </c>
      <c r="O58" s="146" t="s">
        <v>403</v>
      </c>
    </row>
    <row r="59" spans="2:20">
      <c r="F59" s="42" t="s">
        <v>64</v>
      </c>
      <c r="G59" s="42" t="s">
        <v>65</v>
      </c>
      <c r="H59" s="42" t="s">
        <v>66</v>
      </c>
      <c r="I59" s="42" t="s">
        <v>67</v>
      </c>
      <c r="O59" s="145" t="s">
        <v>25</v>
      </c>
      <c r="P59" s="42">
        <v>2010</v>
      </c>
      <c r="Q59" s="42">
        <v>2015</v>
      </c>
      <c r="R59" s="42">
        <v>2020</v>
      </c>
      <c r="S59" s="42">
        <v>2025</v>
      </c>
      <c r="T59" s="68" t="s">
        <v>404</v>
      </c>
    </row>
    <row r="60" spans="2:20">
      <c r="B60" s="63" t="s">
        <v>102</v>
      </c>
      <c r="C60" s="64"/>
      <c r="D60" s="80" t="s">
        <v>85</v>
      </c>
      <c r="E60" s="81"/>
      <c r="F60" s="81"/>
      <c r="G60" s="81"/>
      <c r="H60" s="81"/>
      <c r="I60" s="81"/>
      <c r="J60" s="81"/>
      <c r="K60" s="81"/>
      <c r="L60" s="82"/>
      <c r="O60" s="145" t="s">
        <v>27</v>
      </c>
      <c r="P60" s="42">
        <v>8.64</v>
      </c>
      <c r="Q60" s="42">
        <v>10.74</v>
      </c>
      <c r="R60" s="42">
        <v>11.11</v>
      </c>
      <c r="S60" s="42">
        <v>9.6999999999999993</v>
      </c>
      <c r="T60" s="147">
        <f>SUM(P60:R60)/SUM($P$60:$R$64)</f>
        <v>9.9977046922648125E-2</v>
      </c>
    </row>
    <row r="61" spans="2:20">
      <c r="B61" s="63" t="s">
        <v>86</v>
      </c>
      <c r="C61" s="64"/>
      <c r="D61" s="64" t="str">
        <f t="shared" ref="D61:J61" si="17">D$18</f>
        <v>NE</v>
      </c>
      <c r="E61" s="65" t="str">
        <f t="shared" si="17"/>
        <v>BK</v>
      </c>
      <c r="F61" s="65" t="str">
        <f t="shared" si="17"/>
        <v>BX</v>
      </c>
      <c r="G61" s="65" t="str">
        <f t="shared" si="17"/>
        <v>MH</v>
      </c>
      <c r="H61" s="65" t="str">
        <f t="shared" si="17"/>
        <v>SI</v>
      </c>
      <c r="I61" s="65" t="str">
        <f t="shared" si="17"/>
        <v>QN</v>
      </c>
      <c r="J61" s="65">
        <f t="shared" si="17"/>
        <v>0</v>
      </c>
      <c r="K61" s="65"/>
      <c r="L61" s="66"/>
      <c r="O61" s="145" t="s">
        <v>64</v>
      </c>
      <c r="P61" s="42">
        <v>2.06</v>
      </c>
      <c r="Q61" s="42">
        <v>1.65</v>
      </c>
      <c r="R61" s="42">
        <v>1.87</v>
      </c>
      <c r="S61" s="42">
        <v>1.59</v>
      </c>
      <c r="T61" s="147">
        <f t="shared" ref="T61:T64" si="18">SUM(P61:R61)/SUM($P$60:$R$64)</f>
        <v>1.8296881660491194E-2</v>
      </c>
    </row>
    <row r="62" spans="2:20">
      <c r="B62" s="63"/>
      <c r="C62" s="64"/>
      <c r="D62" s="64" t="s">
        <v>63</v>
      </c>
      <c r="E62" s="65" t="s">
        <v>27</v>
      </c>
      <c r="F62" s="65" t="s">
        <v>64</v>
      </c>
      <c r="G62" s="65" t="s">
        <v>65</v>
      </c>
      <c r="H62" s="65" t="s">
        <v>66</v>
      </c>
      <c r="I62" s="65" t="s">
        <v>67</v>
      </c>
      <c r="J62" s="65" t="s">
        <v>68</v>
      </c>
      <c r="K62" s="65" t="s">
        <v>28</v>
      </c>
      <c r="L62" s="66" t="s">
        <v>69</v>
      </c>
      <c r="O62" s="145" t="s">
        <v>65</v>
      </c>
      <c r="P62" s="42">
        <v>52.27</v>
      </c>
      <c r="Q62" s="42">
        <v>56.22</v>
      </c>
      <c r="R62" s="42">
        <v>56.27</v>
      </c>
      <c r="S62" s="42">
        <v>56.27</v>
      </c>
      <c r="T62" s="147">
        <f t="shared" si="18"/>
        <v>0.5402498606420304</v>
      </c>
    </row>
    <row r="63" spans="2:20">
      <c r="B63" s="63" t="str">
        <f>D61</f>
        <v>NE</v>
      </c>
      <c r="C63" s="64" t="s">
        <v>63</v>
      </c>
      <c r="D63" s="88" t="str">
        <f>D50</f>
        <v/>
      </c>
      <c r="E63" s="89">
        <f t="shared" ref="E63:L63" si="19">E50</f>
        <v>0.95</v>
      </c>
      <c r="F63" s="89">
        <f t="shared" si="19"/>
        <v>0.95</v>
      </c>
      <c r="G63" s="89">
        <f t="shared" si="19"/>
        <v>0.95</v>
      </c>
      <c r="H63" s="89">
        <f t="shared" si="19"/>
        <v>0.95</v>
      </c>
      <c r="I63" s="89">
        <f t="shared" si="19"/>
        <v>0.95</v>
      </c>
      <c r="J63" s="89" t="str">
        <f t="shared" si="19"/>
        <v/>
      </c>
      <c r="K63" s="89" t="str">
        <f t="shared" si="19"/>
        <v/>
      </c>
      <c r="L63" s="90" t="str">
        <f t="shared" si="19"/>
        <v/>
      </c>
      <c r="O63" s="145" t="s">
        <v>66</v>
      </c>
      <c r="P63" s="42">
        <v>8.9600000000000009</v>
      </c>
      <c r="Q63" s="42">
        <v>8.08</v>
      </c>
      <c r="R63" s="42">
        <v>5.82</v>
      </c>
      <c r="S63" s="42">
        <v>1.59</v>
      </c>
      <c r="T63" s="147">
        <f t="shared" si="18"/>
        <v>7.4958192609109089E-2</v>
      </c>
    </row>
    <row r="64" spans="2:20">
      <c r="B64" s="54" t="str">
        <f>E61</f>
        <v>BK</v>
      </c>
      <c r="C64" s="55" t="s">
        <v>27</v>
      </c>
      <c r="D64" s="91">
        <f t="shared" ref="D64:L71" si="20">D51</f>
        <v>0.95</v>
      </c>
      <c r="E64" s="92" t="str">
        <f t="shared" si="20"/>
        <v/>
      </c>
      <c r="F64" s="92">
        <f t="shared" si="20"/>
        <v>0.95</v>
      </c>
      <c r="G64" s="92">
        <f t="shared" si="20"/>
        <v>0.95</v>
      </c>
      <c r="H64" s="92">
        <f t="shared" si="20"/>
        <v>0.95</v>
      </c>
      <c r="I64" s="92" t="str">
        <f t="shared" si="20"/>
        <v/>
      </c>
      <c r="J64" s="92" t="str">
        <f t="shared" si="20"/>
        <v/>
      </c>
      <c r="K64" s="92" t="str">
        <f t="shared" si="20"/>
        <v/>
      </c>
      <c r="L64" s="93" t="str">
        <f t="shared" si="20"/>
        <v/>
      </c>
      <c r="O64" s="145" t="s">
        <v>67</v>
      </c>
      <c r="P64" s="42">
        <v>28.33</v>
      </c>
      <c r="Q64" s="42">
        <v>25.65</v>
      </c>
      <c r="R64" s="42">
        <v>27.3</v>
      </c>
      <c r="S64" s="42">
        <v>23.38</v>
      </c>
      <c r="T64" s="147">
        <f t="shared" si="18"/>
        <v>0.26651801816572118</v>
      </c>
    </row>
    <row r="65" spans="2:20">
      <c r="B65" s="54" t="str">
        <f>F61</f>
        <v>BX</v>
      </c>
      <c r="C65" s="42" t="s">
        <v>64</v>
      </c>
      <c r="D65" s="91">
        <f t="shared" si="20"/>
        <v>0.95</v>
      </c>
      <c r="E65" s="92">
        <f t="shared" si="20"/>
        <v>0.95</v>
      </c>
      <c r="F65" s="92" t="str">
        <f t="shared" si="20"/>
        <v/>
      </c>
      <c r="G65" s="92">
        <f t="shared" si="20"/>
        <v>0.95</v>
      </c>
      <c r="H65" s="92">
        <f t="shared" si="20"/>
        <v>0.95</v>
      </c>
      <c r="I65" s="92" t="str">
        <f t="shared" si="20"/>
        <v/>
      </c>
      <c r="J65" s="92" t="str">
        <f t="shared" si="20"/>
        <v/>
      </c>
      <c r="K65" s="92" t="str">
        <f t="shared" si="20"/>
        <v/>
      </c>
      <c r="L65" s="93" t="str">
        <f t="shared" si="20"/>
        <v/>
      </c>
    </row>
    <row r="66" spans="2:20">
      <c r="B66" s="54" t="str">
        <f>G61</f>
        <v>MH</v>
      </c>
      <c r="C66" s="42" t="s">
        <v>65</v>
      </c>
      <c r="D66" s="91">
        <f t="shared" si="20"/>
        <v>0.95</v>
      </c>
      <c r="E66" s="92">
        <f t="shared" si="20"/>
        <v>0.95</v>
      </c>
      <c r="F66" s="92">
        <f t="shared" si="20"/>
        <v>0.95</v>
      </c>
      <c r="G66" s="92"/>
      <c r="H66" s="92" t="str">
        <f t="shared" si="20"/>
        <v/>
      </c>
      <c r="I66" s="92" t="str">
        <f t="shared" si="20"/>
        <v/>
      </c>
      <c r="J66" s="92" t="str">
        <f t="shared" si="20"/>
        <v/>
      </c>
      <c r="K66" s="92" t="str">
        <f t="shared" si="20"/>
        <v/>
      </c>
      <c r="L66" s="93" t="str">
        <f t="shared" si="20"/>
        <v/>
      </c>
      <c r="O66" s="146" t="s">
        <v>405</v>
      </c>
    </row>
    <row r="67" spans="2:20">
      <c r="B67" s="54" t="str">
        <f>H61</f>
        <v>SI</v>
      </c>
      <c r="C67" s="42" t="s">
        <v>66</v>
      </c>
      <c r="D67" s="91">
        <f t="shared" si="20"/>
        <v>0.95</v>
      </c>
      <c r="E67" s="92">
        <f t="shared" si="20"/>
        <v>0.95</v>
      </c>
      <c r="F67" s="92">
        <f t="shared" si="20"/>
        <v>0.95</v>
      </c>
      <c r="G67" s="92" t="str">
        <f t="shared" si="20"/>
        <v/>
      </c>
      <c r="H67" s="92" t="str">
        <f t="shared" si="20"/>
        <v/>
      </c>
      <c r="I67" s="92">
        <f t="shared" si="20"/>
        <v>0.95</v>
      </c>
      <c r="J67" s="92"/>
      <c r="K67" s="92" t="str">
        <f t="shared" si="20"/>
        <v/>
      </c>
      <c r="L67" s="93" t="str">
        <f t="shared" si="20"/>
        <v/>
      </c>
      <c r="O67" s="145" t="s">
        <v>25</v>
      </c>
      <c r="P67" s="42">
        <v>2010</v>
      </c>
      <c r="Q67" s="42">
        <v>2015</v>
      </c>
      <c r="R67" s="42">
        <v>2020</v>
      </c>
      <c r="S67" s="42">
        <v>2025</v>
      </c>
      <c r="T67" s="68" t="s">
        <v>404</v>
      </c>
    </row>
    <row r="68" spans="2:20">
      <c r="B68" s="54" t="str">
        <f>I61</f>
        <v>QN</v>
      </c>
      <c r="C68" s="42" t="s">
        <v>67</v>
      </c>
      <c r="D68" s="91">
        <f t="shared" si="20"/>
        <v>0.95</v>
      </c>
      <c r="E68" s="92" t="str">
        <f t="shared" si="20"/>
        <v/>
      </c>
      <c r="F68" s="92" t="str">
        <f t="shared" si="20"/>
        <v/>
      </c>
      <c r="G68" s="92" t="str">
        <f t="shared" si="20"/>
        <v/>
      </c>
      <c r="H68" s="92">
        <f t="shared" si="20"/>
        <v>0.95</v>
      </c>
      <c r="I68" s="92" t="str">
        <f t="shared" si="20"/>
        <v/>
      </c>
      <c r="J68" s="92" t="str">
        <f t="shared" si="20"/>
        <v/>
      </c>
      <c r="K68" s="92" t="str">
        <f t="shared" si="20"/>
        <v/>
      </c>
      <c r="L68" s="93" t="str">
        <f t="shared" si="20"/>
        <v/>
      </c>
      <c r="O68" s="145" t="s">
        <v>27</v>
      </c>
      <c r="P68" s="42">
        <f>P52-P60</f>
        <v>39.15</v>
      </c>
      <c r="Q68" s="42">
        <f t="shared" ref="Q68:S68" si="21">Q52-Q60</f>
        <v>31.93</v>
      </c>
      <c r="R68" s="42">
        <f t="shared" si="21"/>
        <v>30.439999999999998</v>
      </c>
      <c r="S68" s="42">
        <f t="shared" si="21"/>
        <v>36.290000000000006</v>
      </c>
      <c r="T68" s="147">
        <f>SUM(P68)/SUM($P$68:$P$72)</f>
        <v>0.44297352342158858</v>
      </c>
    </row>
    <row r="69" spans="2:20">
      <c r="B69" s="54">
        <f>J61</f>
        <v>0</v>
      </c>
      <c r="C69" s="55" t="s">
        <v>68</v>
      </c>
      <c r="D69" s="91" t="str">
        <f t="shared" si="20"/>
        <v/>
      </c>
      <c r="E69" s="92" t="str">
        <f t="shared" si="20"/>
        <v/>
      </c>
      <c r="F69" s="92" t="str">
        <f t="shared" si="20"/>
        <v/>
      </c>
      <c r="G69" s="92" t="str">
        <f t="shared" si="20"/>
        <v/>
      </c>
      <c r="H69" s="92"/>
      <c r="I69" s="92" t="str">
        <f t="shared" si="20"/>
        <v/>
      </c>
      <c r="J69" s="92" t="str">
        <f t="shared" si="20"/>
        <v/>
      </c>
      <c r="K69" s="92" t="str">
        <f t="shared" si="20"/>
        <v/>
      </c>
      <c r="L69" s="93" t="str">
        <f t="shared" si="20"/>
        <v/>
      </c>
      <c r="O69" s="145" t="s">
        <v>64</v>
      </c>
      <c r="P69" s="42">
        <f t="shared" ref="P69:S72" si="22">P53-P61</f>
        <v>22.14</v>
      </c>
      <c r="Q69" s="42">
        <f t="shared" si="22"/>
        <v>19.87</v>
      </c>
      <c r="R69" s="42">
        <f t="shared" si="22"/>
        <v>18.97</v>
      </c>
      <c r="S69" s="42">
        <f t="shared" si="22"/>
        <v>20.77</v>
      </c>
      <c r="T69" s="147">
        <f t="shared" ref="T69:T72" si="23">SUM(P69)/SUM($P$68:$P$72)</f>
        <v>0.25050916496945014</v>
      </c>
    </row>
    <row r="70" spans="2:20">
      <c r="B70" s="54"/>
      <c r="C70" s="55" t="s">
        <v>28</v>
      </c>
      <c r="D70" s="91" t="str">
        <f t="shared" si="20"/>
        <v/>
      </c>
      <c r="E70" s="92" t="str">
        <f t="shared" si="20"/>
        <v/>
      </c>
      <c r="F70" s="92" t="str">
        <f t="shared" si="20"/>
        <v/>
      </c>
      <c r="G70" s="92" t="str">
        <f t="shared" si="20"/>
        <v/>
      </c>
      <c r="H70" s="92" t="str">
        <f t="shared" si="20"/>
        <v/>
      </c>
      <c r="I70" s="92" t="str">
        <f t="shared" si="20"/>
        <v/>
      </c>
      <c r="J70" s="92" t="str">
        <f t="shared" si="20"/>
        <v/>
      </c>
      <c r="K70" s="92" t="str">
        <f t="shared" si="20"/>
        <v/>
      </c>
      <c r="L70" s="93" t="str">
        <f t="shared" si="20"/>
        <v/>
      </c>
      <c r="O70" s="145" t="s">
        <v>65</v>
      </c>
      <c r="P70" s="42">
        <f t="shared" si="22"/>
        <v>22.999999999999993</v>
      </c>
      <c r="Q70" s="42">
        <f t="shared" si="22"/>
        <v>5.730000000000004</v>
      </c>
      <c r="R70" s="42">
        <f t="shared" si="22"/>
        <v>6.68</v>
      </c>
      <c r="S70" s="42">
        <f t="shared" si="22"/>
        <v>11.369999999999997</v>
      </c>
      <c r="T70" s="147">
        <f t="shared" si="23"/>
        <v>0.26023987327449644</v>
      </c>
    </row>
    <row r="71" spans="2:20">
      <c r="B71" s="76"/>
      <c r="C71" s="56" t="s">
        <v>69</v>
      </c>
      <c r="D71" s="94" t="str">
        <f t="shared" si="20"/>
        <v/>
      </c>
      <c r="E71" s="95" t="str">
        <f t="shared" si="20"/>
        <v/>
      </c>
      <c r="F71" s="95" t="str">
        <f t="shared" si="20"/>
        <v/>
      </c>
      <c r="G71" s="95" t="str">
        <f t="shared" si="20"/>
        <v/>
      </c>
      <c r="H71" s="95" t="str">
        <f t="shared" si="20"/>
        <v/>
      </c>
      <c r="I71" s="95" t="str">
        <f t="shared" si="20"/>
        <v/>
      </c>
      <c r="J71" s="95" t="str">
        <f t="shared" si="20"/>
        <v/>
      </c>
      <c r="K71" s="95" t="str">
        <f t="shared" si="20"/>
        <v/>
      </c>
      <c r="L71" s="96" t="str">
        <f t="shared" si="20"/>
        <v/>
      </c>
      <c r="O71" s="145" t="s">
        <v>66</v>
      </c>
      <c r="P71" s="42">
        <f t="shared" si="22"/>
        <v>2.8499999999999996</v>
      </c>
      <c r="Q71" s="42">
        <f t="shared" si="22"/>
        <v>3.0299999999999994</v>
      </c>
      <c r="R71" s="42">
        <f t="shared" si="22"/>
        <v>4.6400000000000006</v>
      </c>
      <c r="S71" s="42">
        <f t="shared" si="22"/>
        <v>9.82</v>
      </c>
      <c r="T71" s="147">
        <f t="shared" si="23"/>
        <v>3.2247114731839784E-2</v>
      </c>
    </row>
    <row r="72" spans="2:20">
      <c r="D72" s="46"/>
      <c r="E72" s="46"/>
      <c r="F72" s="46" t="s">
        <v>64</v>
      </c>
      <c r="G72" s="46" t="s">
        <v>65</v>
      </c>
      <c r="H72" s="46" t="s">
        <v>66</v>
      </c>
      <c r="I72" s="46" t="s">
        <v>67</v>
      </c>
      <c r="J72" s="46"/>
      <c r="K72" s="46"/>
      <c r="L72" s="46"/>
      <c r="O72" s="145" t="s">
        <v>67</v>
      </c>
      <c r="P72" s="42">
        <f t="shared" si="22"/>
        <v>1.240000000000002</v>
      </c>
      <c r="Q72" s="42">
        <f t="shared" si="22"/>
        <v>2.7300000000000004</v>
      </c>
      <c r="R72" s="42">
        <f t="shared" si="22"/>
        <v>1.5999999999999979</v>
      </c>
      <c r="S72" s="42">
        <f t="shared" si="22"/>
        <v>7.32</v>
      </c>
      <c r="T72" s="147">
        <f t="shared" si="23"/>
        <v>1.4030323602625051E-2</v>
      </c>
    </row>
    <row r="73" spans="2:20">
      <c r="B73" s="63" t="s">
        <v>103</v>
      </c>
      <c r="C73" s="64"/>
      <c r="D73" s="80" t="s">
        <v>85</v>
      </c>
      <c r="E73" s="81"/>
      <c r="F73" s="81"/>
      <c r="G73" s="81"/>
      <c r="H73" s="81"/>
      <c r="I73" s="81"/>
      <c r="J73" s="81"/>
      <c r="K73" s="81"/>
      <c r="L73" s="82"/>
    </row>
    <row r="74" spans="2:20">
      <c r="B74" s="63" t="s">
        <v>86</v>
      </c>
      <c r="C74" s="64"/>
      <c r="D74" s="64" t="str">
        <f t="shared" ref="D74:J74" si="24">D$18</f>
        <v>NE</v>
      </c>
      <c r="E74" s="65" t="str">
        <f t="shared" si="24"/>
        <v>BK</v>
      </c>
      <c r="F74" s="65" t="str">
        <f t="shared" si="24"/>
        <v>BX</v>
      </c>
      <c r="G74" s="65" t="str">
        <f t="shared" si="24"/>
        <v>MH</v>
      </c>
      <c r="H74" s="65" t="str">
        <f t="shared" si="24"/>
        <v>SI</v>
      </c>
      <c r="I74" s="65" t="str">
        <f t="shared" si="24"/>
        <v>QN</v>
      </c>
      <c r="J74" s="65">
        <f t="shared" si="24"/>
        <v>0</v>
      </c>
      <c r="K74" s="65"/>
      <c r="L74" s="66"/>
      <c r="O74" s="146"/>
    </row>
    <row r="75" spans="2:20">
      <c r="B75" s="63"/>
      <c r="C75" s="64"/>
      <c r="D75" s="64" t="s">
        <v>63</v>
      </c>
      <c r="E75" s="65" t="s">
        <v>27</v>
      </c>
      <c r="F75" s="65" t="s">
        <v>64</v>
      </c>
      <c r="G75" s="65" t="s">
        <v>65</v>
      </c>
      <c r="H75" s="65" t="s">
        <v>66</v>
      </c>
      <c r="I75" s="65" t="s">
        <v>67</v>
      </c>
      <c r="J75" s="65" t="s">
        <v>68</v>
      </c>
      <c r="K75" s="65" t="s">
        <v>28</v>
      </c>
      <c r="L75" s="66" t="s">
        <v>69</v>
      </c>
      <c r="O75" s="145"/>
      <c r="P75" s="145"/>
      <c r="Q75" s="145"/>
      <c r="R75" s="145"/>
      <c r="S75" s="145"/>
      <c r="T75" s="145"/>
    </row>
    <row r="76" spans="2:20">
      <c r="B76" s="63" t="str">
        <f>D74</f>
        <v>NE</v>
      </c>
      <c r="C76" s="64" t="s">
        <v>63</v>
      </c>
      <c r="D76" s="88" t="str">
        <f>IF(D50="","",AVERAGE(D50,D63))</f>
        <v/>
      </c>
      <c r="E76" s="89">
        <f t="shared" ref="E76:L76" si="25">IF(E50="","",AVERAGE(E50,E63))</f>
        <v>0.95</v>
      </c>
      <c r="F76" s="89">
        <f t="shared" si="25"/>
        <v>0.95</v>
      </c>
      <c r="G76" s="89">
        <f t="shared" si="25"/>
        <v>0.95</v>
      </c>
      <c r="H76" s="89">
        <f t="shared" si="25"/>
        <v>0.95</v>
      </c>
      <c r="I76" s="89">
        <f t="shared" si="25"/>
        <v>0.95</v>
      </c>
      <c r="J76" s="89" t="str">
        <f t="shared" si="25"/>
        <v/>
      </c>
      <c r="K76" s="89" t="str">
        <f t="shared" si="25"/>
        <v/>
      </c>
      <c r="L76" s="90" t="str">
        <f t="shared" si="25"/>
        <v/>
      </c>
      <c r="O76" s="145"/>
    </row>
    <row r="77" spans="2:20">
      <c r="B77" s="54" t="str">
        <f>E74</f>
        <v>BK</v>
      </c>
      <c r="C77" s="55" t="s">
        <v>27</v>
      </c>
      <c r="D77" s="91">
        <f t="shared" ref="D77:L84" si="26">IF(D51="","",AVERAGE(D51,D64))</f>
        <v>0.95</v>
      </c>
      <c r="E77" s="92" t="str">
        <f t="shared" si="26"/>
        <v/>
      </c>
      <c r="F77" s="92">
        <f t="shared" si="26"/>
        <v>0.95</v>
      </c>
      <c r="G77" s="92">
        <f t="shared" si="26"/>
        <v>0.95</v>
      </c>
      <c r="H77" s="92">
        <f t="shared" si="26"/>
        <v>0.95</v>
      </c>
      <c r="I77" s="92" t="str">
        <f t="shared" si="26"/>
        <v/>
      </c>
      <c r="J77" s="92" t="str">
        <f t="shared" si="26"/>
        <v/>
      </c>
      <c r="K77" s="92" t="str">
        <f t="shared" si="26"/>
        <v/>
      </c>
      <c r="L77" s="93" t="str">
        <f t="shared" si="26"/>
        <v/>
      </c>
      <c r="O77" s="145"/>
    </row>
    <row r="78" spans="2:20">
      <c r="B78" s="54" t="str">
        <f>F74</f>
        <v>BX</v>
      </c>
      <c r="C78" s="42" t="s">
        <v>64</v>
      </c>
      <c r="D78" s="91">
        <f t="shared" si="26"/>
        <v>0.95</v>
      </c>
      <c r="E78" s="92">
        <f t="shared" si="26"/>
        <v>0.95</v>
      </c>
      <c r="F78" s="92" t="str">
        <f t="shared" si="26"/>
        <v/>
      </c>
      <c r="G78" s="92">
        <f t="shared" si="26"/>
        <v>0.95</v>
      </c>
      <c r="H78" s="92">
        <f t="shared" si="26"/>
        <v>0.95</v>
      </c>
      <c r="I78" s="92" t="str">
        <f t="shared" si="26"/>
        <v/>
      </c>
      <c r="J78" s="92" t="str">
        <f t="shared" si="26"/>
        <v/>
      </c>
      <c r="K78" s="92" t="str">
        <f t="shared" si="26"/>
        <v/>
      </c>
      <c r="L78" s="93" t="str">
        <f t="shared" si="26"/>
        <v/>
      </c>
      <c r="O78" s="145"/>
    </row>
    <row r="79" spans="2:20">
      <c r="B79" s="54" t="str">
        <f>G74</f>
        <v>MH</v>
      </c>
      <c r="C79" s="42" t="s">
        <v>65</v>
      </c>
      <c r="D79" s="91">
        <f t="shared" si="26"/>
        <v>0.95</v>
      </c>
      <c r="E79" s="92">
        <f t="shared" si="26"/>
        <v>0.95</v>
      </c>
      <c r="F79" s="92">
        <f t="shared" si="26"/>
        <v>0.95</v>
      </c>
      <c r="G79" s="92" t="str">
        <f t="shared" si="26"/>
        <v/>
      </c>
      <c r="H79" s="92" t="str">
        <f t="shared" si="26"/>
        <v/>
      </c>
      <c r="I79" s="92" t="str">
        <f t="shared" si="26"/>
        <v/>
      </c>
      <c r="J79" s="92" t="str">
        <f t="shared" si="26"/>
        <v/>
      </c>
      <c r="K79" s="92" t="str">
        <f t="shared" si="26"/>
        <v/>
      </c>
      <c r="L79" s="93" t="str">
        <f t="shared" si="26"/>
        <v/>
      </c>
      <c r="O79" s="145"/>
    </row>
    <row r="80" spans="2:20">
      <c r="B80" s="54" t="str">
        <f>H74</f>
        <v>SI</v>
      </c>
      <c r="C80" s="42" t="s">
        <v>66</v>
      </c>
      <c r="D80" s="91">
        <f t="shared" si="26"/>
        <v>0.95</v>
      </c>
      <c r="E80" s="92">
        <f t="shared" si="26"/>
        <v>0.95</v>
      </c>
      <c r="F80" s="92">
        <f t="shared" si="26"/>
        <v>0.95</v>
      </c>
      <c r="G80" s="92" t="str">
        <f t="shared" si="26"/>
        <v/>
      </c>
      <c r="H80" s="92" t="str">
        <f t="shared" si="26"/>
        <v/>
      </c>
      <c r="I80" s="92">
        <f t="shared" si="26"/>
        <v>0.95</v>
      </c>
      <c r="J80" s="92" t="str">
        <f t="shared" si="26"/>
        <v/>
      </c>
      <c r="K80" s="92" t="str">
        <f t="shared" si="26"/>
        <v/>
      </c>
      <c r="L80" s="93" t="str">
        <f t="shared" si="26"/>
        <v/>
      </c>
      <c r="O80" s="145"/>
    </row>
    <row r="81" spans="2:20">
      <c r="B81" s="54" t="str">
        <f>I74</f>
        <v>QN</v>
      </c>
      <c r="C81" s="42" t="s">
        <v>67</v>
      </c>
      <c r="D81" s="91">
        <f t="shared" si="26"/>
        <v>0.95</v>
      </c>
      <c r="E81" s="92" t="str">
        <f t="shared" si="26"/>
        <v/>
      </c>
      <c r="F81" s="92" t="str">
        <f t="shared" si="26"/>
        <v/>
      </c>
      <c r="G81" s="92" t="str">
        <f t="shared" si="26"/>
        <v/>
      </c>
      <c r="H81" s="92">
        <f t="shared" si="26"/>
        <v>0.95</v>
      </c>
      <c r="I81" s="92" t="str">
        <f t="shared" si="26"/>
        <v/>
      </c>
      <c r="J81" s="92" t="str">
        <f t="shared" si="26"/>
        <v/>
      </c>
      <c r="K81" s="92" t="str">
        <f t="shared" si="26"/>
        <v/>
      </c>
      <c r="L81" s="93" t="str">
        <f t="shared" si="26"/>
        <v/>
      </c>
    </row>
    <row r="82" spans="2:20">
      <c r="B82" s="54">
        <f>J74</f>
        <v>0</v>
      </c>
      <c r="C82" s="55" t="s">
        <v>68</v>
      </c>
      <c r="D82" s="91" t="str">
        <f t="shared" si="26"/>
        <v/>
      </c>
      <c r="E82" s="92" t="str">
        <f t="shared" si="26"/>
        <v/>
      </c>
      <c r="F82" s="92" t="str">
        <f t="shared" si="26"/>
        <v/>
      </c>
      <c r="G82" s="92" t="str">
        <f t="shared" si="26"/>
        <v/>
      </c>
      <c r="H82" s="92" t="str">
        <f t="shared" si="26"/>
        <v/>
      </c>
      <c r="I82" s="92" t="str">
        <f t="shared" si="26"/>
        <v/>
      </c>
      <c r="J82" s="92" t="str">
        <f t="shared" si="26"/>
        <v/>
      </c>
      <c r="K82" s="92" t="str">
        <f t="shared" si="26"/>
        <v/>
      </c>
      <c r="L82" s="93" t="str">
        <f t="shared" si="26"/>
        <v/>
      </c>
    </row>
    <row r="83" spans="2:20">
      <c r="B83" s="54"/>
      <c r="C83" s="55" t="s">
        <v>28</v>
      </c>
      <c r="D83" s="91" t="str">
        <f t="shared" si="26"/>
        <v/>
      </c>
      <c r="E83" s="92" t="str">
        <f t="shared" si="26"/>
        <v/>
      </c>
      <c r="F83" s="92" t="str">
        <f t="shared" si="26"/>
        <v/>
      </c>
      <c r="G83" s="92" t="str">
        <f t="shared" si="26"/>
        <v/>
      </c>
      <c r="H83" s="92" t="str">
        <f t="shared" si="26"/>
        <v/>
      </c>
      <c r="I83" s="92" t="str">
        <f t="shared" si="26"/>
        <v/>
      </c>
      <c r="J83" s="92" t="str">
        <f t="shared" si="26"/>
        <v/>
      </c>
      <c r="K83" s="92" t="str">
        <f t="shared" si="26"/>
        <v/>
      </c>
      <c r="L83" s="93" t="str">
        <f t="shared" si="26"/>
        <v/>
      </c>
      <c r="O83" s="146"/>
    </row>
    <row r="84" spans="2:20">
      <c r="B84" s="76"/>
      <c r="C84" s="56" t="s">
        <v>69</v>
      </c>
      <c r="D84" s="94" t="str">
        <f t="shared" si="26"/>
        <v/>
      </c>
      <c r="E84" s="95" t="str">
        <f t="shared" si="26"/>
        <v/>
      </c>
      <c r="F84" s="95" t="str">
        <f t="shared" si="26"/>
        <v/>
      </c>
      <c r="G84" s="95" t="str">
        <f t="shared" si="26"/>
        <v/>
      </c>
      <c r="H84" s="95" t="str">
        <f t="shared" si="26"/>
        <v/>
      </c>
      <c r="I84" s="95" t="str">
        <f t="shared" si="26"/>
        <v/>
      </c>
      <c r="J84" s="95" t="str">
        <f t="shared" si="26"/>
        <v/>
      </c>
      <c r="K84" s="95" t="str">
        <f t="shared" si="26"/>
        <v/>
      </c>
      <c r="L84" s="96" t="str">
        <f t="shared" si="26"/>
        <v/>
      </c>
      <c r="O84" s="145"/>
      <c r="P84" s="145"/>
      <c r="Q84" s="145"/>
      <c r="R84" s="145"/>
      <c r="S84" s="145"/>
      <c r="T84" s="145"/>
    </row>
    <row r="85" spans="2:20">
      <c r="O85" s="145"/>
    </row>
    <row r="86" spans="2:20">
      <c r="B86" s="42" t="s">
        <v>104</v>
      </c>
      <c r="O86" s="145"/>
    </row>
    <row r="87" spans="2:20">
      <c r="O87" s="145"/>
    </row>
    <row r="88" spans="2:20">
      <c r="O88" s="145"/>
    </row>
    <row r="89" spans="2:20">
      <c r="O89" s="145"/>
    </row>
  </sheetData>
  <phoneticPr fontId="70" type="noConversion"/>
  <conditionalFormatting sqref="D6:L14">
    <cfRule type="containsBlanks" dxfId="11" priority="1">
      <formula>LEN(TRIM(D6))=0</formula>
    </cfRule>
    <cfRule type="cellIs" dxfId="10" priority="2" operator="greaterThan">
      <formula>0</formula>
    </cfRule>
  </conditionalFormatting>
  <conditionalFormatting sqref="D20:L28">
    <cfRule type="containsBlanks" dxfId="9" priority="39">
      <formula>LEN(TRIM(D20))=0</formula>
    </cfRule>
    <cfRule type="cellIs" dxfId="8" priority="40" operator="greaterThan">
      <formula>0</formula>
    </cfRule>
  </conditionalFormatting>
  <conditionalFormatting sqref="D36:L44">
    <cfRule type="containsBlanks" dxfId="7" priority="7">
      <formula>LEN(TRIM(D36))=0</formula>
    </cfRule>
    <cfRule type="cellIs" dxfId="6" priority="8" operator="greaterThan">
      <formula>0</formula>
    </cfRule>
  </conditionalFormatting>
  <conditionalFormatting sqref="D50:L58">
    <cfRule type="containsBlanks" dxfId="5" priority="5">
      <formula>LEN(TRIM(D50))=0</formula>
    </cfRule>
    <cfRule type="cellIs" dxfId="4" priority="6" operator="greaterThan">
      <formula>0</formula>
    </cfRule>
  </conditionalFormatting>
  <conditionalFormatting sqref="D63:L71">
    <cfRule type="containsBlanks" dxfId="3" priority="3">
      <formula>LEN(TRIM(D63))=0</formula>
    </cfRule>
    <cfRule type="cellIs" dxfId="2" priority="4" operator="greaterThan">
      <formula>0</formula>
    </cfRule>
  </conditionalFormatting>
  <conditionalFormatting sqref="D76:L84">
    <cfRule type="containsBlanks" dxfId="1" priority="19">
      <formula>LEN(TRIM(D76))=0</formula>
    </cfRule>
    <cfRule type="cellIs" dxfId="0" priority="20" operator="greaterThan">
      <formula>0</formula>
    </cfRule>
  </conditionalFormatting>
  <hyperlinks>
    <hyperlink ref="O21" r:id="rId1" display="ConEdison 2014 Transmission Plan" xr:uid="{08FCE69E-548E-45BF-90C4-1D9D6B0ABC3B}"/>
    <hyperlink ref="T25" r:id="rId2" xr:uid="{0383AF2A-C98B-40E4-8A2D-E381C76A9614}"/>
    <hyperlink ref="T26" r:id="rId3" xr:uid="{40E89F09-E584-499C-BE13-1F72AE20CB0E}"/>
    <hyperlink ref="T27" r:id="rId4" xr:uid="{B847D909-60C6-4279-87B4-9597DF121CF2}"/>
    <hyperlink ref="T33" r:id="rId5" xr:uid="{626F3F4D-D08A-4BFB-842C-9FF9A514E974}"/>
  </hyperlinks>
  <pageMargins left="0.7" right="0.7" top="0.75" bottom="0.75" header="0.3" footer="0.3"/>
  <drawing r:id="rId6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B1:W86"/>
  <sheetViews>
    <sheetView topLeftCell="A22" zoomScale="75" workbookViewId="0">
      <selection activeCell="E78" sqref="E78"/>
    </sheetView>
  </sheetViews>
  <sheetFormatPr defaultColWidth="9.109375" defaultRowHeight="13.2"/>
  <cols>
    <col min="1" max="1" width="9.109375" style="23"/>
    <col min="2" max="2" width="12" style="23" customWidth="1"/>
    <col min="3" max="3" width="4" style="24" customWidth="1"/>
    <col min="4" max="16384" width="9.109375" style="23"/>
  </cols>
  <sheetData>
    <row r="1" spans="2:12">
      <c r="B1" s="22" t="s">
        <v>83</v>
      </c>
      <c r="C1" s="26"/>
    </row>
    <row r="2" spans="2:12">
      <c r="B2" s="22"/>
      <c r="C2" s="26"/>
    </row>
    <row r="3" spans="2:12">
      <c r="B3" s="23" t="s">
        <v>84</v>
      </c>
      <c r="D3" s="24" t="s">
        <v>85</v>
      </c>
      <c r="E3" s="24"/>
      <c r="F3" s="24"/>
      <c r="G3" s="24"/>
      <c r="H3" s="24"/>
      <c r="I3" s="24"/>
      <c r="J3" s="24"/>
      <c r="K3" s="24"/>
      <c r="L3" s="24"/>
    </row>
    <row r="4" spans="2:12">
      <c r="B4" s="23" t="s">
        <v>86</v>
      </c>
      <c r="D4" s="24" t="s">
        <v>87</v>
      </c>
      <c r="E4" s="24" t="s">
        <v>88</v>
      </c>
      <c r="F4" s="24" t="s">
        <v>90</v>
      </c>
      <c r="G4" s="24" t="s">
        <v>92</v>
      </c>
      <c r="H4" s="24" t="s">
        <v>89</v>
      </c>
      <c r="I4" s="24" t="s">
        <v>91</v>
      </c>
      <c r="J4" s="24" t="s">
        <v>93</v>
      </c>
      <c r="K4" s="24" t="s">
        <v>94</v>
      </c>
      <c r="L4" s="24" t="s">
        <v>95</v>
      </c>
    </row>
    <row r="5" spans="2:12">
      <c r="D5" s="24" t="s">
        <v>63</v>
      </c>
      <c r="E5" s="24" t="s">
        <v>27</v>
      </c>
      <c r="F5" s="24" t="s">
        <v>64</v>
      </c>
      <c r="G5" s="24" t="s">
        <v>65</v>
      </c>
      <c r="H5" s="24" t="s">
        <v>66</v>
      </c>
      <c r="I5" s="24" t="s">
        <v>67</v>
      </c>
      <c r="J5" s="24" t="s">
        <v>68</v>
      </c>
      <c r="K5" s="24" t="s">
        <v>28</v>
      </c>
      <c r="L5" s="24" t="s">
        <v>69</v>
      </c>
    </row>
    <row r="6" spans="2:12">
      <c r="B6" s="23" t="s">
        <v>87</v>
      </c>
      <c r="C6" s="24" t="s">
        <v>63</v>
      </c>
      <c r="D6" s="27" t="s">
        <v>96</v>
      </c>
      <c r="E6" s="27">
        <v>1.6</v>
      </c>
      <c r="F6" s="27" t="s">
        <v>96</v>
      </c>
      <c r="G6" s="27" t="s">
        <v>96</v>
      </c>
      <c r="H6" s="27" t="s">
        <v>96</v>
      </c>
      <c r="I6" s="27" t="s">
        <v>96</v>
      </c>
      <c r="J6" s="27" t="s">
        <v>96</v>
      </c>
      <c r="K6" s="27" t="s">
        <v>96</v>
      </c>
      <c r="L6" s="27" t="s">
        <v>96</v>
      </c>
    </row>
    <row r="7" spans="2:12">
      <c r="B7" s="23" t="s">
        <v>88</v>
      </c>
      <c r="C7" s="24" t="s">
        <v>27</v>
      </c>
      <c r="D7" s="27">
        <v>1.425</v>
      </c>
      <c r="E7" s="27" t="s">
        <v>96</v>
      </c>
      <c r="F7" s="27">
        <v>4.7060000000000004</v>
      </c>
      <c r="G7" s="27"/>
      <c r="H7" s="27">
        <v>4.0999999999999996</v>
      </c>
      <c r="I7" s="27" t="s">
        <v>96</v>
      </c>
      <c r="J7" s="27" t="s">
        <v>96</v>
      </c>
      <c r="K7" s="27" t="s">
        <v>96</v>
      </c>
      <c r="L7" s="27" t="s">
        <v>96</v>
      </c>
    </row>
    <row r="8" spans="2:12">
      <c r="B8" s="23" t="s">
        <v>90</v>
      </c>
      <c r="C8" s="23" t="s">
        <v>64</v>
      </c>
      <c r="D8" s="27" t="s">
        <v>96</v>
      </c>
      <c r="E8" s="27">
        <v>3.4940000000000002</v>
      </c>
      <c r="F8" s="27" t="s">
        <v>96</v>
      </c>
      <c r="G8" s="27">
        <v>1.748</v>
      </c>
      <c r="H8" s="27">
        <v>2.35</v>
      </c>
      <c r="I8" s="27">
        <v>3.6720000000000002</v>
      </c>
      <c r="J8" s="27">
        <v>2.87</v>
      </c>
      <c r="K8" s="27" t="s">
        <v>96</v>
      </c>
      <c r="L8" s="27" t="s">
        <v>96</v>
      </c>
    </row>
    <row r="9" spans="2:12">
      <c r="B9" s="23" t="s">
        <v>92</v>
      </c>
      <c r="C9" s="23" t="s">
        <v>65</v>
      </c>
      <c r="D9" s="27" t="s">
        <v>96</v>
      </c>
      <c r="E9" s="27"/>
      <c r="F9" s="27">
        <v>2.6219999999999999</v>
      </c>
      <c r="G9" s="27" t="s">
        <v>96</v>
      </c>
      <c r="H9" s="27" t="s">
        <v>96</v>
      </c>
      <c r="I9" s="27">
        <v>3.972</v>
      </c>
      <c r="J9" s="27">
        <v>3.1619999999999999</v>
      </c>
      <c r="K9" s="27">
        <v>0.51</v>
      </c>
      <c r="L9" s="27" t="s">
        <v>96</v>
      </c>
    </row>
    <row r="10" spans="2:12">
      <c r="B10" s="23" t="s">
        <v>89</v>
      </c>
      <c r="C10" s="23" t="s">
        <v>66</v>
      </c>
      <c r="D10" s="27" t="s">
        <v>96</v>
      </c>
      <c r="E10" s="27">
        <v>2.4</v>
      </c>
      <c r="F10" s="27">
        <v>4.4279999999999999</v>
      </c>
      <c r="G10" s="27" t="s">
        <v>96</v>
      </c>
      <c r="H10" s="27" t="s">
        <v>96</v>
      </c>
      <c r="I10" s="27">
        <v>5.4489999999999998</v>
      </c>
      <c r="J10" s="27" t="s">
        <v>96</v>
      </c>
      <c r="K10" s="27" t="s">
        <v>96</v>
      </c>
      <c r="L10" s="27" t="s">
        <v>96</v>
      </c>
    </row>
    <row r="11" spans="2:12">
      <c r="B11" s="23" t="s">
        <v>91</v>
      </c>
      <c r="C11" s="23" t="s">
        <v>67</v>
      </c>
      <c r="D11" s="27" t="s">
        <v>96</v>
      </c>
      <c r="E11" s="27" t="s">
        <v>96</v>
      </c>
      <c r="F11" s="27">
        <v>1.3280000000000001</v>
      </c>
      <c r="G11" s="27">
        <v>1.528</v>
      </c>
      <c r="H11" s="27">
        <v>0.70099999999999996</v>
      </c>
      <c r="I11" s="27" t="s">
        <v>96</v>
      </c>
      <c r="J11" s="27">
        <v>5.2670000000000003</v>
      </c>
      <c r="K11" s="27" t="s">
        <v>96</v>
      </c>
      <c r="L11" s="27" t="s">
        <v>96</v>
      </c>
    </row>
    <row r="12" spans="2:12">
      <c r="B12" s="23" t="s">
        <v>93</v>
      </c>
      <c r="C12" s="24" t="s">
        <v>68</v>
      </c>
      <c r="D12" s="27" t="s">
        <v>96</v>
      </c>
      <c r="E12" s="27" t="s">
        <v>96</v>
      </c>
      <c r="F12" s="27">
        <v>1.53</v>
      </c>
      <c r="G12" s="27">
        <v>3.843</v>
      </c>
      <c r="H12" s="27" t="s">
        <v>96</v>
      </c>
      <c r="I12" s="27">
        <v>5.9329999999999998</v>
      </c>
      <c r="J12" s="27" t="s">
        <v>96</v>
      </c>
      <c r="K12" s="27">
        <v>0.42</v>
      </c>
      <c r="L12" s="27" t="s">
        <v>96</v>
      </c>
    </row>
    <row r="13" spans="2:12">
      <c r="B13" s="23" t="s">
        <v>94</v>
      </c>
      <c r="C13" s="24" t="s">
        <v>28</v>
      </c>
      <c r="D13" s="27" t="s">
        <v>96</v>
      </c>
      <c r="E13" s="27" t="s">
        <v>96</v>
      </c>
      <c r="F13" s="27" t="s">
        <v>96</v>
      </c>
      <c r="G13" s="27">
        <v>0.46</v>
      </c>
      <c r="H13" s="27" t="s">
        <v>96</v>
      </c>
      <c r="I13" s="27" t="s">
        <v>96</v>
      </c>
      <c r="J13" s="27">
        <v>0.42</v>
      </c>
      <c r="K13" s="27" t="s">
        <v>96</v>
      </c>
      <c r="L13" s="27">
        <v>12.247</v>
      </c>
    </row>
    <row r="14" spans="2:12">
      <c r="B14" s="23" t="s">
        <v>95</v>
      </c>
      <c r="C14" s="24" t="s">
        <v>69</v>
      </c>
      <c r="D14" s="27" t="s">
        <v>96</v>
      </c>
      <c r="E14" s="27" t="s">
        <v>96</v>
      </c>
      <c r="F14" s="27" t="s">
        <v>96</v>
      </c>
      <c r="G14" s="27" t="s">
        <v>96</v>
      </c>
      <c r="H14" s="27" t="s">
        <v>96</v>
      </c>
      <c r="I14" s="27" t="s">
        <v>96</v>
      </c>
      <c r="J14" s="27" t="s">
        <v>96</v>
      </c>
      <c r="K14" s="27">
        <v>3.077</v>
      </c>
      <c r="L14" s="27" t="s">
        <v>96</v>
      </c>
    </row>
    <row r="16" spans="2:12">
      <c r="F16" s="23" t="s">
        <v>64</v>
      </c>
      <c r="G16" s="23" t="s">
        <v>65</v>
      </c>
      <c r="H16" s="23" t="s">
        <v>66</v>
      </c>
      <c r="I16" s="23" t="s">
        <v>67</v>
      </c>
    </row>
    <row r="17" spans="2:23">
      <c r="B17" s="23" t="s">
        <v>97</v>
      </c>
      <c r="D17" s="24" t="s">
        <v>85</v>
      </c>
      <c r="E17" s="24"/>
      <c r="F17" s="24"/>
      <c r="G17" s="24"/>
      <c r="H17" s="24"/>
      <c r="I17" s="24"/>
      <c r="J17" s="24"/>
      <c r="K17" s="24"/>
      <c r="L17" s="24"/>
    </row>
    <row r="18" spans="2:23">
      <c r="B18" s="23" t="s">
        <v>86</v>
      </c>
      <c r="D18" s="24" t="s">
        <v>87</v>
      </c>
      <c r="E18" s="24" t="s">
        <v>88</v>
      </c>
      <c r="F18" s="24" t="s">
        <v>90</v>
      </c>
      <c r="G18" s="24" t="s">
        <v>92</v>
      </c>
      <c r="H18" s="24" t="s">
        <v>89</v>
      </c>
      <c r="I18" s="24" t="s">
        <v>91</v>
      </c>
      <c r="J18" s="24" t="s">
        <v>93</v>
      </c>
      <c r="K18" s="24" t="s">
        <v>94</v>
      </c>
      <c r="L18" s="24" t="s">
        <v>95</v>
      </c>
    </row>
    <row r="19" spans="2:23">
      <c r="D19" s="24" t="s">
        <v>63</v>
      </c>
      <c r="E19" s="24" t="s">
        <v>27</v>
      </c>
      <c r="F19" s="24" t="s">
        <v>64</v>
      </c>
      <c r="G19" s="24" t="s">
        <v>65</v>
      </c>
      <c r="H19" s="24" t="s">
        <v>66</v>
      </c>
      <c r="I19" s="24" t="s">
        <v>67</v>
      </c>
      <c r="J19" s="24" t="s">
        <v>68</v>
      </c>
      <c r="K19" s="24" t="s">
        <v>28</v>
      </c>
      <c r="L19" s="24" t="s">
        <v>69</v>
      </c>
    </row>
    <row r="20" spans="2:23">
      <c r="B20" s="23" t="s">
        <v>87</v>
      </c>
      <c r="C20" s="24" t="s">
        <v>63</v>
      </c>
      <c r="D20" s="27" t="s">
        <v>96</v>
      </c>
      <c r="E20" s="27">
        <v>1.6</v>
      </c>
      <c r="F20" s="27" t="s">
        <v>96</v>
      </c>
      <c r="G20" s="27" t="s">
        <v>96</v>
      </c>
      <c r="H20" s="27" t="s">
        <v>96</v>
      </c>
      <c r="I20" s="27" t="s">
        <v>96</v>
      </c>
      <c r="J20" s="27" t="s">
        <v>96</v>
      </c>
      <c r="K20" s="27" t="s">
        <v>96</v>
      </c>
      <c r="L20" s="27" t="s">
        <v>96</v>
      </c>
      <c r="O20" s="27"/>
      <c r="P20" s="27"/>
      <c r="Q20" s="27"/>
      <c r="R20" s="27"/>
      <c r="S20" s="27"/>
      <c r="T20" s="27"/>
      <c r="U20" s="27"/>
      <c r="V20" s="27"/>
      <c r="W20" s="27"/>
    </row>
    <row r="21" spans="2:23">
      <c r="B21" s="23" t="s">
        <v>88</v>
      </c>
      <c r="C21" s="24" t="s">
        <v>27</v>
      </c>
      <c r="D21" s="27">
        <v>1.425</v>
      </c>
      <c r="E21" s="27" t="s">
        <v>96</v>
      </c>
      <c r="F21" s="27">
        <v>3.9039999999999999</v>
      </c>
      <c r="G21" s="27" t="s">
        <v>96</v>
      </c>
      <c r="H21" s="27">
        <v>4.0999999999999996</v>
      </c>
      <c r="I21" s="27" t="s">
        <v>96</v>
      </c>
      <c r="J21" s="27" t="s">
        <v>96</v>
      </c>
      <c r="K21" s="27" t="s">
        <v>96</v>
      </c>
      <c r="L21" s="27" t="s">
        <v>96</v>
      </c>
      <c r="O21" s="27"/>
      <c r="P21" s="27"/>
      <c r="Q21" s="27"/>
      <c r="R21" s="27"/>
      <c r="S21" s="27"/>
      <c r="T21" s="27"/>
      <c r="U21" s="27"/>
      <c r="V21" s="27"/>
      <c r="W21" s="27"/>
    </row>
    <row r="22" spans="2:23">
      <c r="B22" s="23" t="s">
        <v>90</v>
      </c>
      <c r="C22" s="23" t="s">
        <v>64</v>
      </c>
      <c r="D22" s="27" t="s">
        <v>96</v>
      </c>
      <c r="E22" s="27">
        <v>3.5459999999999998</v>
      </c>
      <c r="F22" s="27" t="s">
        <v>96</v>
      </c>
      <c r="G22" s="27">
        <v>1.2549999999999999</v>
      </c>
      <c r="H22" s="27">
        <v>4.0220000000000002</v>
      </c>
      <c r="I22" s="27">
        <v>3.2749999999999999</v>
      </c>
      <c r="J22" s="27">
        <v>2.7650000000000001</v>
      </c>
      <c r="K22" s="27" t="s">
        <v>96</v>
      </c>
      <c r="L22" s="27" t="s">
        <v>96</v>
      </c>
      <c r="O22" s="27"/>
      <c r="P22" s="27"/>
      <c r="Q22" s="27"/>
      <c r="R22" s="27"/>
      <c r="S22" s="27"/>
      <c r="T22" s="27"/>
      <c r="U22" s="27"/>
      <c r="V22" s="27"/>
      <c r="W22" s="27"/>
    </row>
    <row r="23" spans="2:23">
      <c r="B23" s="23" t="s">
        <v>92</v>
      </c>
      <c r="C23" s="23" t="s">
        <v>65</v>
      </c>
      <c r="D23" s="27" t="s">
        <v>96</v>
      </c>
      <c r="E23" s="27" t="s">
        <v>96</v>
      </c>
      <c r="F23" s="27">
        <v>2.915</v>
      </c>
      <c r="G23" s="27" t="s">
        <v>96</v>
      </c>
      <c r="H23" s="27" t="s">
        <v>96</v>
      </c>
      <c r="I23" s="27">
        <v>2.8279999999999998</v>
      </c>
      <c r="J23" s="27">
        <v>3.1619999999999999</v>
      </c>
      <c r="K23" s="27">
        <v>0.51</v>
      </c>
      <c r="L23" s="27" t="s">
        <v>96</v>
      </c>
      <c r="O23" s="27"/>
      <c r="P23" s="27"/>
      <c r="Q23" s="27"/>
      <c r="R23" s="27"/>
      <c r="S23" s="27"/>
      <c r="T23" s="27"/>
      <c r="U23" s="27"/>
      <c r="V23" s="27"/>
      <c r="W23" s="27"/>
    </row>
    <row r="24" spans="2:23">
      <c r="B24" s="23" t="s">
        <v>89</v>
      </c>
      <c r="C24" s="23" t="s">
        <v>66</v>
      </c>
      <c r="D24" s="27" t="s">
        <v>96</v>
      </c>
      <c r="E24" s="27">
        <v>2.4</v>
      </c>
      <c r="F24" s="27">
        <v>4.4279999999999999</v>
      </c>
      <c r="G24" s="27" t="s">
        <v>96</v>
      </c>
      <c r="H24" s="27" t="s">
        <v>96</v>
      </c>
      <c r="I24" s="27">
        <v>5.1559999999999997</v>
      </c>
      <c r="J24" s="27" t="s">
        <v>96</v>
      </c>
      <c r="K24" s="27" t="s">
        <v>96</v>
      </c>
      <c r="L24" s="27" t="s">
        <v>96</v>
      </c>
      <c r="O24" s="27"/>
      <c r="P24" s="27"/>
      <c r="Q24" s="27"/>
      <c r="R24" s="27"/>
      <c r="S24" s="27"/>
      <c r="T24" s="27"/>
      <c r="U24" s="27"/>
      <c r="V24" s="27"/>
      <c r="W24" s="27"/>
    </row>
    <row r="25" spans="2:23">
      <c r="B25" s="23" t="s">
        <v>91</v>
      </c>
      <c r="C25" s="23" t="s">
        <v>67</v>
      </c>
      <c r="D25" s="27" t="s">
        <v>96</v>
      </c>
      <c r="E25" s="27" t="s">
        <v>96</v>
      </c>
      <c r="F25" s="27">
        <v>1.425</v>
      </c>
      <c r="G25" s="27">
        <v>2.4279999999999999</v>
      </c>
      <c r="H25" s="27">
        <v>3.544</v>
      </c>
      <c r="I25" s="27" t="s">
        <v>96</v>
      </c>
      <c r="J25" s="27">
        <v>5.1790000000000003</v>
      </c>
      <c r="K25" s="27" t="s">
        <v>96</v>
      </c>
      <c r="L25" s="27" t="s">
        <v>96</v>
      </c>
      <c r="O25" s="27"/>
      <c r="P25" s="27"/>
      <c r="Q25" s="27"/>
      <c r="R25" s="27"/>
      <c r="S25" s="27"/>
      <c r="T25" s="27"/>
      <c r="U25" s="27"/>
      <c r="V25" s="27"/>
      <c r="W25" s="27"/>
    </row>
    <row r="26" spans="2:23">
      <c r="B26" s="23" t="s">
        <v>93</v>
      </c>
      <c r="C26" s="24" t="s">
        <v>68</v>
      </c>
      <c r="D26" s="27" t="s">
        <v>96</v>
      </c>
      <c r="E26" s="27" t="s">
        <v>96</v>
      </c>
      <c r="F26" s="27">
        <v>0.88500000000000001</v>
      </c>
      <c r="G26" s="27">
        <v>3.2429999999999999</v>
      </c>
      <c r="H26" s="27" t="s">
        <v>96</v>
      </c>
      <c r="I26" s="27">
        <v>2.8210000000000002</v>
      </c>
      <c r="J26" s="27" t="s">
        <v>96</v>
      </c>
      <c r="K26" s="27">
        <v>0.42</v>
      </c>
      <c r="L26" s="27" t="s">
        <v>96</v>
      </c>
      <c r="O26" s="27"/>
      <c r="P26" s="27"/>
      <c r="Q26" s="27"/>
      <c r="R26" s="27"/>
      <c r="S26" s="27"/>
      <c r="T26" s="27"/>
      <c r="U26" s="27"/>
      <c r="V26" s="27"/>
      <c r="W26" s="27"/>
    </row>
    <row r="27" spans="2:23">
      <c r="B27" s="23" t="s">
        <v>94</v>
      </c>
      <c r="C27" s="24" t="s">
        <v>28</v>
      </c>
      <c r="D27" s="27" t="s">
        <v>96</v>
      </c>
      <c r="E27" s="27" t="s">
        <v>96</v>
      </c>
      <c r="F27" s="27" t="s">
        <v>96</v>
      </c>
      <c r="G27" s="27">
        <v>0.46</v>
      </c>
      <c r="H27" s="27" t="s">
        <v>96</v>
      </c>
      <c r="I27" s="27" t="s">
        <v>96</v>
      </c>
      <c r="J27" s="27">
        <v>0.42</v>
      </c>
      <c r="K27" s="27" t="s">
        <v>96</v>
      </c>
      <c r="L27" s="27">
        <v>12.247</v>
      </c>
      <c r="O27" s="27"/>
      <c r="P27" s="27"/>
      <c r="Q27" s="27"/>
      <c r="R27" s="27"/>
      <c r="S27" s="27"/>
      <c r="T27" s="27"/>
      <c r="U27" s="27"/>
      <c r="V27" s="27"/>
      <c r="W27" s="27"/>
    </row>
    <row r="28" spans="2:23">
      <c r="B28" s="23" t="s">
        <v>95</v>
      </c>
      <c r="C28" s="24" t="s">
        <v>69</v>
      </c>
      <c r="D28" s="27" t="s">
        <v>96</v>
      </c>
      <c r="E28" s="27" t="s">
        <v>96</v>
      </c>
      <c r="F28" s="27" t="s">
        <v>96</v>
      </c>
      <c r="G28" s="27" t="s">
        <v>96</v>
      </c>
      <c r="H28" s="27" t="s">
        <v>96</v>
      </c>
      <c r="I28" s="27" t="s">
        <v>96</v>
      </c>
      <c r="J28" s="27" t="s">
        <v>96</v>
      </c>
      <c r="K28" s="27">
        <v>3.077</v>
      </c>
      <c r="L28" s="27" t="s">
        <v>96</v>
      </c>
      <c r="O28" s="27"/>
      <c r="P28" s="27"/>
      <c r="Q28" s="27"/>
      <c r="R28" s="27"/>
      <c r="S28" s="27"/>
      <c r="T28" s="27"/>
      <c r="U28" s="27"/>
      <c r="V28" s="27"/>
      <c r="W28" s="27"/>
    </row>
    <row r="30" spans="2:23">
      <c r="B30" s="23" t="s">
        <v>98</v>
      </c>
    </row>
    <row r="32" spans="2:23">
      <c r="B32" s="23" t="s">
        <v>99</v>
      </c>
      <c r="F32" s="23" t="s">
        <v>64</v>
      </c>
      <c r="G32" s="23" t="s">
        <v>65</v>
      </c>
      <c r="H32" s="23" t="s">
        <v>66</v>
      </c>
      <c r="I32" s="23" t="s">
        <v>67</v>
      </c>
    </row>
    <row r="33" spans="2:12">
      <c r="B33" s="23" t="s">
        <v>100</v>
      </c>
      <c r="D33" s="24" t="s">
        <v>85</v>
      </c>
      <c r="E33" s="24"/>
      <c r="F33" s="24"/>
      <c r="G33" s="24"/>
      <c r="H33" s="24"/>
      <c r="I33" s="24"/>
      <c r="J33" s="24"/>
      <c r="K33" s="24"/>
      <c r="L33" s="24"/>
    </row>
    <row r="34" spans="2:12">
      <c r="B34" s="23" t="s">
        <v>86</v>
      </c>
      <c r="D34" s="24" t="s">
        <v>87</v>
      </c>
      <c r="E34" s="24" t="s">
        <v>88</v>
      </c>
      <c r="F34" s="24" t="s">
        <v>90</v>
      </c>
      <c r="G34" s="24" t="s">
        <v>92</v>
      </c>
      <c r="H34" s="24" t="s">
        <v>89</v>
      </c>
      <c r="I34" s="24" t="s">
        <v>91</v>
      </c>
      <c r="J34" s="24" t="s">
        <v>93</v>
      </c>
      <c r="K34" s="24" t="s">
        <v>94</v>
      </c>
      <c r="L34" s="24" t="s">
        <v>95</v>
      </c>
    </row>
    <row r="35" spans="2:12">
      <c r="D35" s="24" t="s">
        <v>63</v>
      </c>
      <c r="E35" s="24" t="s">
        <v>27</v>
      </c>
      <c r="F35" s="24" t="s">
        <v>64</v>
      </c>
      <c r="G35" s="24" t="s">
        <v>65</v>
      </c>
      <c r="H35" s="24" t="s">
        <v>66</v>
      </c>
      <c r="I35" s="24" t="s">
        <v>67</v>
      </c>
      <c r="J35" s="24" t="s">
        <v>68</v>
      </c>
      <c r="K35" s="24" t="s">
        <v>28</v>
      </c>
      <c r="L35" s="24" t="s">
        <v>69</v>
      </c>
    </row>
    <row r="36" spans="2:12">
      <c r="B36" s="23" t="s">
        <v>87</v>
      </c>
      <c r="C36" s="24" t="s">
        <v>63</v>
      </c>
      <c r="D36" s="27" t="s">
        <v>96</v>
      </c>
      <c r="E36" s="27">
        <v>1.6</v>
      </c>
      <c r="F36" s="27" t="s">
        <v>96</v>
      </c>
      <c r="G36" s="27" t="s">
        <v>96</v>
      </c>
      <c r="H36" s="27" t="s">
        <v>96</v>
      </c>
      <c r="I36" s="27" t="s">
        <v>96</v>
      </c>
      <c r="J36" s="27" t="s">
        <v>96</v>
      </c>
      <c r="K36" s="27" t="s">
        <v>96</v>
      </c>
      <c r="L36" s="27" t="s">
        <v>96</v>
      </c>
    </row>
    <row r="37" spans="2:12">
      <c r="B37" s="23" t="s">
        <v>88</v>
      </c>
      <c r="C37" s="24" t="s">
        <v>27</v>
      </c>
      <c r="D37" s="27">
        <v>1.425</v>
      </c>
      <c r="E37" s="27" t="s">
        <v>96</v>
      </c>
      <c r="F37" s="27">
        <v>4.7060000000000004</v>
      </c>
      <c r="G37" s="27" t="s">
        <v>96</v>
      </c>
      <c r="H37" s="27">
        <v>4.0999999999999996</v>
      </c>
      <c r="I37" s="27" t="s">
        <v>96</v>
      </c>
      <c r="J37" s="27" t="s">
        <v>96</v>
      </c>
      <c r="K37" s="27" t="s">
        <v>96</v>
      </c>
      <c r="L37" s="27" t="s">
        <v>96</v>
      </c>
    </row>
    <row r="38" spans="2:12">
      <c r="B38" s="23" t="s">
        <v>90</v>
      </c>
      <c r="C38" s="23" t="s">
        <v>64</v>
      </c>
      <c r="D38" s="27" t="s">
        <v>96</v>
      </c>
      <c r="E38" s="27">
        <v>3.5459999999999998</v>
      </c>
      <c r="F38" s="27" t="s">
        <v>96</v>
      </c>
      <c r="G38" s="27">
        <v>1.748</v>
      </c>
      <c r="H38" s="27">
        <v>4.0220000000000002</v>
      </c>
      <c r="I38" s="27">
        <v>3.6720000000000002</v>
      </c>
      <c r="J38" s="27">
        <v>2.87</v>
      </c>
      <c r="K38" s="27" t="s">
        <v>96</v>
      </c>
      <c r="L38" s="27" t="s">
        <v>96</v>
      </c>
    </row>
    <row r="39" spans="2:12">
      <c r="B39" s="23" t="s">
        <v>92</v>
      </c>
      <c r="C39" s="23" t="s">
        <v>65</v>
      </c>
      <c r="D39" s="27" t="s">
        <v>96</v>
      </c>
      <c r="E39" s="27" t="s">
        <v>96</v>
      </c>
      <c r="F39" s="27">
        <v>2.915</v>
      </c>
      <c r="G39" s="27" t="s">
        <v>96</v>
      </c>
      <c r="H39" s="27" t="s">
        <v>96</v>
      </c>
      <c r="I39" s="27">
        <v>3.972</v>
      </c>
      <c r="J39" s="27">
        <v>3.1619999999999999</v>
      </c>
      <c r="K39" s="27">
        <v>0.51</v>
      </c>
      <c r="L39" s="27" t="s">
        <v>96</v>
      </c>
    </row>
    <row r="40" spans="2:12">
      <c r="B40" s="23" t="s">
        <v>89</v>
      </c>
      <c r="C40" s="23" t="s">
        <v>66</v>
      </c>
      <c r="D40" s="27" t="s">
        <v>96</v>
      </c>
      <c r="E40" s="27">
        <v>2.4</v>
      </c>
      <c r="F40" s="27">
        <v>4.4279999999999999</v>
      </c>
      <c r="G40" s="27" t="s">
        <v>96</v>
      </c>
      <c r="H40" s="27" t="s">
        <v>96</v>
      </c>
      <c r="I40" s="27">
        <v>5.4489999999999998</v>
      </c>
      <c r="J40" s="27" t="s">
        <v>96</v>
      </c>
      <c r="K40" s="27" t="s">
        <v>96</v>
      </c>
      <c r="L40" s="27" t="s">
        <v>96</v>
      </c>
    </row>
    <row r="41" spans="2:12">
      <c r="B41" s="23" t="s">
        <v>91</v>
      </c>
      <c r="C41" s="23" t="s">
        <v>67</v>
      </c>
      <c r="D41" s="27" t="s">
        <v>96</v>
      </c>
      <c r="E41" s="27" t="s">
        <v>96</v>
      </c>
      <c r="F41" s="27">
        <v>1.425</v>
      </c>
      <c r="G41" s="27">
        <v>2.4279999999999999</v>
      </c>
      <c r="H41" s="27">
        <v>3.544</v>
      </c>
      <c r="I41" s="27" t="s">
        <v>96</v>
      </c>
      <c r="J41" s="27">
        <v>5.2670000000000003</v>
      </c>
      <c r="K41" s="27" t="s">
        <v>96</v>
      </c>
      <c r="L41" s="27" t="s">
        <v>96</v>
      </c>
    </row>
    <row r="42" spans="2:12">
      <c r="B42" s="23" t="s">
        <v>93</v>
      </c>
      <c r="C42" s="24" t="s">
        <v>68</v>
      </c>
      <c r="D42" s="27" t="s">
        <v>96</v>
      </c>
      <c r="E42" s="27" t="s">
        <v>96</v>
      </c>
      <c r="F42" s="27">
        <v>1.53</v>
      </c>
      <c r="G42" s="27">
        <v>3.843</v>
      </c>
      <c r="H42" s="27" t="s">
        <v>96</v>
      </c>
      <c r="I42" s="27">
        <v>5.9329999999999998</v>
      </c>
      <c r="J42" s="27" t="s">
        <v>96</v>
      </c>
      <c r="K42" s="27">
        <v>0.42</v>
      </c>
      <c r="L42" s="27" t="s">
        <v>96</v>
      </c>
    </row>
    <row r="43" spans="2:12">
      <c r="B43" s="23" t="s">
        <v>94</v>
      </c>
      <c r="C43" s="24" t="s">
        <v>28</v>
      </c>
      <c r="D43" s="27" t="s">
        <v>96</v>
      </c>
      <c r="E43" s="27" t="s">
        <v>96</v>
      </c>
      <c r="F43" s="27" t="s">
        <v>96</v>
      </c>
      <c r="G43" s="27">
        <v>0.46</v>
      </c>
      <c r="H43" s="27" t="s">
        <v>96</v>
      </c>
      <c r="I43" s="27" t="s">
        <v>96</v>
      </c>
      <c r="J43" s="27">
        <v>0.42</v>
      </c>
      <c r="K43" s="27" t="s">
        <v>96</v>
      </c>
      <c r="L43" s="27">
        <v>12.247</v>
      </c>
    </row>
    <row r="44" spans="2:12">
      <c r="B44" s="23" t="s">
        <v>95</v>
      </c>
      <c r="C44" s="24" t="s">
        <v>69</v>
      </c>
      <c r="D44" s="27" t="s">
        <v>96</v>
      </c>
      <c r="E44" s="27" t="s">
        <v>96</v>
      </c>
      <c r="F44" s="27" t="s">
        <v>96</v>
      </c>
      <c r="G44" s="27" t="s">
        <v>96</v>
      </c>
      <c r="H44" s="27" t="s">
        <v>96</v>
      </c>
      <c r="I44" s="27" t="s">
        <v>96</v>
      </c>
      <c r="J44" s="27" t="s">
        <v>96</v>
      </c>
      <c r="K44" s="27">
        <v>3.077</v>
      </c>
      <c r="L44" s="27" t="s">
        <v>96</v>
      </c>
    </row>
    <row r="45" spans="2:12">
      <c r="B45" s="23" t="s">
        <v>161</v>
      </c>
    </row>
    <row r="47" spans="2:12">
      <c r="B47" s="23" t="s">
        <v>101</v>
      </c>
      <c r="D47" s="24" t="s">
        <v>85</v>
      </c>
      <c r="E47" s="24"/>
      <c r="F47" s="24"/>
      <c r="G47" s="24"/>
      <c r="H47" s="24"/>
      <c r="I47" s="24"/>
      <c r="J47" s="24"/>
      <c r="K47" s="24"/>
      <c r="L47" s="24"/>
    </row>
    <row r="48" spans="2:12">
      <c r="B48" s="23" t="s">
        <v>86</v>
      </c>
      <c r="D48" s="24" t="s">
        <v>87</v>
      </c>
      <c r="E48" s="24" t="s">
        <v>88</v>
      </c>
      <c r="F48" s="24" t="s">
        <v>90</v>
      </c>
      <c r="G48" s="24" t="s">
        <v>92</v>
      </c>
      <c r="H48" s="24" t="s">
        <v>89</v>
      </c>
      <c r="I48" s="24" t="s">
        <v>91</v>
      </c>
      <c r="J48" s="24" t="s">
        <v>93</v>
      </c>
      <c r="K48" s="24" t="s">
        <v>94</v>
      </c>
      <c r="L48" s="24" t="s">
        <v>95</v>
      </c>
    </row>
    <row r="49" spans="2:12">
      <c r="D49" s="24" t="s">
        <v>63</v>
      </c>
      <c r="E49" s="24" t="s">
        <v>27</v>
      </c>
      <c r="F49" s="24" t="s">
        <v>64</v>
      </c>
      <c r="G49" s="24" t="s">
        <v>65</v>
      </c>
      <c r="H49" s="24" t="s">
        <v>66</v>
      </c>
      <c r="I49" s="24" t="s">
        <v>67</v>
      </c>
      <c r="J49" s="24" t="s">
        <v>68</v>
      </c>
      <c r="K49" s="24" t="s">
        <v>28</v>
      </c>
      <c r="L49" s="24" t="s">
        <v>69</v>
      </c>
    </row>
    <row r="50" spans="2:12">
      <c r="B50" s="23" t="s">
        <v>87</v>
      </c>
      <c r="C50" s="24" t="s">
        <v>63</v>
      </c>
      <c r="D50" s="27" t="s">
        <v>96</v>
      </c>
      <c r="E50" s="27">
        <v>1</v>
      </c>
      <c r="F50" s="27" t="s">
        <v>96</v>
      </c>
      <c r="G50" s="27" t="s">
        <v>96</v>
      </c>
      <c r="H50" s="27" t="s">
        <v>96</v>
      </c>
      <c r="I50" s="27" t="s">
        <v>96</v>
      </c>
      <c r="J50" s="27" t="s">
        <v>96</v>
      </c>
      <c r="K50" s="27" t="s">
        <v>96</v>
      </c>
      <c r="L50" s="27" t="s">
        <v>96</v>
      </c>
    </row>
    <row r="51" spans="2:12">
      <c r="B51" s="23" t="s">
        <v>88</v>
      </c>
      <c r="C51" s="24" t="s">
        <v>27</v>
      </c>
      <c r="D51" s="27">
        <v>1</v>
      </c>
      <c r="E51" s="27" t="s">
        <v>96</v>
      </c>
      <c r="F51" s="27">
        <v>1</v>
      </c>
      <c r="G51" s="27" t="s">
        <v>96</v>
      </c>
      <c r="H51" s="27">
        <v>1</v>
      </c>
      <c r="I51" s="27" t="s">
        <v>96</v>
      </c>
      <c r="J51" s="27" t="s">
        <v>96</v>
      </c>
      <c r="K51" s="27" t="s">
        <v>96</v>
      </c>
      <c r="L51" s="27" t="s">
        <v>96</v>
      </c>
    </row>
    <row r="52" spans="2:12">
      <c r="B52" s="23" t="s">
        <v>90</v>
      </c>
      <c r="C52" s="23" t="s">
        <v>64</v>
      </c>
      <c r="D52" s="27" t="s">
        <v>96</v>
      </c>
      <c r="E52" s="27">
        <v>0.98533558939650323</v>
      </c>
      <c r="F52" s="27" t="s">
        <v>96</v>
      </c>
      <c r="G52" s="27">
        <v>1</v>
      </c>
      <c r="H52" s="27">
        <v>0.5842864246643461</v>
      </c>
      <c r="I52" s="27">
        <v>1</v>
      </c>
      <c r="J52" s="27">
        <v>1</v>
      </c>
      <c r="K52" s="27" t="s">
        <v>96</v>
      </c>
      <c r="L52" s="27" t="s">
        <v>96</v>
      </c>
    </row>
    <row r="53" spans="2:12">
      <c r="B53" s="23" t="s">
        <v>92</v>
      </c>
      <c r="C53" s="23" t="s">
        <v>65</v>
      </c>
      <c r="D53" s="27" t="s">
        <v>96</v>
      </c>
      <c r="E53" s="27" t="s">
        <v>96</v>
      </c>
      <c r="F53" s="27">
        <v>0.89948542024013722</v>
      </c>
      <c r="G53" s="27" t="s">
        <v>96</v>
      </c>
      <c r="H53" s="27" t="s">
        <v>96</v>
      </c>
      <c r="I53" s="27">
        <v>1</v>
      </c>
      <c r="J53" s="27">
        <v>1</v>
      </c>
      <c r="K53" s="27">
        <v>1</v>
      </c>
      <c r="L53" s="27" t="s">
        <v>96</v>
      </c>
    </row>
    <row r="54" spans="2:12">
      <c r="B54" s="23" t="s">
        <v>89</v>
      </c>
      <c r="C54" s="23" t="s">
        <v>66</v>
      </c>
      <c r="D54" s="27" t="s">
        <v>96</v>
      </c>
      <c r="E54" s="27">
        <v>1</v>
      </c>
      <c r="F54" s="27">
        <v>1</v>
      </c>
      <c r="G54" s="27" t="s">
        <v>96</v>
      </c>
      <c r="H54" s="27" t="s">
        <v>96</v>
      </c>
      <c r="I54" s="27">
        <v>1</v>
      </c>
      <c r="J54" s="27" t="s">
        <v>96</v>
      </c>
      <c r="K54" s="27" t="s">
        <v>96</v>
      </c>
      <c r="L54" s="27" t="s">
        <v>96</v>
      </c>
    </row>
    <row r="55" spans="2:12">
      <c r="B55" s="23" t="s">
        <v>91</v>
      </c>
      <c r="C55" s="23" t="s">
        <v>67</v>
      </c>
      <c r="D55" s="27" t="s">
        <v>96</v>
      </c>
      <c r="E55" s="27" t="s">
        <v>96</v>
      </c>
      <c r="F55" s="27">
        <v>0.9319298245614035</v>
      </c>
      <c r="G55" s="27">
        <v>0.62932454695222406</v>
      </c>
      <c r="H55" s="27">
        <v>0.19779909706546273</v>
      </c>
      <c r="I55" s="27" t="s">
        <v>96</v>
      </c>
      <c r="J55" s="27">
        <v>1</v>
      </c>
      <c r="K55" s="27" t="s">
        <v>96</v>
      </c>
      <c r="L55" s="27" t="s">
        <v>96</v>
      </c>
    </row>
    <row r="56" spans="2:12">
      <c r="B56" s="23" t="s">
        <v>93</v>
      </c>
      <c r="C56" s="24" t="s">
        <v>68</v>
      </c>
      <c r="D56" s="27" t="s">
        <v>96</v>
      </c>
      <c r="E56" s="27" t="s">
        <v>96</v>
      </c>
      <c r="F56" s="27">
        <v>1</v>
      </c>
      <c r="G56" s="27">
        <v>1</v>
      </c>
      <c r="H56" s="27" t="s">
        <v>96</v>
      </c>
      <c r="I56" s="27">
        <v>1</v>
      </c>
      <c r="J56" s="27" t="s">
        <v>96</v>
      </c>
      <c r="K56" s="27">
        <v>1</v>
      </c>
      <c r="L56" s="27" t="s">
        <v>96</v>
      </c>
    </row>
    <row r="57" spans="2:12">
      <c r="B57" s="23" t="s">
        <v>94</v>
      </c>
      <c r="C57" s="24" t="s">
        <v>28</v>
      </c>
      <c r="D57" s="27" t="s">
        <v>96</v>
      </c>
      <c r="E57" s="27" t="s">
        <v>96</v>
      </c>
      <c r="F57" s="27" t="s">
        <v>96</v>
      </c>
      <c r="G57" s="27">
        <v>1</v>
      </c>
      <c r="H57" s="27" t="s">
        <v>96</v>
      </c>
      <c r="I57" s="27" t="s">
        <v>96</v>
      </c>
      <c r="J57" s="27">
        <v>1</v>
      </c>
      <c r="K57" s="27" t="s">
        <v>96</v>
      </c>
      <c r="L57" s="27">
        <v>1</v>
      </c>
    </row>
    <row r="58" spans="2:12">
      <c r="B58" s="23" t="s">
        <v>95</v>
      </c>
      <c r="C58" s="24" t="s">
        <v>69</v>
      </c>
      <c r="D58" s="27" t="s">
        <v>96</v>
      </c>
      <c r="E58" s="27" t="s">
        <v>96</v>
      </c>
      <c r="F58" s="27" t="s">
        <v>96</v>
      </c>
      <c r="G58" s="27" t="s">
        <v>96</v>
      </c>
      <c r="H58" s="27" t="s">
        <v>96</v>
      </c>
      <c r="I58" s="27" t="s">
        <v>96</v>
      </c>
      <c r="J58" s="27" t="s">
        <v>96</v>
      </c>
      <c r="K58" s="27">
        <v>1</v>
      </c>
      <c r="L58" s="27" t="s">
        <v>96</v>
      </c>
    </row>
    <row r="59" spans="2:12">
      <c r="F59" s="23" t="s">
        <v>64</v>
      </c>
      <c r="G59" s="23" t="s">
        <v>65</v>
      </c>
      <c r="H59" s="23" t="s">
        <v>66</v>
      </c>
      <c r="I59" s="23" t="s">
        <v>67</v>
      </c>
    </row>
    <row r="60" spans="2:12">
      <c r="B60" s="23" t="s">
        <v>102</v>
      </c>
      <c r="D60" s="24" t="s">
        <v>85</v>
      </c>
      <c r="E60" s="24"/>
      <c r="F60" s="24"/>
      <c r="G60" s="24"/>
      <c r="H60" s="24"/>
      <c r="I60" s="24"/>
      <c r="J60" s="24"/>
      <c r="K60" s="24"/>
      <c r="L60" s="24"/>
    </row>
    <row r="61" spans="2:12">
      <c r="B61" s="23" t="s">
        <v>86</v>
      </c>
      <c r="D61" s="24" t="s">
        <v>87</v>
      </c>
      <c r="E61" s="24" t="s">
        <v>88</v>
      </c>
      <c r="F61" s="24" t="s">
        <v>90</v>
      </c>
      <c r="G61" s="24" t="s">
        <v>92</v>
      </c>
      <c r="H61" s="24" t="s">
        <v>89</v>
      </c>
      <c r="I61" s="24" t="s">
        <v>91</v>
      </c>
      <c r="J61" s="24" t="s">
        <v>93</v>
      </c>
      <c r="K61" s="24" t="s">
        <v>94</v>
      </c>
      <c r="L61" s="24" t="s">
        <v>95</v>
      </c>
    </row>
    <row r="62" spans="2:12">
      <c r="D62" s="24" t="s">
        <v>63</v>
      </c>
      <c r="E62" s="24" t="s">
        <v>27</v>
      </c>
      <c r="F62" s="24" t="s">
        <v>64</v>
      </c>
      <c r="G62" s="24" t="s">
        <v>65</v>
      </c>
      <c r="H62" s="24" t="s">
        <v>66</v>
      </c>
      <c r="I62" s="24" t="s">
        <v>67</v>
      </c>
      <c r="J62" s="24" t="s">
        <v>68</v>
      </c>
      <c r="K62" s="24" t="s">
        <v>28</v>
      </c>
      <c r="L62" s="24" t="s">
        <v>69</v>
      </c>
    </row>
    <row r="63" spans="2:12">
      <c r="B63" s="23" t="s">
        <v>87</v>
      </c>
      <c r="C63" s="24" t="s">
        <v>63</v>
      </c>
      <c r="D63" s="27" t="s">
        <v>96</v>
      </c>
      <c r="E63" s="27">
        <v>1</v>
      </c>
      <c r="F63" s="27" t="s">
        <v>96</v>
      </c>
      <c r="G63" s="27" t="s">
        <v>96</v>
      </c>
      <c r="H63" s="27" t="s">
        <v>96</v>
      </c>
      <c r="I63" s="27" t="s">
        <v>96</v>
      </c>
      <c r="J63" s="27" t="s">
        <v>96</v>
      </c>
      <c r="K63" s="27" t="s">
        <v>96</v>
      </c>
      <c r="L63" s="27" t="s">
        <v>96</v>
      </c>
    </row>
    <row r="64" spans="2:12">
      <c r="B64" s="23" t="s">
        <v>88</v>
      </c>
      <c r="C64" s="24" t="s">
        <v>27</v>
      </c>
      <c r="D64" s="27">
        <v>1</v>
      </c>
      <c r="E64" s="27" t="s">
        <v>96</v>
      </c>
      <c r="F64" s="27">
        <v>0.82957926051848696</v>
      </c>
      <c r="G64" s="27" t="s">
        <v>96</v>
      </c>
      <c r="H64" s="27">
        <v>1</v>
      </c>
      <c r="I64" s="27" t="s">
        <v>96</v>
      </c>
      <c r="J64" s="27" t="s">
        <v>96</v>
      </c>
      <c r="K64" s="27" t="s">
        <v>96</v>
      </c>
      <c r="L64" s="27" t="s">
        <v>96</v>
      </c>
    </row>
    <row r="65" spans="2:12">
      <c r="B65" s="23" t="s">
        <v>90</v>
      </c>
      <c r="C65" s="23" t="s">
        <v>64</v>
      </c>
      <c r="D65" s="27" t="s">
        <v>96</v>
      </c>
      <c r="E65" s="27">
        <v>1</v>
      </c>
      <c r="F65" s="27" t="s">
        <v>96</v>
      </c>
      <c r="G65" s="27">
        <v>0.71796338672768878</v>
      </c>
      <c r="H65" s="27">
        <v>1</v>
      </c>
      <c r="I65" s="27">
        <v>0.89188453159041392</v>
      </c>
      <c r="J65" s="27">
        <v>0.96341463414634143</v>
      </c>
      <c r="K65" s="27" t="s">
        <v>96</v>
      </c>
      <c r="L65" s="27" t="s">
        <v>96</v>
      </c>
    </row>
    <row r="66" spans="2:12">
      <c r="B66" s="23" t="s">
        <v>92</v>
      </c>
      <c r="C66" s="23" t="s">
        <v>65</v>
      </c>
      <c r="D66" s="27" t="s">
        <v>96</v>
      </c>
      <c r="E66" s="27" t="s">
        <v>96</v>
      </c>
      <c r="F66" s="27">
        <v>1</v>
      </c>
      <c r="G66" s="27" t="s">
        <v>96</v>
      </c>
      <c r="H66" s="27" t="s">
        <v>96</v>
      </c>
      <c r="I66" s="27">
        <v>0.71198388721047323</v>
      </c>
      <c r="J66" s="27">
        <v>1</v>
      </c>
      <c r="K66" s="27">
        <v>1</v>
      </c>
      <c r="L66" s="27" t="s">
        <v>96</v>
      </c>
    </row>
    <row r="67" spans="2:12">
      <c r="B67" s="23" t="s">
        <v>89</v>
      </c>
      <c r="C67" s="23" t="s">
        <v>66</v>
      </c>
      <c r="D67" s="27" t="s">
        <v>96</v>
      </c>
      <c r="E67" s="27">
        <v>1</v>
      </c>
      <c r="F67" s="27">
        <v>1</v>
      </c>
      <c r="G67" s="27" t="s">
        <v>96</v>
      </c>
      <c r="H67" s="27" t="s">
        <v>96</v>
      </c>
      <c r="I67" s="27">
        <v>0.94622866581024034</v>
      </c>
      <c r="J67" s="27" t="s">
        <v>96</v>
      </c>
      <c r="K67" s="27" t="s">
        <v>96</v>
      </c>
      <c r="L67" s="27" t="s">
        <v>96</v>
      </c>
    </row>
    <row r="68" spans="2:12">
      <c r="B68" s="23" t="s">
        <v>91</v>
      </c>
      <c r="C68" s="23" t="s">
        <v>67</v>
      </c>
      <c r="D68" s="27" t="s">
        <v>96</v>
      </c>
      <c r="E68" s="27" t="s">
        <v>96</v>
      </c>
      <c r="F68" s="27">
        <v>1</v>
      </c>
      <c r="G68" s="27">
        <v>1</v>
      </c>
      <c r="H68" s="27">
        <v>1</v>
      </c>
      <c r="I68" s="27" t="s">
        <v>96</v>
      </c>
      <c r="J68" s="27">
        <v>0.98329219669641166</v>
      </c>
      <c r="K68" s="27" t="s">
        <v>96</v>
      </c>
      <c r="L68" s="27" t="s">
        <v>96</v>
      </c>
    </row>
    <row r="69" spans="2:12">
      <c r="B69" s="23" t="s">
        <v>93</v>
      </c>
      <c r="C69" s="24" t="s">
        <v>68</v>
      </c>
      <c r="D69" s="27" t="s">
        <v>96</v>
      </c>
      <c r="E69" s="27" t="s">
        <v>96</v>
      </c>
      <c r="F69" s="27">
        <v>0.57843137254901955</v>
      </c>
      <c r="G69" s="27">
        <v>0.84387197501951594</v>
      </c>
      <c r="H69" s="27" t="s">
        <v>96</v>
      </c>
      <c r="I69" s="27">
        <v>0.47547615034552509</v>
      </c>
      <c r="J69" s="27" t="s">
        <v>96</v>
      </c>
      <c r="K69" s="27">
        <v>1</v>
      </c>
      <c r="L69" s="27" t="s">
        <v>96</v>
      </c>
    </row>
    <row r="70" spans="2:12">
      <c r="B70" s="23" t="s">
        <v>94</v>
      </c>
      <c r="C70" s="24" t="s">
        <v>28</v>
      </c>
      <c r="D70" s="27" t="s">
        <v>96</v>
      </c>
      <c r="E70" s="27" t="s">
        <v>96</v>
      </c>
      <c r="F70" s="27" t="s">
        <v>96</v>
      </c>
      <c r="G70" s="27">
        <v>1</v>
      </c>
      <c r="H70" s="27" t="s">
        <v>96</v>
      </c>
      <c r="I70" s="27" t="s">
        <v>96</v>
      </c>
      <c r="J70" s="27">
        <v>1</v>
      </c>
      <c r="K70" s="27" t="s">
        <v>96</v>
      </c>
      <c r="L70" s="27">
        <v>1</v>
      </c>
    </row>
    <row r="71" spans="2:12">
      <c r="B71" s="23" t="s">
        <v>95</v>
      </c>
      <c r="C71" s="24" t="s">
        <v>69</v>
      </c>
      <c r="D71" s="27" t="s">
        <v>96</v>
      </c>
      <c r="E71" s="27" t="s">
        <v>96</v>
      </c>
      <c r="F71" s="27" t="s">
        <v>96</v>
      </c>
      <c r="G71" s="27" t="s">
        <v>96</v>
      </c>
      <c r="H71" s="27" t="s">
        <v>96</v>
      </c>
      <c r="I71" s="27" t="s">
        <v>96</v>
      </c>
      <c r="J71" s="27" t="s">
        <v>96</v>
      </c>
      <c r="K71" s="27">
        <v>1</v>
      </c>
      <c r="L71" s="27" t="s">
        <v>96</v>
      </c>
    </row>
    <row r="72" spans="2:12">
      <c r="D72" s="24"/>
      <c r="E72" s="24"/>
      <c r="F72" s="24" t="s">
        <v>64</v>
      </c>
      <c r="G72" s="24" t="s">
        <v>65</v>
      </c>
      <c r="H72" s="24" t="s">
        <v>66</v>
      </c>
      <c r="I72" s="24" t="s">
        <v>67</v>
      </c>
      <c r="J72" s="24"/>
      <c r="K72" s="24"/>
      <c r="L72" s="24"/>
    </row>
    <row r="73" spans="2:12">
      <c r="B73" s="23" t="s">
        <v>103</v>
      </c>
      <c r="D73" s="24" t="s">
        <v>85</v>
      </c>
      <c r="E73" s="24"/>
      <c r="F73" s="24"/>
      <c r="G73" s="24"/>
      <c r="H73" s="24"/>
      <c r="I73" s="24"/>
      <c r="J73" s="24"/>
      <c r="K73" s="24"/>
      <c r="L73" s="24"/>
    </row>
    <row r="74" spans="2:12">
      <c r="B74" s="23" t="s">
        <v>86</v>
      </c>
      <c r="D74" s="24" t="s">
        <v>87</v>
      </c>
      <c r="E74" s="24" t="s">
        <v>88</v>
      </c>
      <c r="F74" s="24" t="s">
        <v>90</v>
      </c>
      <c r="G74" s="24" t="s">
        <v>92</v>
      </c>
      <c r="H74" s="24" t="s">
        <v>89</v>
      </c>
      <c r="I74" s="24" t="s">
        <v>91</v>
      </c>
      <c r="J74" s="24" t="s">
        <v>93</v>
      </c>
      <c r="K74" s="24" t="s">
        <v>94</v>
      </c>
      <c r="L74" s="24" t="s">
        <v>95</v>
      </c>
    </row>
    <row r="75" spans="2:12">
      <c r="D75" s="24" t="s">
        <v>63</v>
      </c>
      <c r="E75" s="24" t="s">
        <v>27</v>
      </c>
      <c r="F75" s="24" t="s">
        <v>64</v>
      </c>
      <c r="G75" s="24" t="s">
        <v>65</v>
      </c>
      <c r="H75" s="24" t="s">
        <v>66</v>
      </c>
      <c r="I75" s="24" t="s">
        <v>67</v>
      </c>
      <c r="J75" s="24" t="s">
        <v>68</v>
      </c>
      <c r="K75" s="24" t="s">
        <v>28</v>
      </c>
      <c r="L75" s="24" t="s">
        <v>69</v>
      </c>
    </row>
    <row r="76" spans="2:12">
      <c r="B76" s="23" t="s">
        <v>87</v>
      </c>
      <c r="C76" s="24" t="s">
        <v>63</v>
      </c>
      <c r="D76" s="27" t="s">
        <v>96</v>
      </c>
      <c r="E76" s="27">
        <v>1</v>
      </c>
      <c r="F76" s="27" t="s">
        <v>96</v>
      </c>
      <c r="G76" s="27" t="s">
        <v>96</v>
      </c>
      <c r="H76" s="27" t="s">
        <v>96</v>
      </c>
      <c r="I76" s="27" t="s">
        <v>96</v>
      </c>
      <c r="J76" s="27" t="s">
        <v>96</v>
      </c>
      <c r="K76" s="27" t="s">
        <v>96</v>
      </c>
      <c r="L76" s="27" t="s">
        <v>96</v>
      </c>
    </row>
    <row r="77" spans="2:12">
      <c r="B77" s="23" t="s">
        <v>88</v>
      </c>
      <c r="C77" s="24" t="s">
        <v>27</v>
      </c>
      <c r="D77" s="27">
        <v>1</v>
      </c>
      <c r="E77" s="27" t="s">
        <v>96</v>
      </c>
      <c r="F77" s="27">
        <v>0.91478963025924354</v>
      </c>
      <c r="G77" s="27" t="s">
        <v>96</v>
      </c>
      <c r="H77" s="27">
        <v>1</v>
      </c>
      <c r="I77" s="27" t="s">
        <v>96</v>
      </c>
      <c r="J77" s="27" t="s">
        <v>96</v>
      </c>
      <c r="K77" s="27" t="s">
        <v>96</v>
      </c>
      <c r="L77" s="27" t="s">
        <v>96</v>
      </c>
    </row>
    <row r="78" spans="2:12">
      <c r="B78" s="23" t="s">
        <v>90</v>
      </c>
      <c r="C78" s="23" t="s">
        <v>64</v>
      </c>
      <c r="D78" s="27" t="s">
        <v>96</v>
      </c>
      <c r="E78" s="27">
        <v>0.99266779469825162</v>
      </c>
      <c r="F78" s="27" t="s">
        <v>96</v>
      </c>
      <c r="G78" s="27">
        <v>0.85898169336384433</v>
      </c>
      <c r="H78" s="27">
        <v>0.792143212332173</v>
      </c>
      <c r="I78" s="27">
        <v>0.94594226579520702</v>
      </c>
      <c r="J78" s="27">
        <v>0.98170731707317072</v>
      </c>
      <c r="K78" s="27" t="s">
        <v>96</v>
      </c>
      <c r="L78" s="27" t="s">
        <v>96</v>
      </c>
    </row>
    <row r="79" spans="2:12">
      <c r="B79" s="23" t="s">
        <v>92</v>
      </c>
      <c r="C79" s="23" t="s">
        <v>65</v>
      </c>
      <c r="D79" s="27" t="s">
        <v>96</v>
      </c>
      <c r="E79" s="27" t="s">
        <v>96</v>
      </c>
      <c r="F79" s="27">
        <v>0.94974271012006861</v>
      </c>
      <c r="G79" s="27" t="s">
        <v>96</v>
      </c>
      <c r="H79" s="27" t="s">
        <v>96</v>
      </c>
      <c r="I79" s="27">
        <v>0.85599194360523656</v>
      </c>
      <c r="J79" s="27">
        <v>1</v>
      </c>
      <c r="K79" s="27">
        <v>1</v>
      </c>
      <c r="L79" s="27" t="s">
        <v>96</v>
      </c>
    </row>
    <row r="80" spans="2:12">
      <c r="B80" s="23" t="s">
        <v>89</v>
      </c>
      <c r="C80" s="23" t="s">
        <v>66</v>
      </c>
      <c r="D80" s="27" t="s">
        <v>96</v>
      </c>
      <c r="E80" s="27">
        <v>1</v>
      </c>
      <c r="F80" s="27">
        <v>1</v>
      </c>
      <c r="G80" s="27" t="s">
        <v>96</v>
      </c>
      <c r="H80" s="27" t="s">
        <v>96</v>
      </c>
      <c r="I80" s="27">
        <v>0.97311433290512017</v>
      </c>
      <c r="J80" s="27" t="s">
        <v>96</v>
      </c>
      <c r="K80" s="27" t="s">
        <v>96</v>
      </c>
      <c r="L80" s="27" t="s">
        <v>96</v>
      </c>
    </row>
    <row r="81" spans="2:12">
      <c r="B81" s="23" t="s">
        <v>91</v>
      </c>
      <c r="C81" s="23" t="s">
        <v>67</v>
      </c>
      <c r="D81" s="27" t="s">
        <v>96</v>
      </c>
      <c r="E81" s="27" t="s">
        <v>96</v>
      </c>
      <c r="F81" s="27">
        <v>0.96596491228070169</v>
      </c>
      <c r="G81" s="27">
        <v>0.81466227347611198</v>
      </c>
      <c r="H81" s="27">
        <v>0.59889954853273131</v>
      </c>
      <c r="I81" s="27" t="s">
        <v>96</v>
      </c>
      <c r="J81" s="27">
        <v>0.99164609834820583</v>
      </c>
      <c r="K81" s="27" t="s">
        <v>96</v>
      </c>
      <c r="L81" s="27" t="s">
        <v>96</v>
      </c>
    </row>
    <row r="82" spans="2:12">
      <c r="B82" s="23" t="s">
        <v>93</v>
      </c>
      <c r="C82" s="24" t="s">
        <v>68</v>
      </c>
      <c r="D82" s="27" t="s">
        <v>96</v>
      </c>
      <c r="E82" s="27" t="s">
        <v>96</v>
      </c>
      <c r="F82" s="27">
        <v>0.78921568627450978</v>
      </c>
      <c r="G82" s="27">
        <v>0.92193598750975791</v>
      </c>
      <c r="H82" s="27" t="s">
        <v>96</v>
      </c>
      <c r="I82" s="27">
        <v>0.73773807517276258</v>
      </c>
      <c r="J82" s="27" t="s">
        <v>96</v>
      </c>
      <c r="K82" s="27">
        <v>1</v>
      </c>
      <c r="L82" s="27" t="s">
        <v>96</v>
      </c>
    </row>
    <row r="83" spans="2:12">
      <c r="B83" s="23" t="s">
        <v>94</v>
      </c>
      <c r="C83" s="24" t="s">
        <v>28</v>
      </c>
      <c r="D83" s="27" t="s">
        <v>96</v>
      </c>
      <c r="E83" s="27" t="s">
        <v>96</v>
      </c>
      <c r="F83" s="27" t="s">
        <v>96</v>
      </c>
      <c r="G83" s="27">
        <v>1</v>
      </c>
      <c r="H83" s="27" t="s">
        <v>96</v>
      </c>
      <c r="I83" s="27" t="s">
        <v>96</v>
      </c>
      <c r="J83" s="27">
        <v>1</v>
      </c>
      <c r="K83" s="27" t="s">
        <v>96</v>
      </c>
      <c r="L83" s="27">
        <v>1</v>
      </c>
    </row>
    <row r="84" spans="2:12">
      <c r="B84" s="23" t="s">
        <v>95</v>
      </c>
      <c r="C84" s="24" t="s">
        <v>69</v>
      </c>
      <c r="D84" s="27" t="s">
        <v>96</v>
      </c>
      <c r="E84" s="27" t="s">
        <v>96</v>
      </c>
      <c r="F84" s="27" t="s">
        <v>96</v>
      </c>
      <c r="G84" s="27" t="s">
        <v>96</v>
      </c>
      <c r="H84" s="27" t="s">
        <v>96</v>
      </c>
      <c r="I84" s="27" t="s">
        <v>96</v>
      </c>
      <c r="J84" s="27" t="s">
        <v>96</v>
      </c>
      <c r="K84" s="27">
        <v>1</v>
      </c>
      <c r="L84" s="27" t="s">
        <v>96</v>
      </c>
    </row>
    <row r="86" spans="2:12">
      <c r="B86" s="23" t="s">
        <v>104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1:AC190"/>
  <sheetViews>
    <sheetView zoomScale="75" workbookViewId="0">
      <selection activeCell="C8" sqref="C8"/>
    </sheetView>
  </sheetViews>
  <sheetFormatPr defaultColWidth="8.88671875" defaultRowHeight="13.2"/>
  <cols>
    <col min="1" max="1" width="8.88671875" style="25" customWidth="1"/>
    <col min="2" max="2" width="22.6640625" style="25" customWidth="1"/>
    <col min="3" max="3" width="6.88671875" style="25" customWidth="1"/>
    <col min="4" max="4" width="9.44140625" style="25" bestFit="1" customWidth="1"/>
    <col min="5" max="5" width="11" style="25" customWidth="1"/>
    <col min="6" max="6" width="9.5546875" style="25" bestFit="1" customWidth="1"/>
    <col min="7" max="8" width="8.88671875" style="25" customWidth="1"/>
    <col min="9" max="9" width="11.5546875" style="25" customWidth="1"/>
    <col min="10" max="15" width="8.88671875" style="25" customWidth="1"/>
    <col min="16" max="16" width="18.33203125" style="25" customWidth="1"/>
    <col min="17" max="17" width="8.88671875" style="25" customWidth="1"/>
    <col min="18" max="18" width="9.6640625" style="25" bestFit="1" customWidth="1"/>
    <col min="19" max="19" width="9.5546875" style="25" bestFit="1" customWidth="1"/>
    <col min="20" max="21" width="8.88671875" style="25" customWidth="1"/>
    <col min="22" max="22" width="10.33203125" style="25" bestFit="1" customWidth="1"/>
    <col min="23" max="23" width="10.44140625" style="25" customWidth="1"/>
    <col min="24" max="16384" width="8.88671875" style="25"/>
  </cols>
  <sheetData>
    <row r="1" spans="2:27">
      <c r="B1" s="28" t="s">
        <v>105</v>
      </c>
      <c r="C1" s="28"/>
    </row>
    <row r="2" spans="2:27">
      <c r="B2" s="25" t="s">
        <v>106</v>
      </c>
      <c r="P2" s="25" t="s">
        <v>107</v>
      </c>
    </row>
    <row r="4" spans="2:27">
      <c r="B4" s="25" t="s">
        <v>108</v>
      </c>
      <c r="D4" s="152" t="s">
        <v>85</v>
      </c>
      <c r="E4" s="152"/>
      <c r="F4" s="152"/>
      <c r="G4" s="152"/>
      <c r="H4" s="152"/>
      <c r="I4" s="152"/>
      <c r="J4" s="152"/>
      <c r="K4" s="152"/>
      <c r="L4" s="152"/>
      <c r="M4" s="152"/>
      <c r="N4" s="152"/>
      <c r="P4" s="25" t="s">
        <v>108</v>
      </c>
      <c r="Q4" s="25" t="s">
        <v>86</v>
      </c>
    </row>
    <row r="5" spans="2:27" ht="26.4">
      <c r="B5" s="25" t="s">
        <v>86</v>
      </c>
      <c r="D5" s="29" t="s">
        <v>109</v>
      </c>
      <c r="E5" s="29" t="s">
        <v>110</v>
      </c>
      <c r="F5" s="29" t="s">
        <v>111</v>
      </c>
      <c r="G5" s="29" t="s">
        <v>112</v>
      </c>
      <c r="H5" s="29" t="s">
        <v>113</v>
      </c>
      <c r="I5" s="29" t="s">
        <v>114</v>
      </c>
      <c r="J5" s="29" t="s">
        <v>87</v>
      </c>
      <c r="K5" s="30" t="s">
        <v>88</v>
      </c>
      <c r="L5" s="30" t="s">
        <v>90</v>
      </c>
      <c r="M5" s="30" t="s">
        <v>92</v>
      </c>
      <c r="N5" s="29" t="s">
        <v>95</v>
      </c>
      <c r="P5" s="25" t="s">
        <v>85</v>
      </c>
      <c r="Q5" s="29" t="s">
        <v>109</v>
      </c>
      <c r="R5" s="29" t="s">
        <v>110</v>
      </c>
      <c r="S5" s="29" t="s">
        <v>111</v>
      </c>
      <c r="T5" s="29" t="s">
        <v>112</v>
      </c>
      <c r="U5" s="29" t="s">
        <v>113</v>
      </c>
      <c r="V5" s="29" t="s">
        <v>114</v>
      </c>
      <c r="W5" s="30" t="s">
        <v>95</v>
      </c>
      <c r="X5" s="30" t="s">
        <v>92</v>
      </c>
      <c r="Y5" s="30" t="s">
        <v>90</v>
      </c>
      <c r="Z5" s="30" t="s">
        <v>88</v>
      </c>
      <c r="AA5" s="29" t="s">
        <v>87</v>
      </c>
    </row>
    <row r="6" spans="2:27">
      <c r="D6" s="29" t="s">
        <v>115</v>
      </c>
      <c r="E6" s="29" t="s">
        <v>116</v>
      </c>
      <c r="F6" s="29" t="s">
        <v>88</v>
      </c>
      <c r="G6" s="29" t="s">
        <v>117</v>
      </c>
      <c r="H6" s="29" t="s">
        <v>118</v>
      </c>
      <c r="I6" s="29" t="s">
        <v>119</v>
      </c>
      <c r="J6" s="29" t="s">
        <v>63</v>
      </c>
      <c r="K6" s="30" t="s">
        <v>27</v>
      </c>
      <c r="L6" s="30" t="s">
        <v>64</v>
      </c>
      <c r="M6" s="30" t="s">
        <v>65</v>
      </c>
      <c r="N6" s="29" t="s">
        <v>69</v>
      </c>
      <c r="P6" s="25" t="s">
        <v>109</v>
      </c>
      <c r="Q6" s="31"/>
      <c r="R6" s="31"/>
      <c r="S6" s="31"/>
      <c r="T6" s="31"/>
      <c r="U6" s="31"/>
      <c r="V6" s="31"/>
      <c r="W6" s="31">
        <v>0.8</v>
      </c>
      <c r="X6" s="31"/>
      <c r="Y6" s="31"/>
      <c r="Z6" s="31"/>
      <c r="AA6" s="31"/>
    </row>
    <row r="7" spans="2:27">
      <c r="B7" s="25" t="s">
        <v>109</v>
      </c>
      <c r="C7" s="25" t="s">
        <v>115</v>
      </c>
      <c r="D7" s="31"/>
      <c r="E7" s="31"/>
      <c r="F7" s="31"/>
      <c r="G7" s="31"/>
      <c r="H7" s="31"/>
      <c r="I7" s="31"/>
      <c r="J7" s="31"/>
      <c r="K7" s="31"/>
      <c r="L7" s="31"/>
      <c r="M7" s="31"/>
      <c r="N7" s="31">
        <v>0.40799999999999997</v>
      </c>
      <c r="P7" s="25" t="s">
        <v>95</v>
      </c>
      <c r="Q7" s="31">
        <v>0.40799999999999997</v>
      </c>
      <c r="R7" s="31">
        <v>2</v>
      </c>
      <c r="S7" s="31"/>
      <c r="T7" s="31"/>
      <c r="U7" s="31"/>
      <c r="V7" s="31"/>
      <c r="W7" s="31"/>
      <c r="X7" s="31"/>
      <c r="Y7" s="31"/>
      <c r="Z7" s="31"/>
      <c r="AA7" s="31"/>
    </row>
    <row r="8" spans="2:27">
      <c r="B8" s="25" t="s">
        <v>110</v>
      </c>
      <c r="C8" s="25" t="s">
        <v>116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>
        <v>2</v>
      </c>
      <c r="P8" s="25" t="s">
        <v>92</v>
      </c>
      <c r="Q8" s="31"/>
      <c r="R8" s="31"/>
      <c r="S8" s="31">
        <v>0.65</v>
      </c>
      <c r="T8" s="31">
        <v>0.09</v>
      </c>
      <c r="U8" s="31"/>
      <c r="V8" s="31"/>
      <c r="W8" s="31"/>
      <c r="X8" s="31"/>
      <c r="Y8" s="31"/>
      <c r="Z8" s="31"/>
      <c r="AA8" s="31"/>
    </row>
    <row r="9" spans="2:27">
      <c r="B9" s="25" t="s">
        <v>111</v>
      </c>
      <c r="C9" s="25" t="s">
        <v>88</v>
      </c>
      <c r="D9" s="31"/>
      <c r="E9" s="31"/>
      <c r="F9" s="31"/>
      <c r="G9" s="31"/>
      <c r="H9" s="31"/>
      <c r="I9" s="31"/>
      <c r="J9" s="31"/>
      <c r="K9" s="31"/>
      <c r="L9" s="31"/>
      <c r="M9" s="31">
        <v>0.65</v>
      </c>
      <c r="N9" s="31"/>
      <c r="P9" s="25" t="s">
        <v>90</v>
      </c>
      <c r="Q9" s="31"/>
      <c r="R9" s="31"/>
      <c r="S9" s="31"/>
      <c r="T9" s="31">
        <v>1.75</v>
      </c>
      <c r="U9" s="31"/>
      <c r="V9" s="31"/>
      <c r="W9" s="31"/>
      <c r="X9" s="31"/>
      <c r="Y9" s="31"/>
      <c r="Z9" s="31"/>
      <c r="AA9" s="31"/>
    </row>
    <row r="10" spans="2:27">
      <c r="B10" s="25" t="s">
        <v>112</v>
      </c>
      <c r="C10" s="25" t="s">
        <v>117</v>
      </c>
      <c r="D10" s="31"/>
      <c r="E10" s="31"/>
      <c r="F10" s="31"/>
      <c r="G10" s="31"/>
      <c r="H10" s="31"/>
      <c r="I10" s="31"/>
      <c r="J10" s="31"/>
      <c r="K10" s="31">
        <v>1.95</v>
      </c>
      <c r="L10" s="31">
        <v>1.75</v>
      </c>
      <c r="M10" s="31">
        <v>0.09</v>
      </c>
      <c r="N10" s="31"/>
      <c r="P10" s="25" t="s">
        <v>88</v>
      </c>
      <c r="Q10" s="31"/>
      <c r="R10" s="31"/>
      <c r="S10" s="31"/>
      <c r="T10" s="31">
        <v>1.95</v>
      </c>
      <c r="U10" s="31">
        <v>1</v>
      </c>
      <c r="V10" s="31"/>
      <c r="W10" s="31"/>
      <c r="X10" s="31"/>
      <c r="Y10" s="31"/>
      <c r="Z10" s="31"/>
      <c r="AA10" s="31"/>
    </row>
    <row r="11" spans="2:27">
      <c r="B11" s="25" t="s">
        <v>113</v>
      </c>
      <c r="C11" s="25" t="s">
        <v>118</v>
      </c>
      <c r="D11" s="31"/>
      <c r="E11" s="31"/>
      <c r="F11" s="31"/>
      <c r="G11" s="31"/>
      <c r="H11" s="31"/>
      <c r="I11" s="31"/>
      <c r="J11" s="31">
        <v>1.57</v>
      </c>
      <c r="K11" s="31">
        <v>1</v>
      </c>
      <c r="L11" s="31"/>
      <c r="M11" s="31"/>
      <c r="N11" s="31"/>
      <c r="P11" s="25" t="s">
        <v>87</v>
      </c>
      <c r="Q11" s="31"/>
      <c r="R11" s="31"/>
      <c r="S11" s="31"/>
      <c r="T11" s="31"/>
      <c r="U11" s="31">
        <v>1.57</v>
      </c>
      <c r="V11" s="31">
        <v>0.4</v>
      </c>
      <c r="W11" s="31"/>
      <c r="X11" s="31"/>
      <c r="Y11" s="31"/>
      <c r="Z11" s="31"/>
      <c r="AA11" s="31"/>
    </row>
    <row r="12" spans="2:27">
      <c r="B12" s="25" t="s">
        <v>114</v>
      </c>
      <c r="C12" s="25" t="s">
        <v>119</v>
      </c>
      <c r="D12" s="31"/>
      <c r="E12" s="31"/>
      <c r="F12" s="31"/>
      <c r="G12" s="31"/>
      <c r="H12" s="31"/>
      <c r="I12" s="31"/>
      <c r="J12" s="31">
        <v>0.4</v>
      </c>
      <c r="K12" s="31"/>
      <c r="L12" s="31"/>
      <c r="M12" s="31"/>
      <c r="N12" s="31"/>
      <c r="P12" s="25" t="s">
        <v>110</v>
      </c>
      <c r="Q12" s="31"/>
      <c r="R12" s="31"/>
      <c r="S12" s="31"/>
      <c r="T12" s="31"/>
      <c r="U12" s="31"/>
      <c r="V12" s="31"/>
      <c r="W12" s="31">
        <v>3.1619999999999999</v>
      </c>
      <c r="X12" s="31"/>
      <c r="Y12" s="31"/>
      <c r="Z12" s="31"/>
      <c r="AA12" s="31"/>
    </row>
    <row r="13" spans="2:27">
      <c r="B13" s="25" t="s">
        <v>87</v>
      </c>
      <c r="C13" s="25" t="s">
        <v>63</v>
      </c>
      <c r="D13" s="31"/>
      <c r="E13" s="31"/>
      <c r="F13" s="31"/>
      <c r="G13" s="31"/>
      <c r="H13" s="31">
        <v>1.8</v>
      </c>
      <c r="I13" s="31">
        <v>0.7</v>
      </c>
      <c r="J13" s="31"/>
      <c r="K13" s="31"/>
      <c r="L13" s="31"/>
      <c r="M13" s="31"/>
      <c r="N13" s="31"/>
      <c r="P13" s="25" t="s">
        <v>111</v>
      </c>
      <c r="Q13" s="31"/>
      <c r="R13" s="31"/>
      <c r="S13" s="31"/>
      <c r="T13" s="31"/>
      <c r="U13" s="31"/>
      <c r="V13" s="31"/>
      <c r="W13" s="31"/>
      <c r="X13" s="31">
        <v>2.1749999999999998</v>
      </c>
      <c r="Y13" s="31"/>
      <c r="Z13" s="31"/>
      <c r="AA13" s="31"/>
    </row>
    <row r="14" spans="2:27">
      <c r="B14" s="25" t="s">
        <v>88</v>
      </c>
      <c r="C14" s="25" t="s">
        <v>27</v>
      </c>
      <c r="D14" s="31"/>
      <c r="E14" s="31"/>
      <c r="F14" s="31"/>
      <c r="G14" s="31">
        <v>1.9750000000000001</v>
      </c>
      <c r="H14" s="31">
        <v>1.5</v>
      </c>
      <c r="I14" s="31"/>
      <c r="J14" s="31"/>
      <c r="K14" s="31"/>
      <c r="L14" s="31"/>
      <c r="M14" s="31"/>
      <c r="N14" s="31"/>
      <c r="P14" s="25" t="s">
        <v>112</v>
      </c>
      <c r="Q14" s="31"/>
      <c r="R14" s="31"/>
      <c r="S14" s="31"/>
      <c r="T14" s="31"/>
      <c r="U14" s="31"/>
      <c r="V14" s="31"/>
      <c r="W14" s="31"/>
      <c r="X14" s="31">
        <v>0.14000000000000001</v>
      </c>
      <c r="Y14" s="31">
        <v>2.6</v>
      </c>
      <c r="Z14" s="31">
        <v>1.9750000000000001</v>
      </c>
      <c r="AA14" s="31"/>
    </row>
    <row r="15" spans="2:27">
      <c r="B15" s="25" t="s">
        <v>90</v>
      </c>
      <c r="C15" s="25" t="s">
        <v>64</v>
      </c>
      <c r="D15" s="31"/>
      <c r="E15" s="31"/>
      <c r="F15" s="31"/>
      <c r="G15" s="31">
        <v>2.6</v>
      </c>
      <c r="H15" s="31"/>
      <c r="I15" s="31"/>
      <c r="J15" s="31"/>
      <c r="K15" s="31"/>
      <c r="L15" s="31"/>
      <c r="M15" s="31"/>
      <c r="N15" s="31"/>
      <c r="P15" s="25" t="s">
        <v>113</v>
      </c>
      <c r="Q15" s="31"/>
      <c r="R15" s="31"/>
      <c r="S15" s="31"/>
      <c r="T15" s="31"/>
      <c r="U15" s="31"/>
      <c r="V15" s="31"/>
      <c r="W15" s="31"/>
      <c r="X15" s="31"/>
      <c r="Y15" s="31"/>
      <c r="Z15" s="31">
        <v>1.5</v>
      </c>
      <c r="AA15" s="31">
        <v>1.8</v>
      </c>
    </row>
    <row r="16" spans="2:27">
      <c r="B16" s="25" t="s">
        <v>92</v>
      </c>
      <c r="C16" s="25" t="s">
        <v>65</v>
      </c>
      <c r="D16" s="31"/>
      <c r="E16" s="31"/>
      <c r="F16" s="31">
        <v>2.1749999999999998</v>
      </c>
      <c r="G16" s="31">
        <v>0.14000000000000001</v>
      </c>
      <c r="H16" s="31"/>
      <c r="I16" s="31"/>
      <c r="J16" s="31"/>
      <c r="K16" s="31"/>
      <c r="L16" s="31"/>
      <c r="M16" s="31"/>
      <c r="N16" s="31"/>
      <c r="P16" s="25" t="s">
        <v>114</v>
      </c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>
        <v>0.7</v>
      </c>
    </row>
    <row r="17" spans="2:27">
      <c r="B17" s="25" t="s">
        <v>95</v>
      </c>
      <c r="C17" s="25" t="s">
        <v>69</v>
      </c>
      <c r="D17" s="31">
        <v>0.8</v>
      </c>
      <c r="E17" s="31">
        <v>3.1619999999999999</v>
      </c>
      <c r="F17" s="31"/>
      <c r="G17" s="31"/>
      <c r="H17" s="31"/>
      <c r="I17" s="31"/>
      <c r="J17" s="31"/>
      <c r="K17" s="31"/>
      <c r="L17" s="31"/>
      <c r="M17" s="31"/>
      <c r="N17" s="31"/>
    </row>
    <row r="20" spans="2:27">
      <c r="B20" s="25" t="s">
        <v>120</v>
      </c>
      <c r="D20" s="152" t="s">
        <v>85</v>
      </c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P20" s="25" t="s">
        <v>120</v>
      </c>
      <c r="Q20" s="25" t="s">
        <v>86</v>
      </c>
    </row>
    <row r="21" spans="2:27" ht="26.4">
      <c r="B21" s="25" t="s">
        <v>86</v>
      </c>
      <c r="D21" s="29" t="str">
        <f t="shared" ref="D21:N21" si="0">D5</f>
        <v>Mexico</v>
      </c>
      <c r="E21" s="29" t="str">
        <f t="shared" si="0"/>
        <v>British Columbia</v>
      </c>
      <c r="F21" s="29" t="str">
        <f t="shared" si="0"/>
        <v>Manitoba</v>
      </c>
      <c r="G21" s="29" t="str">
        <f t="shared" si="0"/>
        <v>Ontario</v>
      </c>
      <c r="H21" s="29" t="str">
        <f t="shared" si="0"/>
        <v>Quebec</v>
      </c>
      <c r="I21" s="29" t="str">
        <f t="shared" si="0"/>
        <v>New Brunswick</v>
      </c>
      <c r="J21" s="29" t="str">
        <f t="shared" si="0"/>
        <v>NE</v>
      </c>
      <c r="K21" s="29" t="str">
        <f t="shared" si="0"/>
        <v>MA</v>
      </c>
      <c r="L21" s="29" t="str">
        <f t="shared" si="0"/>
        <v>ENC</v>
      </c>
      <c r="M21" s="29" t="str">
        <f t="shared" si="0"/>
        <v>WNC</v>
      </c>
      <c r="N21" s="29" t="str">
        <f t="shared" si="0"/>
        <v>PAC</v>
      </c>
      <c r="P21" s="25" t="s">
        <v>85</v>
      </c>
      <c r="Q21" s="29" t="s">
        <v>109</v>
      </c>
      <c r="R21" s="29" t="s">
        <v>110</v>
      </c>
      <c r="S21" s="29" t="s">
        <v>111</v>
      </c>
      <c r="T21" s="29" t="s">
        <v>112</v>
      </c>
      <c r="U21" s="29" t="s">
        <v>113</v>
      </c>
      <c r="V21" s="29" t="s">
        <v>114</v>
      </c>
      <c r="W21" s="30" t="s">
        <v>95</v>
      </c>
      <c r="X21" s="30" t="s">
        <v>92</v>
      </c>
      <c r="Y21" s="30" t="s">
        <v>90</v>
      </c>
      <c r="Z21" s="30" t="s">
        <v>88</v>
      </c>
      <c r="AA21" s="29" t="s">
        <v>87</v>
      </c>
    </row>
    <row r="22" spans="2:27">
      <c r="D22" s="29" t="str">
        <f t="shared" ref="D22:N22" si="1">D6</f>
        <v>MX</v>
      </c>
      <c r="E22" s="29" t="str">
        <f t="shared" si="1"/>
        <v>BC</v>
      </c>
      <c r="F22" s="29" t="str">
        <f t="shared" si="1"/>
        <v>MA</v>
      </c>
      <c r="G22" s="29" t="str">
        <f t="shared" si="1"/>
        <v>ON</v>
      </c>
      <c r="H22" s="29" t="str">
        <f t="shared" si="1"/>
        <v>QU</v>
      </c>
      <c r="I22" s="29" t="str">
        <f t="shared" si="1"/>
        <v>NB</v>
      </c>
      <c r="J22" s="29" t="str">
        <f t="shared" si="1"/>
        <v>R1</v>
      </c>
      <c r="K22" s="29" t="str">
        <f t="shared" si="1"/>
        <v>R2</v>
      </c>
      <c r="L22" s="29" t="str">
        <f t="shared" si="1"/>
        <v>R3</v>
      </c>
      <c r="M22" s="29" t="str">
        <f t="shared" si="1"/>
        <v>R4</v>
      </c>
      <c r="N22" s="29" t="str">
        <f t="shared" si="1"/>
        <v>R9</v>
      </c>
      <c r="P22" s="25" t="s">
        <v>109</v>
      </c>
      <c r="Q22" s="31"/>
      <c r="R22" s="31"/>
      <c r="S22" s="31"/>
      <c r="T22" s="31"/>
      <c r="U22" s="31"/>
      <c r="V22" s="31"/>
      <c r="W22" s="31">
        <v>0</v>
      </c>
      <c r="X22" s="31"/>
      <c r="Y22" s="31"/>
      <c r="Z22" s="31"/>
      <c r="AA22" s="31"/>
    </row>
    <row r="23" spans="2:27">
      <c r="B23" s="25" t="str">
        <f t="shared" ref="B23:C33" si="2">B7</f>
        <v>Mexico</v>
      </c>
      <c r="C23" s="25" t="str">
        <f t="shared" si="2"/>
        <v>MX</v>
      </c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>
        <v>0.40799999999999997</v>
      </c>
      <c r="P23" s="25" t="s">
        <v>95</v>
      </c>
      <c r="Q23" s="31">
        <v>0.40799999999999997</v>
      </c>
      <c r="R23" s="31">
        <v>2</v>
      </c>
      <c r="S23" s="31"/>
      <c r="T23" s="31"/>
      <c r="U23" s="31"/>
      <c r="V23" s="31"/>
      <c r="W23" s="31"/>
      <c r="X23" s="31"/>
      <c r="Y23" s="31"/>
      <c r="Z23" s="31"/>
      <c r="AA23" s="31"/>
    </row>
    <row r="24" spans="2:27">
      <c r="B24" s="25" t="str">
        <f t="shared" si="2"/>
        <v>British Columbia</v>
      </c>
      <c r="C24" s="25" t="str">
        <f t="shared" si="2"/>
        <v>BC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>
        <v>2</v>
      </c>
      <c r="P24" s="25" t="s">
        <v>92</v>
      </c>
      <c r="Q24" s="31"/>
      <c r="R24" s="31"/>
      <c r="S24" s="31">
        <v>0.65</v>
      </c>
      <c r="T24" s="31">
        <v>0.1</v>
      </c>
      <c r="U24" s="31"/>
      <c r="V24" s="31"/>
      <c r="W24" s="31"/>
      <c r="X24" s="31"/>
      <c r="Y24" s="31"/>
      <c r="Z24" s="31"/>
      <c r="AA24" s="31"/>
    </row>
    <row r="25" spans="2:27">
      <c r="B25" s="25" t="str">
        <f t="shared" si="2"/>
        <v>Manitoba</v>
      </c>
      <c r="C25" s="25" t="str">
        <f t="shared" si="2"/>
        <v>MA</v>
      </c>
      <c r="D25" s="31"/>
      <c r="E25" s="31"/>
      <c r="F25" s="31"/>
      <c r="G25" s="31"/>
      <c r="H25" s="31"/>
      <c r="I25" s="31"/>
      <c r="J25" s="31"/>
      <c r="K25" s="31"/>
      <c r="L25" s="31"/>
      <c r="M25" s="31">
        <v>0.65</v>
      </c>
      <c r="N25" s="31"/>
      <c r="P25" s="25" t="s">
        <v>90</v>
      </c>
      <c r="Q25" s="31"/>
      <c r="R25" s="31"/>
      <c r="S25" s="31"/>
      <c r="T25" s="31">
        <v>2</v>
      </c>
      <c r="U25" s="31"/>
      <c r="V25" s="31"/>
      <c r="W25" s="31"/>
      <c r="X25" s="31"/>
      <c r="Y25" s="31"/>
      <c r="Z25" s="31"/>
      <c r="AA25" s="31"/>
    </row>
    <row r="26" spans="2:27">
      <c r="B26" s="25" t="str">
        <f t="shared" si="2"/>
        <v>Ontario</v>
      </c>
      <c r="C26" s="25" t="str">
        <f t="shared" si="2"/>
        <v>ON</v>
      </c>
      <c r="D26" s="31"/>
      <c r="E26" s="31"/>
      <c r="F26" s="31"/>
      <c r="G26" s="31"/>
      <c r="H26" s="31"/>
      <c r="I26" s="31"/>
      <c r="J26" s="31"/>
      <c r="K26" s="31">
        <v>1.925</v>
      </c>
      <c r="L26" s="31">
        <v>2</v>
      </c>
      <c r="M26" s="31">
        <v>0.1</v>
      </c>
      <c r="N26" s="31"/>
      <c r="P26" s="25" t="s">
        <v>88</v>
      </c>
      <c r="Q26" s="31"/>
      <c r="R26" s="31"/>
      <c r="S26" s="31"/>
      <c r="T26" s="31">
        <v>1.925</v>
      </c>
      <c r="U26" s="31">
        <v>1.9</v>
      </c>
      <c r="V26" s="31"/>
      <c r="W26" s="31"/>
      <c r="X26" s="31"/>
      <c r="Y26" s="31"/>
      <c r="Z26" s="31"/>
      <c r="AA26" s="31"/>
    </row>
    <row r="27" spans="2:27">
      <c r="B27" s="25" t="str">
        <f t="shared" si="2"/>
        <v>Quebec</v>
      </c>
      <c r="C27" s="25" t="str">
        <f t="shared" si="2"/>
        <v>QU</v>
      </c>
      <c r="D27" s="31"/>
      <c r="E27" s="31"/>
      <c r="F27" s="31"/>
      <c r="G27" s="31"/>
      <c r="H27" s="31"/>
      <c r="I27" s="31"/>
      <c r="J27" s="31">
        <v>1.26</v>
      </c>
      <c r="K27" s="31">
        <v>1.9</v>
      </c>
      <c r="L27" s="31"/>
      <c r="M27" s="31"/>
      <c r="N27" s="31"/>
      <c r="P27" s="25" t="s">
        <v>87</v>
      </c>
      <c r="Q27" s="31"/>
      <c r="R27" s="31"/>
      <c r="S27" s="31"/>
      <c r="T27" s="31"/>
      <c r="U27" s="31">
        <v>1.26</v>
      </c>
      <c r="V27" s="31">
        <v>0.95</v>
      </c>
      <c r="W27" s="31"/>
      <c r="X27" s="31"/>
      <c r="Y27" s="31"/>
      <c r="Z27" s="31"/>
      <c r="AA27" s="31"/>
    </row>
    <row r="28" spans="2:27">
      <c r="B28" s="25" t="str">
        <f t="shared" si="2"/>
        <v>New Brunswick</v>
      </c>
      <c r="C28" s="25" t="str">
        <f t="shared" si="2"/>
        <v>NB</v>
      </c>
      <c r="D28" s="31"/>
      <c r="E28" s="31"/>
      <c r="F28" s="31"/>
      <c r="G28" s="31"/>
      <c r="H28" s="31"/>
      <c r="I28" s="31"/>
      <c r="J28" s="31">
        <v>0.95</v>
      </c>
      <c r="K28" s="31"/>
      <c r="L28" s="31"/>
      <c r="M28" s="31"/>
      <c r="N28" s="31"/>
      <c r="P28" s="25" t="s">
        <v>110</v>
      </c>
      <c r="Q28" s="31"/>
      <c r="R28" s="31"/>
      <c r="S28" s="31"/>
      <c r="T28" s="31"/>
      <c r="U28" s="31"/>
      <c r="V28" s="31"/>
      <c r="W28" s="31">
        <v>3.1589999999999998</v>
      </c>
      <c r="X28" s="31"/>
      <c r="Y28" s="31"/>
      <c r="Z28" s="31"/>
      <c r="AA28" s="31"/>
    </row>
    <row r="29" spans="2:27">
      <c r="B29" s="25" t="str">
        <f t="shared" si="2"/>
        <v>NE</v>
      </c>
      <c r="C29" s="25" t="str">
        <f t="shared" si="2"/>
        <v>R1</v>
      </c>
      <c r="D29" s="31"/>
      <c r="E29" s="31"/>
      <c r="F29" s="31"/>
      <c r="G29" s="31"/>
      <c r="H29" s="31">
        <v>2.085</v>
      </c>
      <c r="I29" s="31">
        <v>0.7</v>
      </c>
      <c r="J29" s="31"/>
      <c r="K29" s="31"/>
      <c r="L29" s="31"/>
      <c r="M29" s="31"/>
      <c r="N29" s="31"/>
      <c r="P29" s="25" t="s">
        <v>111</v>
      </c>
      <c r="Q29" s="31"/>
      <c r="R29" s="31"/>
      <c r="S29" s="31"/>
      <c r="T29" s="31"/>
      <c r="U29" s="31"/>
      <c r="V29" s="31"/>
      <c r="W29" s="31"/>
      <c r="X29" s="31">
        <v>3.7050000000000001</v>
      </c>
      <c r="Y29" s="31"/>
      <c r="Z29" s="31"/>
      <c r="AA29" s="31"/>
    </row>
    <row r="30" spans="2:27">
      <c r="B30" s="25" t="str">
        <f t="shared" si="2"/>
        <v>MA</v>
      </c>
      <c r="C30" s="25" t="str">
        <f t="shared" si="2"/>
        <v>R2</v>
      </c>
      <c r="D30" s="31"/>
      <c r="E30" s="31"/>
      <c r="F30" s="31"/>
      <c r="G30" s="31">
        <v>1.8</v>
      </c>
      <c r="H30" s="31">
        <v>1.5</v>
      </c>
      <c r="I30" s="31"/>
      <c r="J30" s="31"/>
      <c r="K30" s="31"/>
      <c r="L30" s="31"/>
      <c r="M30" s="31"/>
      <c r="N30" s="31"/>
      <c r="P30" s="25" t="s">
        <v>112</v>
      </c>
      <c r="Q30" s="31"/>
      <c r="R30" s="31"/>
      <c r="S30" s="31"/>
      <c r="T30" s="31"/>
      <c r="U30" s="31"/>
      <c r="V30" s="31"/>
      <c r="W30" s="31"/>
      <c r="X30" s="31">
        <v>0.15</v>
      </c>
      <c r="Y30" s="31">
        <v>2.85</v>
      </c>
      <c r="Z30" s="31">
        <v>1.8</v>
      </c>
      <c r="AA30" s="31"/>
    </row>
    <row r="31" spans="2:27">
      <c r="B31" s="25" t="str">
        <f t="shared" si="2"/>
        <v>ENC</v>
      </c>
      <c r="C31" s="25" t="str">
        <f t="shared" si="2"/>
        <v>R3</v>
      </c>
      <c r="D31" s="31"/>
      <c r="E31" s="31"/>
      <c r="F31" s="31"/>
      <c r="G31" s="31">
        <v>2.85</v>
      </c>
      <c r="H31" s="31"/>
      <c r="I31" s="31"/>
      <c r="J31" s="31"/>
      <c r="K31" s="31"/>
      <c r="L31" s="31"/>
      <c r="M31" s="31"/>
      <c r="N31" s="31"/>
      <c r="P31" s="25" t="s">
        <v>113</v>
      </c>
      <c r="Q31" s="31"/>
      <c r="R31" s="31"/>
      <c r="S31" s="31"/>
      <c r="T31" s="31"/>
      <c r="U31" s="31"/>
      <c r="V31" s="31"/>
      <c r="W31" s="31"/>
      <c r="X31" s="31"/>
      <c r="Y31" s="31"/>
      <c r="Z31" s="31">
        <v>1.5</v>
      </c>
      <c r="AA31" s="31">
        <v>2.085</v>
      </c>
    </row>
    <row r="32" spans="2:27">
      <c r="B32" s="25" t="str">
        <f t="shared" si="2"/>
        <v>WNC</v>
      </c>
      <c r="C32" s="25" t="str">
        <f t="shared" si="2"/>
        <v>R4</v>
      </c>
      <c r="D32" s="31"/>
      <c r="E32" s="31"/>
      <c r="F32" s="31">
        <v>3.7050000000000001</v>
      </c>
      <c r="G32" s="31">
        <v>0.15</v>
      </c>
      <c r="H32" s="31"/>
      <c r="I32" s="31"/>
      <c r="J32" s="31"/>
      <c r="K32" s="31"/>
      <c r="L32" s="31"/>
      <c r="M32" s="31"/>
      <c r="N32" s="31"/>
      <c r="P32" s="25" t="s">
        <v>114</v>
      </c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>
        <v>0.7</v>
      </c>
    </row>
    <row r="33" spans="2:29">
      <c r="B33" s="25" t="str">
        <f t="shared" si="2"/>
        <v>PAC</v>
      </c>
      <c r="C33" s="25" t="str">
        <f t="shared" si="2"/>
        <v>R9</v>
      </c>
      <c r="D33" s="31">
        <v>0</v>
      </c>
      <c r="E33" s="31">
        <v>3.1589999999999998</v>
      </c>
      <c r="F33" s="31"/>
      <c r="G33" s="31"/>
      <c r="H33" s="31"/>
      <c r="I33" s="31"/>
      <c r="J33" s="31"/>
      <c r="K33" s="31"/>
      <c r="L33" s="31"/>
      <c r="M33" s="31"/>
      <c r="N33" s="31"/>
    </row>
    <row r="35" spans="2:29">
      <c r="B35" s="25" t="s">
        <v>98</v>
      </c>
    </row>
    <row r="37" spans="2:29">
      <c r="B37" s="25" t="s">
        <v>121</v>
      </c>
      <c r="P37" s="25" t="s">
        <v>122</v>
      </c>
    </row>
    <row r="38" spans="2:29">
      <c r="B38" s="25" t="s">
        <v>100</v>
      </c>
      <c r="D38" s="152" t="s">
        <v>85</v>
      </c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P38" s="25" t="s">
        <v>100</v>
      </c>
      <c r="R38" s="152" t="s">
        <v>85</v>
      </c>
      <c r="S38" s="152"/>
      <c r="T38" s="152"/>
      <c r="U38" s="152"/>
      <c r="V38" s="152"/>
      <c r="W38" s="152"/>
      <c r="X38" s="152"/>
      <c r="Y38" s="152"/>
      <c r="Z38" s="152"/>
      <c r="AA38" s="152"/>
      <c r="AB38" s="152"/>
    </row>
    <row r="39" spans="2:29" ht="26.4">
      <c r="B39" s="25" t="s">
        <v>86</v>
      </c>
      <c r="D39" s="29" t="str">
        <f t="shared" ref="D39:N39" si="3">D5</f>
        <v>Mexico</v>
      </c>
      <c r="E39" s="29" t="str">
        <f t="shared" si="3"/>
        <v>British Columbia</v>
      </c>
      <c r="F39" s="29" t="str">
        <f t="shared" si="3"/>
        <v>Manitoba</v>
      </c>
      <c r="G39" s="29" t="str">
        <f t="shared" si="3"/>
        <v>Ontario</v>
      </c>
      <c r="H39" s="29" t="str">
        <f t="shared" si="3"/>
        <v>Quebec</v>
      </c>
      <c r="I39" s="29" t="str">
        <f t="shared" si="3"/>
        <v>New Brunswick</v>
      </c>
      <c r="J39" s="29" t="str">
        <f t="shared" si="3"/>
        <v>NE</v>
      </c>
      <c r="K39" s="29" t="str">
        <f t="shared" si="3"/>
        <v>MA</v>
      </c>
      <c r="L39" s="29" t="str">
        <f t="shared" si="3"/>
        <v>ENC</v>
      </c>
      <c r="M39" s="29" t="str">
        <f t="shared" si="3"/>
        <v>WNC</v>
      </c>
      <c r="N39" s="29" t="str">
        <f t="shared" si="3"/>
        <v>PAC</v>
      </c>
      <c r="P39" s="25" t="s">
        <v>86</v>
      </c>
      <c r="R39" s="29" t="str">
        <f t="shared" ref="R39:AB40" si="4">D39</f>
        <v>Mexico</v>
      </c>
      <c r="S39" s="29" t="str">
        <f t="shared" si="4"/>
        <v>British Columbia</v>
      </c>
      <c r="T39" s="29" t="str">
        <f t="shared" si="4"/>
        <v>Manitoba</v>
      </c>
      <c r="U39" s="29" t="str">
        <f t="shared" si="4"/>
        <v>Ontario</v>
      </c>
      <c r="V39" s="29" t="str">
        <f t="shared" si="4"/>
        <v>Quebec</v>
      </c>
      <c r="W39" s="29" t="str">
        <f t="shared" si="4"/>
        <v>New Brunswick</v>
      </c>
      <c r="X39" s="29" t="str">
        <f t="shared" si="4"/>
        <v>NE</v>
      </c>
      <c r="Y39" s="29" t="str">
        <f t="shared" si="4"/>
        <v>MA</v>
      </c>
      <c r="Z39" s="29" t="str">
        <f t="shared" si="4"/>
        <v>ENC</v>
      </c>
      <c r="AA39" s="29" t="str">
        <f t="shared" si="4"/>
        <v>WNC</v>
      </c>
      <c r="AB39" s="29" t="str">
        <f t="shared" si="4"/>
        <v>PAC</v>
      </c>
    </row>
    <row r="40" spans="2:29">
      <c r="D40" s="29" t="str">
        <f t="shared" ref="D40:N40" si="5">D6</f>
        <v>MX</v>
      </c>
      <c r="E40" s="29" t="str">
        <f t="shared" si="5"/>
        <v>BC</v>
      </c>
      <c r="F40" s="29" t="str">
        <f t="shared" si="5"/>
        <v>MA</v>
      </c>
      <c r="G40" s="29" t="str">
        <f t="shared" si="5"/>
        <v>ON</v>
      </c>
      <c r="H40" s="29" t="str">
        <f t="shared" si="5"/>
        <v>QU</v>
      </c>
      <c r="I40" s="29" t="str">
        <f t="shared" si="5"/>
        <v>NB</v>
      </c>
      <c r="J40" s="29" t="str">
        <f t="shared" si="5"/>
        <v>R1</v>
      </c>
      <c r="K40" s="29" t="str">
        <f t="shared" si="5"/>
        <v>R2</v>
      </c>
      <c r="L40" s="29" t="str">
        <f t="shared" si="5"/>
        <v>R3</v>
      </c>
      <c r="M40" s="29" t="str">
        <f t="shared" si="5"/>
        <v>R4</v>
      </c>
      <c r="N40" s="29" t="str">
        <f t="shared" si="5"/>
        <v>R9</v>
      </c>
      <c r="R40" s="29" t="str">
        <f t="shared" si="4"/>
        <v>MX</v>
      </c>
      <c r="S40" s="29" t="str">
        <f t="shared" si="4"/>
        <v>BC</v>
      </c>
      <c r="T40" s="29" t="str">
        <f t="shared" si="4"/>
        <v>MA</v>
      </c>
      <c r="U40" s="29" t="str">
        <f t="shared" si="4"/>
        <v>ON</v>
      </c>
      <c r="V40" s="29" t="str">
        <f t="shared" si="4"/>
        <v>QU</v>
      </c>
      <c r="W40" s="29" t="str">
        <f t="shared" si="4"/>
        <v>NB</v>
      </c>
      <c r="X40" s="29" t="str">
        <f t="shared" si="4"/>
        <v>R1</v>
      </c>
      <c r="Y40" s="29" t="str">
        <f t="shared" si="4"/>
        <v>R2</v>
      </c>
      <c r="Z40" s="29" t="str">
        <f t="shared" si="4"/>
        <v>R3</v>
      </c>
      <c r="AA40" s="29" t="str">
        <f t="shared" si="4"/>
        <v>R4</v>
      </c>
      <c r="AB40" s="29" t="str">
        <f t="shared" si="4"/>
        <v>R9</v>
      </c>
      <c r="AC40" s="30" t="s">
        <v>25</v>
      </c>
    </row>
    <row r="41" spans="2:29">
      <c r="B41" s="25" t="str">
        <f t="shared" ref="B41:C51" si="6">B7</f>
        <v>Mexico</v>
      </c>
      <c r="C41" s="25" t="str">
        <f t="shared" si="6"/>
        <v>MX</v>
      </c>
      <c r="D41" s="31" t="str">
        <f t="shared" ref="D41:N41" si="7">IF(D7&gt;0,IF(D7&gt;D23,D7,D23),"")</f>
        <v/>
      </c>
      <c r="E41" s="31" t="str">
        <f t="shared" si="7"/>
        <v/>
      </c>
      <c r="F41" s="31" t="str">
        <f t="shared" si="7"/>
        <v/>
      </c>
      <c r="G41" s="31" t="str">
        <f t="shared" si="7"/>
        <v/>
      </c>
      <c r="H41" s="31" t="str">
        <f t="shared" si="7"/>
        <v/>
      </c>
      <c r="I41" s="31" t="str">
        <f t="shared" si="7"/>
        <v/>
      </c>
      <c r="J41" s="31" t="str">
        <f t="shared" si="7"/>
        <v/>
      </c>
      <c r="K41" s="31" t="str">
        <f t="shared" si="7"/>
        <v/>
      </c>
      <c r="L41" s="31" t="str">
        <f t="shared" si="7"/>
        <v/>
      </c>
      <c r="M41" s="31" t="str">
        <f t="shared" si="7"/>
        <v/>
      </c>
      <c r="N41" s="31">
        <f t="shared" si="7"/>
        <v>0.40799999999999997</v>
      </c>
      <c r="P41" s="25" t="str">
        <f t="shared" ref="P41:AA42" si="8">B41</f>
        <v>Mexico</v>
      </c>
      <c r="Q41" s="25" t="str">
        <f t="shared" si="8"/>
        <v>MX</v>
      </c>
      <c r="R41" s="31" t="str">
        <f t="shared" si="8"/>
        <v/>
      </c>
      <c r="S41" s="31" t="str">
        <f t="shared" si="8"/>
        <v/>
      </c>
      <c r="T41" s="31" t="str">
        <f t="shared" si="8"/>
        <v/>
      </c>
      <c r="U41" s="31" t="str">
        <f t="shared" si="8"/>
        <v/>
      </c>
      <c r="V41" s="31" t="str">
        <f t="shared" si="8"/>
        <v/>
      </c>
      <c r="W41" s="31" t="str">
        <f t="shared" si="8"/>
        <v/>
      </c>
      <c r="X41" s="31" t="str">
        <f t="shared" si="8"/>
        <v/>
      </c>
      <c r="Y41" s="31" t="str">
        <f t="shared" si="8"/>
        <v/>
      </c>
      <c r="Z41" s="31" t="str">
        <f t="shared" si="8"/>
        <v/>
      </c>
      <c r="AA41" s="31" t="str">
        <f t="shared" si="8"/>
        <v/>
      </c>
      <c r="AB41" s="31">
        <f>N41*AB$52*$H$128</f>
        <v>19.955677577590944</v>
      </c>
      <c r="AC41" s="31">
        <f t="shared" ref="AC41:AC46" si="9">SUM(X41:AB41)</f>
        <v>19.955677577590944</v>
      </c>
    </row>
    <row r="42" spans="2:29">
      <c r="B42" s="25" t="str">
        <f t="shared" si="6"/>
        <v>British Columbia</v>
      </c>
      <c r="C42" s="25" t="str">
        <f t="shared" si="6"/>
        <v>BC</v>
      </c>
      <c r="D42" s="31" t="str">
        <f t="shared" ref="D42:N42" si="10">IF(D8&gt;0,IF(D8&gt;D24,D8,D24),"")</f>
        <v/>
      </c>
      <c r="E42" s="31" t="str">
        <f t="shared" si="10"/>
        <v/>
      </c>
      <c r="F42" s="31" t="str">
        <f t="shared" si="10"/>
        <v/>
      </c>
      <c r="G42" s="31" t="str">
        <f t="shared" si="10"/>
        <v/>
      </c>
      <c r="H42" s="31" t="str">
        <f t="shared" si="10"/>
        <v/>
      </c>
      <c r="I42" s="31" t="str">
        <f t="shared" si="10"/>
        <v/>
      </c>
      <c r="J42" s="31" t="str">
        <f t="shared" si="10"/>
        <v/>
      </c>
      <c r="K42" s="31" t="str">
        <f t="shared" si="10"/>
        <v/>
      </c>
      <c r="L42" s="31" t="str">
        <f t="shared" si="10"/>
        <v/>
      </c>
      <c r="M42" s="31" t="str">
        <f t="shared" si="10"/>
        <v/>
      </c>
      <c r="N42" s="31">
        <f t="shared" si="10"/>
        <v>2</v>
      </c>
      <c r="P42" s="25" t="str">
        <f t="shared" si="8"/>
        <v>British Columbia</v>
      </c>
      <c r="Q42" s="25" t="str">
        <f t="shared" si="8"/>
        <v>BC</v>
      </c>
      <c r="R42" s="31" t="str">
        <f t="shared" si="8"/>
        <v/>
      </c>
      <c r="S42" s="31" t="str">
        <f t="shared" si="8"/>
        <v/>
      </c>
      <c r="T42" s="31" t="str">
        <f t="shared" si="8"/>
        <v/>
      </c>
      <c r="U42" s="31" t="str">
        <f t="shared" si="8"/>
        <v/>
      </c>
      <c r="V42" s="31" t="str">
        <f t="shared" si="8"/>
        <v/>
      </c>
      <c r="W42" s="31" t="str">
        <f t="shared" si="8"/>
        <v/>
      </c>
      <c r="X42" s="31" t="str">
        <f t="shared" si="8"/>
        <v/>
      </c>
      <c r="Y42" s="31" t="str">
        <f t="shared" si="8"/>
        <v/>
      </c>
      <c r="Z42" s="31" t="str">
        <f t="shared" si="8"/>
        <v/>
      </c>
      <c r="AA42" s="31" t="str">
        <f t="shared" si="8"/>
        <v/>
      </c>
      <c r="AB42" s="31">
        <f>N42*AB$52*$H$128</f>
        <v>97.821948909759527</v>
      </c>
      <c r="AC42" s="31">
        <f t="shared" si="9"/>
        <v>97.821948909759527</v>
      </c>
    </row>
    <row r="43" spans="2:29">
      <c r="B43" s="25" t="str">
        <f t="shared" si="6"/>
        <v>Manitoba</v>
      </c>
      <c r="C43" s="25" t="str">
        <f t="shared" si="6"/>
        <v>MA</v>
      </c>
      <c r="D43" s="31" t="str">
        <f t="shared" ref="D43:N43" si="11">IF(D9&gt;0,IF(D9&gt;D25,D9,D25),"")</f>
        <v/>
      </c>
      <c r="E43" s="31" t="str">
        <f t="shared" si="11"/>
        <v/>
      </c>
      <c r="F43" s="31" t="str">
        <f t="shared" si="11"/>
        <v/>
      </c>
      <c r="G43" s="31" t="str">
        <f t="shared" si="11"/>
        <v/>
      </c>
      <c r="H43" s="31" t="str">
        <f t="shared" si="11"/>
        <v/>
      </c>
      <c r="I43" s="31" t="str">
        <f t="shared" si="11"/>
        <v/>
      </c>
      <c r="J43" s="31" t="str">
        <f t="shared" si="11"/>
        <v/>
      </c>
      <c r="K43" s="31" t="str">
        <f t="shared" si="11"/>
        <v/>
      </c>
      <c r="L43" s="31" t="str">
        <f t="shared" si="11"/>
        <v/>
      </c>
      <c r="M43" s="31">
        <f t="shared" si="11"/>
        <v>0.65</v>
      </c>
      <c r="N43" s="31" t="str">
        <f t="shared" si="11"/>
        <v/>
      </c>
      <c r="P43" s="25" t="str">
        <f t="shared" ref="P43:Z43" si="12">B43</f>
        <v>Manitoba</v>
      </c>
      <c r="Q43" s="25" t="str">
        <f t="shared" si="12"/>
        <v>MA</v>
      </c>
      <c r="R43" s="31" t="str">
        <f t="shared" si="12"/>
        <v/>
      </c>
      <c r="S43" s="31" t="str">
        <f t="shared" si="12"/>
        <v/>
      </c>
      <c r="T43" s="31" t="str">
        <f t="shared" si="12"/>
        <v/>
      </c>
      <c r="U43" s="31" t="str">
        <f t="shared" si="12"/>
        <v/>
      </c>
      <c r="V43" s="31" t="str">
        <f t="shared" si="12"/>
        <v/>
      </c>
      <c r="W43" s="31" t="str">
        <f t="shared" si="12"/>
        <v/>
      </c>
      <c r="X43" s="31" t="str">
        <f t="shared" si="12"/>
        <v/>
      </c>
      <c r="Y43" s="31" t="str">
        <f t="shared" si="12"/>
        <v/>
      </c>
      <c r="Z43" s="31" t="str">
        <f t="shared" si="12"/>
        <v/>
      </c>
      <c r="AA43" s="31">
        <f>M43*AA$52*$H$128</f>
        <v>31.174438533782958</v>
      </c>
      <c r="AB43" s="31" t="str">
        <f t="shared" ref="AB43:AB51" si="13">N43</f>
        <v/>
      </c>
      <c r="AC43" s="31">
        <f t="shared" si="9"/>
        <v>31.174438533782958</v>
      </c>
    </row>
    <row r="44" spans="2:29">
      <c r="B44" s="25" t="str">
        <f t="shared" si="6"/>
        <v>Ontario</v>
      </c>
      <c r="C44" s="25" t="str">
        <f t="shared" si="6"/>
        <v>ON</v>
      </c>
      <c r="D44" s="31" t="str">
        <f t="shared" ref="D44:N44" si="14">IF(D10&gt;0,IF(D10&gt;D26,D10,D26),"")</f>
        <v/>
      </c>
      <c r="E44" s="31" t="str">
        <f t="shared" si="14"/>
        <v/>
      </c>
      <c r="F44" s="31" t="str">
        <f t="shared" si="14"/>
        <v/>
      </c>
      <c r="G44" s="31" t="str">
        <f t="shared" si="14"/>
        <v/>
      </c>
      <c r="H44" s="31" t="str">
        <f t="shared" si="14"/>
        <v/>
      </c>
      <c r="I44" s="31" t="str">
        <f t="shared" si="14"/>
        <v/>
      </c>
      <c r="J44" s="31" t="str">
        <f t="shared" si="14"/>
        <v/>
      </c>
      <c r="K44" s="31">
        <f t="shared" si="14"/>
        <v>1.95</v>
      </c>
      <c r="L44" s="31">
        <f t="shared" si="14"/>
        <v>2</v>
      </c>
      <c r="M44" s="31">
        <f t="shared" si="14"/>
        <v>0.1</v>
      </c>
      <c r="N44" s="31" t="str">
        <f t="shared" si="14"/>
        <v/>
      </c>
      <c r="P44" s="25" t="str">
        <f t="shared" ref="P44:X44" si="15">B44</f>
        <v>Ontario</v>
      </c>
      <c r="Q44" s="25" t="str">
        <f t="shared" si="15"/>
        <v>ON</v>
      </c>
      <c r="R44" s="31" t="str">
        <f t="shared" si="15"/>
        <v/>
      </c>
      <c r="S44" s="31" t="str">
        <f t="shared" si="15"/>
        <v/>
      </c>
      <c r="T44" s="31" t="str">
        <f t="shared" si="15"/>
        <v/>
      </c>
      <c r="U44" s="31" t="str">
        <f t="shared" si="15"/>
        <v/>
      </c>
      <c r="V44" s="31" t="str">
        <f t="shared" si="15"/>
        <v/>
      </c>
      <c r="W44" s="31" t="str">
        <f t="shared" si="15"/>
        <v/>
      </c>
      <c r="X44" s="31" t="str">
        <f t="shared" si="15"/>
        <v/>
      </c>
      <c r="Y44" s="31">
        <f>K44*Y$52*$H$128</f>
        <v>114.35015602111817</v>
      </c>
      <c r="Z44" s="31">
        <f>L44*Z$52*$H$128</f>
        <v>60.587436676025391</v>
      </c>
      <c r="AA44" s="31">
        <f>M44*AA$52*$H$128</f>
        <v>4.7960674667358401</v>
      </c>
      <c r="AB44" s="31" t="str">
        <f t="shared" si="13"/>
        <v/>
      </c>
      <c r="AC44" s="31">
        <f t="shared" si="9"/>
        <v>179.73366016387939</v>
      </c>
    </row>
    <row r="45" spans="2:29">
      <c r="B45" s="25" t="str">
        <f t="shared" si="6"/>
        <v>Quebec</v>
      </c>
      <c r="C45" s="25" t="str">
        <f t="shared" si="6"/>
        <v>QU</v>
      </c>
      <c r="D45" s="31" t="str">
        <f t="shared" ref="D45:N45" si="16">IF(D11&gt;0,IF(D11&gt;D27,D11,D27),"")</f>
        <v/>
      </c>
      <c r="E45" s="31" t="str">
        <f t="shared" si="16"/>
        <v/>
      </c>
      <c r="F45" s="31" t="str">
        <f t="shared" si="16"/>
        <v/>
      </c>
      <c r="G45" s="31" t="str">
        <f t="shared" si="16"/>
        <v/>
      </c>
      <c r="H45" s="31" t="str">
        <f t="shared" si="16"/>
        <v/>
      </c>
      <c r="I45" s="31" t="str">
        <f t="shared" si="16"/>
        <v/>
      </c>
      <c r="J45" s="31">
        <f t="shared" si="16"/>
        <v>1.57</v>
      </c>
      <c r="K45" s="31">
        <f t="shared" si="16"/>
        <v>1.9</v>
      </c>
      <c r="L45" s="31" t="str">
        <f t="shared" si="16"/>
        <v/>
      </c>
      <c r="M45" s="31" t="str">
        <f t="shared" si="16"/>
        <v/>
      </c>
      <c r="N45" s="31" t="str">
        <f t="shared" si="16"/>
        <v/>
      </c>
      <c r="P45" s="25" t="str">
        <f t="shared" ref="P45:W46" si="17">B45</f>
        <v>Quebec</v>
      </c>
      <c r="Q45" s="25" t="str">
        <f t="shared" si="17"/>
        <v>QU</v>
      </c>
      <c r="R45" s="31" t="str">
        <f t="shared" si="17"/>
        <v/>
      </c>
      <c r="S45" s="31" t="str">
        <f t="shared" si="17"/>
        <v/>
      </c>
      <c r="T45" s="31" t="str">
        <f t="shared" si="17"/>
        <v/>
      </c>
      <c r="U45" s="31" t="str">
        <f t="shared" si="17"/>
        <v/>
      </c>
      <c r="V45" s="31" t="str">
        <f t="shared" si="17"/>
        <v/>
      </c>
      <c r="W45" s="31" t="str">
        <f t="shared" si="17"/>
        <v/>
      </c>
      <c r="X45" s="31">
        <f>J45*X$52*$H$128</f>
        <v>50.307390266418459</v>
      </c>
      <c r="Y45" s="31">
        <f>K45*Y$52*$H$128</f>
        <v>111.4181007385254</v>
      </c>
      <c r="Z45" s="31" t="str">
        <f t="shared" ref="Z45:AA51" si="18">L45</f>
        <v/>
      </c>
      <c r="AA45" s="31" t="str">
        <f t="shared" si="18"/>
        <v/>
      </c>
      <c r="AB45" s="31" t="str">
        <f t="shared" si="13"/>
        <v/>
      </c>
      <c r="AC45" s="31">
        <f t="shared" si="9"/>
        <v>161.72549100494385</v>
      </c>
    </row>
    <row r="46" spans="2:29">
      <c r="B46" s="25" t="str">
        <f t="shared" si="6"/>
        <v>New Brunswick</v>
      </c>
      <c r="C46" s="25" t="str">
        <f t="shared" si="6"/>
        <v>NB</v>
      </c>
      <c r="D46" s="31" t="str">
        <f t="shared" ref="D46:N46" si="19">IF(D12&gt;0,IF(D12&gt;D28,D12,D28),"")</f>
        <v/>
      </c>
      <c r="E46" s="31" t="str">
        <f t="shared" si="19"/>
        <v/>
      </c>
      <c r="F46" s="31" t="str">
        <f t="shared" si="19"/>
        <v/>
      </c>
      <c r="G46" s="31" t="str">
        <f t="shared" si="19"/>
        <v/>
      </c>
      <c r="H46" s="31" t="str">
        <f t="shared" si="19"/>
        <v/>
      </c>
      <c r="I46" s="31" t="str">
        <f t="shared" si="19"/>
        <v/>
      </c>
      <c r="J46" s="31">
        <f t="shared" si="19"/>
        <v>0.95</v>
      </c>
      <c r="K46" s="31" t="str">
        <f t="shared" si="19"/>
        <v/>
      </c>
      <c r="L46" s="31" t="str">
        <f t="shared" si="19"/>
        <v/>
      </c>
      <c r="M46" s="31" t="str">
        <f t="shared" si="19"/>
        <v/>
      </c>
      <c r="N46" s="31" t="str">
        <f t="shared" si="19"/>
        <v/>
      </c>
      <c r="P46" s="25" t="str">
        <f t="shared" si="17"/>
        <v>New Brunswick</v>
      </c>
      <c r="Q46" s="25" t="str">
        <f t="shared" si="17"/>
        <v>NB</v>
      </c>
      <c r="R46" s="31" t="str">
        <f t="shared" si="17"/>
        <v/>
      </c>
      <c r="S46" s="31" t="str">
        <f t="shared" si="17"/>
        <v/>
      </c>
      <c r="T46" s="31" t="str">
        <f t="shared" si="17"/>
        <v/>
      </c>
      <c r="U46" s="31" t="str">
        <f t="shared" si="17"/>
        <v/>
      </c>
      <c r="V46" s="31" t="str">
        <f t="shared" si="17"/>
        <v/>
      </c>
      <c r="W46" s="31" t="str">
        <f t="shared" si="17"/>
        <v/>
      </c>
      <c r="X46" s="31">
        <f>J46*X$52*$H$128</f>
        <v>30.44077754974365</v>
      </c>
      <c r="Y46" s="31" t="str">
        <f t="shared" ref="Y46:Y51" si="20">K46</f>
        <v/>
      </c>
      <c r="Z46" s="31" t="str">
        <f t="shared" si="18"/>
        <v/>
      </c>
      <c r="AA46" s="31" t="str">
        <f t="shared" si="18"/>
        <v/>
      </c>
      <c r="AB46" s="31" t="str">
        <f t="shared" si="13"/>
        <v/>
      </c>
      <c r="AC46" s="31">
        <f t="shared" si="9"/>
        <v>30.44077754974365</v>
      </c>
    </row>
    <row r="47" spans="2:29">
      <c r="B47" s="25" t="str">
        <f t="shared" si="6"/>
        <v>NE</v>
      </c>
      <c r="C47" s="25" t="str">
        <f t="shared" si="6"/>
        <v>R1</v>
      </c>
      <c r="D47" s="31" t="str">
        <f t="shared" ref="D47:N47" si="21">IF(D13&gt;0,IF(D13&gt;D29,D13,D29),"")</f>
        <v/>
      </c>
      <c r="E47" s="31" t="str">
        <f t="shared" si="21"/>
        <v/>
      </c>
      <c r="F47" s="31" t="str">
        <f t="shared" si="21"/>
        <v/>
      </c>
      <c r="G47" s="31" t="str">
        <f t="shared" si="21"/>
        <v/>
      </c>
      <c r="H47" s="31">
        <f t="shared" si="21"/>
        <v>2.085</v>
      </c>
      <c r="I47" s="31">
        <f t="shared" si="21"/>
        <v>0.7</v>
      </c>
      <c r="J47" s="31" t="str">
        <f t="shared" si="21"/>
        <v/>
      </c>
      <c r="K47" s="31" t="str">
        <f t="shared" si="21"/>
        <v/>
      </c>
      <c r="L47" s="31" t="str">
        <f t="shared" si="21"/>
        <v/>
      </c>
      <c r="M47" s="31" t="str">
        <f t="shared" si="21"/>
        <v/>
      </c>
      <c r="N47" s="31" t="str">
        <f t="shared" si="21"/>
        <v/>
      </c>
      <c r="P47" s="25" t="str">
        <f t="shared" ref="P47:Q51" si="22">B47</f>
        <v>NE</v>
      </c>
      <c r="Q47" s="25" t="str">
        <f t="shared" si="22"/>
        <v>R1</v>
      </c>
      <c r="R47" s="31"/>
      <c r="S47" s="31"/>
      <c r="T47" s="31"/>
      <c r="U47" s="31"/>
      <c r="V47" s="31"/>
      <c r="W47" s="31"/>
      <c r="X47" s="31" t="str">
        <f>J47</f>
        <v/>
      </c>
      <c r="Y47" s="31" t="str">
        <f t="shared" si="20"/>
        <v/>
      </c>
      <c r="Z47" s="31" t="str">
        <f t="shared" si="18"/>
        <v/>
      </c>
      <c r="AA47" s="31" t="str">
        <f t="shared" si="18"/>
        <v/>
      </c>
      <c r="AB47" s="31" t="str">
        <f t="shared" si="13"/>
        <v/>
      </c>
    </row>
    <row r="48" spans="2:29">
      <c r="B48" s="25" t="str">
        <f t="shared" si="6"/>
        <v>MA</v>
      </c>
      <c r="C48" s="25" t="str">
        <f t="shared" si="6"/>
        <v>R2</v>
      </c>
      <c r="D48" s="31" t="str">
        <f t="shared" ref="D48:N48" si="23">IF(D14&gt;0,IF(D14&gt;D30,D14,D30),"")</f>
        <v/>
      </c>
      <c r="E48" s="31" t="str">
        <f t="shared" si="23"/>
        <v/>
      </c>
      <c r="F48" s="31" t="str">
        <f t="shared" si="23"/>
        <v/>
      </c>
      <c r="G48" s="31">
        <f t="shared" si="23"/>
        <v>1.9750000000000001</v>
      </c>
      <c r="H48" s="31">
        <f t="shared" si="23"/>
        <v>1.5</v>
      </c>
      <c r="I48" s="31" t="str">
        <f t="shared" si="23"/>
        <v/>
      </c>
      <c r="J48" s="31" t="str">
        <f t="shared" si="23"/>
        <v/>
      </c>
      <c r="K48" s="31" t="str">
        <f t="shared" si="23"/>
        <v/>
      </c>
      <c r="L48" s="31" t="str">
        <f t="shared" si="23"/>
        <v/>
      </c>
      <c r="M48" s="31" t="str">
        <f t="shared" si="23"/>
        <v/>
      </c>
      <c r="N48" s="31" t="str">
        <f t="shared" si="23"/>
        <v/>
      </c>
      <c r="P48" s="25" t="str">
        <f t="shared" si="22"/>
        <v>MA</v>
      </c>
      <c r="Q48" s="25" t="str">
        <f t="shared" si="22"/>
        <v>R2</v>
      </c>
      <c r="R48" s="31"/>
      <c r="S48" s="31"/>
      <c r="T48" s="31"/>
      <c r="U48" s="31"/>
      <c r="V48" s="31"/>
      <c r="W48" s="31"/>
      <c r="X48" s="31" t="str">
        <f>J48</f>
        <v/>
      </c>
      <c r="Y48" s="31" t="str">
        <f t="shared" si="20"/>
        <v/>
      </c>
      <c r="Z48" s="31" t="str">
        <f t="shared" si="18"/>
        <v/>
      </c>
      <c r="AA48" s="31" t="str">
        <f t="shared" si="18"/>
        <v/>
      </c>
      <c r="AB48" s="31" t="str">
        <f t="shared" si="13"/>
        <v/>
      </c>
    </row>
    <row r="49" spans="2:28">
      <c r="B49" s="25" t="str">
        <f t="shared" si="6"/>
        <v>ENC</v>
      </c>
      <c r="C49" s="25" t="str">
        <f t="shared" si="6"/>
        <v>R3</v>
      </c>
      <c r="D49" s="31" t="str">
        <f t="shared" ref="D49:N49" si="24">IF(D15&gt;0,IF(D15&gt;D31,D15,D31),"")</f>
        <v/>
      </c>
      <c r="E49" s="31" t="str">
        <f t="shared" si="24"/>
        <v/>
      </c>
      <c r="F49" s="31" t="str">
        <f t="shared" si="24"/>
        <v/>
      </c>
      <c r="G49" s="31">
        <f t="shared" si="24"/>
        <v>2.85</v>
      </c>
      <c r="H49" s="31" t="str">
        <f t="shared" si="24"/>
        <v/>
      </c>
      <c r="I49" s="31" t="str">
        <f t="shared" si="24"/>
        <v/>
      </c>
      <c r="J49" s="31" t="str">
        <f t="shared" si="24"/>
        <v/>
      </c>
      <c r="K49" s="31" t="str">
        <f t="shared" si="24"/>
        <v/>
      </c>
      <c r="L49" s="31" t="str">
        <f t="shared" si="24"/>
        <v/>
      </c>
      <c r="M49" s="31" t="str">
        <f t="shared" si="24"/>
        <v/>
      </c>
      <c r="N49" s="31" t="str">
        <f t="shared" si="24"/>
        <v/>
      </c>
      <c r="P49" s="25" t="str">
        <f t="shared" si="22"/>
        <v>ENC</v>
      </c>
      <c r="Q49" s="25" t="str">
        <f t="shared" si="22"/>
        <v>R3</v>
      </c>
      <c r="R49" s="31"/>
      <c r="S49" s="31"/>
      <c r="T49" s="31"/>
      <c r="U49" s="31"/>
      <c r="V49" s="31"/>
      <c r="W49" s="31"/>
      <c r="X49" s="31" t="str">
        <f>J49</f>
        <v/>
      </c>
      <c r="Y49" s="31" t="str">
        <f t="shared" si="20"/>
        <v/>
      </c>
      <c r="Z49" s="31" t="str">
        <f t="shared" si="18"/>
        <v/>
      </c>
      <c r="AA49" s="31" t="str">
        <f t="shared" si="18"/>
        <v/>
      </c>
      <c r="AB49" s="31" t="str">
        <f t="shared" si="13"/>
        <v/>
      </c>
    </row>
    <row r="50" spans="2:28">
      <c r="B50" s="25" t="str">
        <f t="shared" si="6"/>
        <v>WNC</v>
      </c>
      <c r="C50" s="25" t="str">
        <f t="shared" si="6"/>
        <v>R4</v>
      </c>
      <c r="D50" s="31" t="str">
        <f t="shared" ref="D50:N50" si="25">IF(D16&gt;0,IF(D16&gt;D32,D16,D32),"")</f>
        <v/>
      </c>
      <c r="E50" s="31" t="str">
        <f t="shared" si="25"/>
        <v/>
      </c>
      <c r="F50" s="31">
        <f t="shared" si="25"/>
        <v>3.7050000000000001</v>
      </c>
      <c r="G50" s="31">
        <f t="shared" si="25"/>
        <v>0.15</v>
      </c>
      <c r="H50" s="31" t="str">
        <f t="shared" si="25"/>
        <v/>
      </c>
      <c r="I50" s="31" t="str">
        <f t="shared" si="25"/>
        <v/>
      </c>
      <c r="J50" s="31" t="str">
        <f t="shared" si="25"/>
        <v/>
      </c>
      <c r="K50" s="31" t="str">
        <f t="shared" si="25"/>
        <v/>
      </c>
      <c r="L50" s="31" t="str">
        <f t="shared" si="25"/>
        <v/>
      </c>
      <c r="M50" s="31" t="str">
        <f t="shared" si="25"/>
        <v/>
      </c>
      <c r="N50" s="31" t="str">
        <f t="shared" si="25"/>
        <v/>
      </c>
      <c r="P50" s="25" t="str">
        <f t="shared" si="22"/>
        <v>WNC</v>
      </c>
      <c r="Q50" s="25" t="str">
        <f t="shared" si="22"/>
        <v>R4</v>
      </c>
      <c r="R50" s="31"/>
      <c r="S50" s="31"/>
      <c r="T50" s="31"/>
      <c r="U50" s="31"/>
      <c r="V50" s="31"/>
      <c r="W50" s="31"/>
      <c r="X50" s="31" t="str">
        <f>J50</f>
        <v/>
      </c>
      <c r="Y50" s="31" t="str">
        <f t="shared" si="20"/>
        <v/>
      </c>
      <c r="Z50" s="31" t="str">
        <f t="shared" si="18"/>
        <v/>
      </c>
      <c r="AA50" s="31" t="str">
        <f t="shared" si="18"/>
        <v/>
      </c>
      <c r="AB50" s="31" t="str">
        <f t="shared" si="13"/>
        <v/>
      </c>
    </row>
    <row r="51" spans="2:28">
      <c r="B51" s="25" t="str">
        <f t="shared" si="6"/>
        <v>PAC</v>
      </c>
      <c r="C51" s="25" t="str">
        <f t="shared" si="6"/>
        <v>R9</v>
      </c>
      <c r="D51" s="31">
        <f t="shared" ref="D51:N51" si="26">IF(D17&gt;0,IF(D17&gt;D33,D17,D33),"")</f>
        <v>0.8</v>
      </c>
      <c r="E51" s="31">
        <f t="shared" si="26"/>
        <v>3.1619999999999999</v>
      </c>
      <c r="F51" s="31" t="str">
        <f t="shared" si="26"/>
        <v/>
      </c>
      <c r="G51" s="31" t="str">
        <f t="shared" si="26"/>
        <v/>
      </c>
      <c r="H51" s="31" t="str">
        <f t="shared" si="26"/>
        <v/>
      </c>
      <c r="I51" s="31" t="str">
        <f t="shared" si="26"/>
        <v/>
      </c>
      <c r="J51" s="31" t="str">
        <f t="shared" si="26"/>
        <v/>
      </c>
      <c r="K51" s="31" t="str">
        <f t="shared" si="26"/>
        <v/>
      </c>
      <c r="L51" s="31" t="str">
        <f t="shared" si="26"/>
        <v/>
      </c>
      <c r="M51" s="31" t="str">
        <f t="shared" si="26"/>
        <v/>
      </c>
      <c r="N51" s="31" t="str">
        <f t="shared" si="26"/>
        <v/>
      </c>
      <c r="P51" s="25" t="str">
        <f t="shared" si="22"/>
        <v>PAC</v>
      </c>
      <c r="Q51" s="25" t="str">
        <f t="shared" si="22"/>
        <v>R9</v>
      </c>
      <c r="R51" s="31"/>
      <c r="S51" s="31"/>
      <c r="T51" s="31"/>
      <c r="U51" s="31"/>
      <c r="V51" s="31"/>
      <c r="W51" s="31"/>
      <c r="X51" s="31" t="str">
        <f>J51</f>
        <v/>
      </c>
      <c r="Y51" s="31" t="str">
        <f t="shared" si="20"/>
        <v/>
      </c>
      <c r="Z51" s="31" t="str">
        <f t="shared" si="18"/>
        <v/>
      </c>
      <c r="AA51" s="31" t="str">
        <f t="shared" si="18"/>
        <v/>
      </c>
      <c r="AB51" s="31" t="str">
        <f t="shared" si="13"/>
        <v/>
      </c>
    </row>
    <row r="52" spans="2:28">
      <c r="P52" s="25" t="s">
        <v>123</v>
      </c>
      <c r="R52" s="31"/>
      <c r="S52" s="31"/>
      <c r="T52" s="31"/>
      <c r="U52" s="31"/>
      <c r="V52" s="31"/>
      <c r="W52" s="31"/>
      <c r="X52" s="31">
        <f>MAX(E131:E136)</f>
        <v>8.9008121490478516</v>
      </c>
      <c r="Y52" s="31">
        <f>MAX(E137:E142)</f>
        <v>16.289196014404297</v>
      </c>
      <c r="Z52" s="31">
        <f>MAX(E143:E148)</f>
        <v>8.414921760559082</v>
      </c>
      <c r="AA52" s="31">
        <f>MAX(E149:E154)</f>
        <v>13.322409629821777</v>
      </c>
      <c r="AB52" s="31">
        <f>MAX(E179:E184)</f>
        <v>13.586381793022156</v>
      </c>
    </row>
    <row r="53" spans="2:28">
      <c r="B53" s="25" t="s">
        <v>101</v>
      </c>
      <c r="D53" s="152" t="s">
        <v>85</v>
      </c>
      <c r="E53" s="152"/>
      <c r="F53" s="152"/>
      <c r="G53" s="152"/>
      <c r="H53" s="152"/>
      <c r="I53" s="152"/>
      <c r="J53" s="152"/>
      <c r="K53" s="152"/>
      <c r="L53" s="152"/>
      <c r="M53" s="152"/>
      <c r="N53" s="152"/>
    </row>
    <row r="54" spans="2:28" ht="26.4">
      <c r="B54" s="25" t="s">
        <v>86</v>
      </c>
      <c r="D54" s="29" t="str">
        <f t="shared" ref="D54:N54" si="27">D5</f>
        <v>Mexico</v>
      </c>
      <c r="E54" s="29" t="str">
        <f t="shared" si="27"/>
        <v>British Columbia</v>
      </c>
      <c r="F54" s="29" t="str">
        <f t="shared" si="27"/>
        <v>Manitoba</v>
      </c>
      <c r="G54" s="29" t="str">
        <f t="shared" si="27"/>
        <v>Ontario</v>
      </c>
      <c r="H54" s="29" t="str">
        <f t="shared" si="27"/>
        <v>Quebec</v>
      </c>
      <c r="I54" s="29" t="str">
        <f t="shared" si="27"/>
        <v>New Brunswick</v>
      </c>
      <c r="J54" s="29" t="str">
        <f t="shared" si="27"/>
        <v>NE</v>
      </c>
      <c r="K54" s="29" t="str">
        <f t="shared" si="27"/>
        <v>MA</v>
      </c>
      <c r="L54" s="29" t="str">
        <f t="shared" si="27"/>
        <v>ENC</v>
      </c>
      <c r="M54" s="29" t="str">
        <f t="shared" si="27"/>
        <v>WNC</v>
      </c>
      <c r="N54" s="29" t="str">
        <f t="shared" si="27"/>
        <v>PAC</v>
      </c>
    </row>
    <row r="55" spans="2:28">
      <c r="D55" s="29" t="str">
        <f t="shared" ref="D55:N55" si="28">D6</f>
        <v>MX</v>
      </c>
      <c r="E55" s="29" t="str">
        <f t="shared" si="28"/>
        <v>BC</v>
      </c>
      <c r="F55" s="29" t="str">
        <f t="shared" si="28"/>
        <v>MA</v>
      </c>
      <c r="G55" s="29" t="str">
        <f t="shared" si="28"/>
        <v>ON</v>
      </c>
      <c r="H55" s="29" t="str">
        <f t="shared" si="28"/>
        <v>QU</v>
      </c>
      <c r="I55" s="29" t="str">
        <f t="shared" si="28"/>
        <v>NB</v>
      </c>
      <c r="J55" s="29" t="str">
        <f t="shared" si="28"/>
        <v>R1</v>
      </c>
      <c r="K55" s="29" t="str">
        <f t="shared" si="28"/>
        <v>R2</v>
      </c>
      <c r="L55" s="29" t="str">
        <f t="shared" si="28"/>
        <v>R3</v>
      </c>
      <c r="M55" s="29" t="str">
        <f t="shared" si="28"/>
        <v>R4</v>
      </c>
      <c r="N55" s="29" t="str">
        <f t="shared" si="28"/>
        <v>R9</v>
      </c>
    </row>
    <row r="56" spans="2:28">
      <c r="B56" s="25" t="str">
        <f t="shared" ref="B56:C66" si="29">B7</f>
        <v>Mexico</v>
      </c>
      <c r="C56" s="25" t="str">
        <f t="shared" si="29"/>
        <v>MX</v>
      </c>
      <c r="D56" s="31" t="str">
        <f t="shared" ref="D56:N56" si="30">IF(D7&gt;0,D7/D41,"")</f>
        <v/>
      </c>
      <c r="E56" s="31" t="str">
        <f t="shared" si="30"/>
        <v/>
      </c>
      <c r="F56" s="31" t="str">
        <f t="shared" si="30"/>
        <v/>
      </c>
      <c r="G56" s="31" t="str">
        <f t="shared" si="30"/>
        <v/>
      </c>
      <c r="H56" s="31" t="str">
        <f t="shared" si="30"/>
        <v/>
      </c>
      <c r="I56" s="31" t="str">
        <f t="shared" si="30"/>
        <v/>
      </c>
      <c r="J56" s="31" t="str">
        <f t="shared" si="30"/>
        <v/>
      </c>
      <c r="K56" s="31" t="str">
        <f t="shared" si="30"/>
        <v/>
      </c>
      <c r="L56" s="31" t="str">
        <f t="shared" si="30"/>
        <v/>
      </c>
      <c r="M56" s="31" t="str">
        <f t="shared" si="30"/>
        <v/>
      </c>
      <c r="N56" s="31">
        <f t="shared" si="30"/>
        <v>1</v>
      </c>
    </row>
    <row r="57" spans="2:28">
      <c r="B57" s="25" t="str">
        <f t="shared" si="29"/>
        <v>British Columbia</v>
      </c>
      <c r="C57" s="25" t="str">
        <f t="shared" si="29"/>
        <v>BC</v>
      </c>
      <c r="D57" s="31" t="str">
        <f t="shared" ref="D57:N57" si="31">IF(D8&gt;0,D8/D42,"")</f>
        <v/>
      </c>
      <c r="E57" s="31" t="str">
        <f t="shared" si="31"/>
        <v/>
      </c>
      <c r="F57" s="31" t="str">
        <f t="shared" si="31"/>
        <v/>
      </c>
      <c r="G57" s="31" t="str">
        <f t="shared" si="31"/>
        <v/>
      </c>
      <c r="H57" s="31" t="str">
        <f t="shared" si="31"/>
        <v/>
      </c>
      <c r="I57" s="31" t="str">
        <f t="shared" si="31"/>
        <v/>
      </c>
      <c r="J57" s="31" t="str">
        <f t="shared" si="31"/>
        <v/>
      </c>
      <c r="K57" s="31" t="str">
        <f t="shared" si="31"/>
        <v/>
      </c>
      <c r="L57" s="31" t="str">
        <f t="shared" si="31"/>
        <v/>
      </c>
      <c r="M57" s="31" t="str">
        <f t="shared" si="31"/>
        <v/>
      </c>
      <c r="N57" s="31">
        <f t="shared" si="31"/>
        <v>1</v>
      </c>
    </row>
    <row r="58" spans="2:28">
      <c r="B58" s="25" t="str">
        <f t="shared" si="29"/>
        <v>Manitoba</v>
      </c>
      <c r="C58" s="25" t="str">
        <f t="shared" si="29"/>
        <v>MA</v>
      </c>
      <c r="D58" s="31" t="str">
        <f t="shared" ref="D58:N58" si="32">IF(D9&gt;0,D9/D43,"")</f>
        <v/>
      </c>
      <c r="E58" s="31" t="str">
        <f t="shared" si="32"/>
        <v/>
      </c>
      <c r="F58" s="31" t="str">
        <f t="shared" si="32"/>
        <v/>
      </c>
      <c r="G58" s="31" t="str">
        <f t="shared" si="32"/>
        <v/>
      </c>
      <c r="H58" s="31" t="str">
        <f t="shared" si="32"/>
        <v/>
      </c>
      <c r="I58" s="31" t="str">
        <f t="shared" si="32"/>
        <v/>
      </c>
      <c r="J58" s="31" t="str">
        <f t="shared" si="32"/>
        <v/>
      </c>
      <c r="K58" s="31" t="str">
        <f t="shared" si="32"/>
        <v/>
      </c>
      <c r="L58" s="31" t="str">
        <f t="shared" si="32"/>
        <v/>
      </c>
      <c r="M58" s="31">
        <f t="shared" si="32"/>
        <v>1</v>
      </c>
      <c r="N58" s="31" t="str">
        <f t="shared" si="32"/>
        <v/>
      </c>
    </row>
    <row r="59" spans="2:28">
      <c r="B59" s="25" t="str">
        <f t="shared" si="29"/>
        <v>Ontario</v>
      </c>
      <c r="C59" s="25" t="str">
        <f t="shared" si="29"/>
        <v>ON</v>
      </c>
      <c r="D59" s="31" t="str">
        <f t="shared" ref="D59:N59" si="33">IF(D10&gt;0,D10/D44,"")</f>
        <v/>
      </c>
      <c r="E59" s="31" t="str">
        <f t="shared" si="33"/>
        <v/>
      </c>
      <c r="F59" s="31" t="str">
        <f t="shared" si="33"/>
        <v/>
      </c>
      <c r="G59" s="31" t="str">
        <f t="shared" si="33"/>
        <v/>
      </c>
      <c r="H59" s="31" t="str">
        <f t="shared" si="33"/>
        <v/>
      </c>
      <c r="I59" s="31" t="str">
        <f t="shared" si="33"/>
        <v/>
      </c>
      <c r="J59" s="31" t="str">
        <f t="shared" si="33"/>
        <v/>
      </c>
      <c r="K59" s="31">
        <f t="shared" si="33"/>
        <v>1</v>
      </c>
      <c r="L59" s="31">
        <f t="shared" si="33"/>
        <v>0.875</v>
      </c>
      <c r="M59" s="31">
        <f t="shared" si="33"/>
        <v>0.89999999999999991</v>
      </c>
      <c r="N59" s="31" t="str">
        <f t="shared" si="33"/>
        <v/>
      </c>
    </row>
    <row r="60" spans="2:28">
      <c r="B60" s="25" t="str">
        <f t="shared" si="29"/>
        <v>Quebec</v>
      </c>
      <c r="C60" s="25" t="str">
        <f t="shared" si="29"/>
        <v>QU</v>
      </c>
      <c r="D60" s="31" t="str">
        <f t="shared" ref="D60:N60" si="34">IF(D11&gt;0,D11/D45,"")</f>
        <v/>
      </c>
      <c r="E60" s="31" t="str">
        <f t="shared" si="34"/>
        <v/>
      </c>
      <c r="F60" s="31" t="str">
        <f t="shared" si="34"/>
        <v/>
      </c>
      <c r="G60" s="31" t="str">
        <f t="shared" si="34"/>
        <v/>
      </c>
      <c r="H60" s="31" t="str">
        <f t="shared" si="34"/>
        <v/>
      </c>
      <c r="I60" s="31" t="str">
        <f t="shared" si="34"/>
        <v/>
      </c>
      <c r="J60" s="31">
        <f t="shared" si="34"/>
        <v>1</v>
      </c>
      <c r="K60" s="31">
        <f t="shared" si="34"/>
        <v>0.52631578947368418</v>
      </c>
      <c r="L60" s="31" t="str">
        <f t="shared" si="34"/>
        <v/>
      </c>
      <c r="M60" s="31" t="str">
        <f t="shared" si="34"/>
        <v/>
      </c>
      <c r="N60" s="31" t="str">
        <f t="shared" si="34"/>
        <v/>
      </c>
    </row>
    <row r="61" spans="2:28">
      <c r="B61" s="25" t="str">
        <f t="shared" si="29"/>
        <v>New Brunswick</v>
      </c>
      <c r="C61" s="25" t="str">
        <f t="shared" si="29"/>
        <v>NB</v>
      </c>
      <c r="D61" s="31" t="str">
        <f t="shared" ref="D61:N61" si="35">IF(D12&gt;0,D12/D46,"")</f>
        <v/>
      </c>
      <c r="E61" s="31" t="str">
        <f t="shared" si="35"/>
        <v/>
      </c>
      <c r="F61" s="31" t="str">
        <f t="shared" si="35"/>
        <v/>
      </c>
      <c r="G61" s="31" t="str">
        <f t="shared" si="35"/>
        <v/>
      </c>
      <c r="H61" s="31" t="str">
        <f t="shared" si="35"/>
        <v/>
      </c>
      <c r="I61" s="31" t="str">
        <f t="shared" si="35"/>
        <v/>
      </c>
      <c r="J61" s="31">
        <f t="shared" si="35"/>
        <v>0.4210526315789474</v>
      </c>
      <c r="K61" s="31" t="str">
        <f t="shared" si="35"/>
        <v/>
      </c>
      <c r="L61" s="31" t="str">
        <f t="shared" si="35"/>
        <v/>
      </c>
      <c r="M61" s="31" t="str">
        <f t="shared" si="35"/>
        <v/>
      </c>
      <c r="N61" s="31" t="str">
        <f t="shared" si="35"/>
        <v/>
      </c>
    </row>
    <row r="62" spans="2:28">
      <c r="B62" s="25" t="str">
        <f t="shared" si="29"/>
        <v>NE</v>
      </c>
      <c r="C62" s="25" t="str">
        <f t="shared" si="29"/>
        <v>R1</v>
      </c>
      <c r="D62" s="31" t="str">
        <f t="shared" ref="D62:N62" si="36">IF(D13&gt;0,D13/D47,"")</f>
        <v/>
      </c>
      <c r="E62" s="31" t="str">
        <f t="shared" si="36"/>
        <v/>
      </c>
      <c r="F62" s="31" t="str">
        <f t="shared" si="36"/>
        <v/>
      </c>
      <c r="G62" s="31" t="str">
        <f t="shared" si="36"/>
        <v/>
      </c>
      <c r="H62" s="31">
        <f t="shared" si="36"/>
        <v>0.86330935251798568</v>
      </c>
      <c r="I62" s="31">
        <f t="shared" si="36"/>
        <v>1</v>
      </c>
      <c r="J62" s="31" t="str">
        <f t="shared" si="36"/>
        <v/>
      </c>
      <c r="K62" s="31" t="str">
        <f t="shared" si="36"/>
        <v/>
      </c>
      <c r="L62" s="31" t="str">
        <f t="shared" si="36"/>
        <v/>
      </c>
      <c r="M62" s="31" t="str">
        <f t="shared" si="36"/>
        <v/>
      </c>
      <c r="N62" s="31" t="str">
        <f t="shared" si="36"/>
        <v/>
      </c>
    </row>
    <row r="63" spans="2:28">
      <c r="B63" s="25" t="str">
        <f t="shared" si="29"/>
        <v>MA</v>
      </c>
      <c r="C63" s="25" t="str">
        <f t="shared" si="29"/>
        <v>R2</v>
      </c>
      <c r="D63" s="31" t="str">
        <f t="shared" ref="D63:N63" si="37">IF(D14&gt;0,D14/D48,"")</f>
        <v/>
      </c>
      <c r="E63" s="31" t="str">
        <f t="shared" si="37"/>
        <v/>
      </c>
      <c r="F63" s="31" t="str">
        <f t="shared" si="37"/>
        <v/>
      </c>
      <c r="G63" s="31">
        <f t="shared" si="37"/>
        <v>1</v>
      </c>
      <c r="H63" s="31">
        <f t="shared" si="37"/>
        <v>1</v>
      </c>
      <c r="I63" s="31" t="str">
        <f t="shared" si="37"/>
        <v/>
      </c>
      <c r="J63" s="31" t="str">
        <f t="shared" si="37"/>
        <v/>
      </c>
      <c r="K63" s="31" t="str">
        <f t="shared" si="37"/>
        <v/>
      </c>
      <c r="L63" s="31" t="str">
        <f t="shared" si="37"/>
        <v/>
      </c>
      <c r="M63" s="31" t="str">
        <f t="shared" si="37"/>
        <v/>
      </c>
      <c r="N63" s="31" t="str">
        <f t="shared" si="37"/>
        <v/>
      </c>
    </row>
    <row r="64" spans="2:28">
      <c r="B64" s="25" t="str">
        <f t="shared" si="29"/>
        <v>ENC</v>
      </c>
      <c r="C64" s="25" t="str">
        <f t="shared" si="29"/>
        <v>R3</v>
      </c>
      <c r="D64" s="31" t="str">
        <f t="shared" ref="D64:N64" si="38">IF(D15&gt;0,D15/D49,"")</f>
        <v/>
      </c>
      <c r="E64" s="31" t="str">
        <f t="shared" si="38"/>
        <v/>
      </c>
      <c r="F64" s="31" t="str">
        <f t="shared" si="38"/>
        <v/>
      </c>
      <c r="G64" s="31">
        <f t="shared" si="38"/>
        <v>0.91228070175438591</v>
      </c>
      <c r="H64" s="31" t="str">
        <f t="shared" si="38"/>
        <v/>
      </c>
      <c r="I64" s="31" t="str">
        <f t="shared" si="38"/>
        <v/>
      </c>
      <c r="J64" s="31" t="str">
        <f t="shared" si="38"/>
        <v/>
      </c>
      <c r="K64" s="31" t="str">
        <f t="shared" si="38"/>
        <v/>
      </c>
      <c r="L64" s="31" t="str">
        <f t="shared" si="38"/>
        <v/>
      </c>
      <c r="M64" s="31" t="str">
        <f t="shared" si="38"/>
        <v/>
      </c>
      <c r="N64" s="31" t="str">
        <f t="shared" si="38"/>
        <v/>
      </c>
    </row>
    <row r="65" spans="2:14">
      <c r="B65" s="25" t="str">
        <f t="shared" si="29"/>
        <v>WNC</v>
      </c>
      <c r="C65" s="25" t="str">
        <f t="shared" si="29"/>
        <v>R4</v>
      </c>
      <c r="D65" s="31" t="str">
        <f t="shared" ref="D65:N65" si="39">IF(D16&gt;0,D16/D50,"")</f>
        <v/>
      </c>
      <c r="E65" s="31" t="str">
        <f t="shared" si="39"/>
        <v/>
      </c>
      <c r="F65" s="31">
        <f t="shared" si="39"/>
        <v>0.58704453441295545</v>
      </c>
      <c r="G65" s="31">
        <f t="shared" si="39"/>
        <v>0.93333333333333346</v>
      </c>
      <c r="H65" s="31" t="str">
        <f t="shared" si="39"/>
        <v/>
      </c>
      <c r="I65" s="31" t="str">
        <f t="shared" si="39"/>
        <v/>
      </c>
      <c r="J65" s="31" t="str">
        <f t="shared" si="39"/>
        <v/>
      </c>
      <c r="K65" s="31" t="str">
        <f t="shared" si="39"/>
        <v/>
      </c>
      <c r="L65" s="31" t="str">
        <f t="shared" si="39"/>
        <v/>
      </c>
      <c r="M65" s="31" t="str">
        <f t="shared" si="39"/>
        <v/>
      </c>
      <c r="N65" s="31" t="str">
        <f t="shared" si="39"/>
        <v/>
      </c>
    </row>
    <row r="66" spans="2:14">
      <c r="B66" s="25" t="str">
        <f t="shared" si="29"/>
        <v>PAC</v>
      </c>
      <c r="C66" s="25" t="str">
        <f t="shared" si="29"/>
        <v>R9</v>
      </c>
      <c r="D66" s="31">
        <f t="shared" ref="D66:N66" si="40">IF(D17&gt;0,D17/D51,"")</f>
        <v>1</v>
      </c>
      <c r="E66" s="31">
        <f t="shared" si="40"/>
        <v>1</v>
      </c>
      <c r="F66" s="31" t="str">
        <f t="shared" si="40"/>
        <v/>
      </c>
      <c r="G66" s="31" t="str">
        <f t="shared" si="40"/>
        <v/>
      </c>
      <c r="H66" s="31" t="str">
        <f t="shared" si="40"/>
        <v/>
      </c>
      <c r="I66" s="31" t="str">
        <f t="shared" si="40"/>
        <v/>
      </c>
      <c r="J66" s="31" t="str">
        <f t="shared" si="40"/>
        <v/>
      </c>
      <c r="K66" s="31" t="str">
        <f t="shared" si="40"/>
        <v/>
      </c>
      <c r="L66" s="31" t="str">
        <f t="shared" si="40"/>
        <v/>
      </c>
      <c r="M66" s="31" t="str">
        <f t="shared" si="40"/>
        <v/>
      </c>
      <c r="N66" s="31" t="str">
        <f t="shared" si="40"/>
        <v/>
      </c>
    </row>
    <row r="68" spans="2:14">
      <c r="B68" s="25" t="s">
        <v>102</v>
      </c>
      <c r="D68" s="152" t="s">
        <v>85</v>
      </c>
      <c r="E68" s="152"/>
      <c r="F68" s="152"/>
      <c r="G68" s="152"/>
      <c r="H68" s="152"/>
      <c r="I68" s="152"/>
      <c r="J68" s="152"/>
      <c r="K68" s="152"/>
      <c r="L68" s="152"/>
      <c r="M68" s="152"/>
      <c r="N68" s="152"/>
    </row>
    <row r="69" spans="2:14" ht="26.4">
      <c r="B69" s="25" t="s">
        <v>86</v>
      </c>
      <c r="D69" s="29" t="str">
        <f t="shared" ref="D69:N69" si="41">D5</f>
        <v>Mexico</v>
      </c>
      <c r="E69" s="29" t="str">
        <f t="shared" si="41"/>
        <v>British Columbia</v>
      </c>
      <c r="F69" s="29" t="str">
        <f t="shared" si="41"/>
        <v>Manitoba</v>
      </c>
      <c r="G69" s="29" t="str">
        <f t="shared" si="41"/>
        <v>Ontario</v>
      </c>
      <c r="H69" s="29" t="str">
        <f t="shared" si="41"/>
        <v>Quebec</v>
      </c>
      <c r="I69" s="29" t="str">
        <f t="shared" si="41"/>
        <v>New Brunswick</v>
      </c>
      <c r="J69" s="29" t="str">
        <f t="shared" si="41"/>
        <v>NE</v>
      </c>
      <c r="K69" s="29" t="str">
        <f t="shared" si="41"/>
        <v>MA</v>
      </c>
      <c r="L69" s="29" t="str">
        <f t="shared" si="41"/>
        <v>ENC</v>
      </c>
      <c r="M69" s="29" t="str">
        <f t="shared" si="41"/>
        <v>WNC</v>
      </c>
      <c r="N69" s="29" t="str">
        <f t="shared" si="41"/>
        <v>PAC</v>
      </c>
    </row>
    <row r="70" spans="2:14">
      <c r="D70" s="29" t="str">
        <f t="shared" ref="D70:N70" si="42">D6</f>
        <v>MX</v>
      </c>
      <c r="E70" s="29" t="str">
        <f t="shared" si="42"/>
        <v>BC</v>
      </c>
      <c r="F70" s="29" t="str">
        <f t="shared" si="42"/>
        <v>MA</v>
      </c>
      <c r="G70" s="29" t="str">
        <f t="shared" si="42"/>
        <v>ON</v>
      </c>
      <c r="H70" s="29" t="str">
        <f t="shared" si="42"/>
        <v>QU</v>
      </c>
      <c r="I70" s="29" t="str">
        <f t="shared" si="42"/>
        <v>NB</v>
      </c>
      <c r="J70" s="29" t="str">
        <f t="shared" si="42"/>
        <v>R1</v>
      </c>
      <c r="K70" s="29" t="str">
        <f t="shared" si="42"/>
        <v>R2</v>
      </c>
      <c r="L70" s="29" t="str">
        <f t="shared" si="42"/>
        <v>R3</v>
      </c>
      <c r="M70" s="29" t="str">
        <f t="shared" si="42"/>
        <v>R4</v>
      </c>
      <c r="N70" s="29" t="str">
        <f t="shared" si="42"/>
        <v>R9</v>
      </c>
    </row>
    <row r="71" spans="2:14">
      <c r="B71" s="25" t="str">
        <f t="shared" ref="B71:C81" si="43">B7</f>
        <v>Mexico</v>
      </c>
      <c r="C71" s="25" t="str">
        <f t="shared" si="43"/>
        <v>MX</v>
      </c>
      <c r="D71" s="31" t="str">
        <f t="shared" ref="D71:N71" si="44">IF(D23&gt;0,D23/D41,"")</f>
        <v/>
      </c>
      <c r="E71" s="31" t="str">
        <f t="shared" si="44"/>
        <v/>
      </c>
      <c r="F71" s="31" t="str">
        <f t="shared" si="44"/>
        <v/>
      </c>
      <c r="G71" s="31" t="str">
        <f t="shared" si="44"/>
        <v/>
      </c>
      <c r="H71" s="31" t="str">
        <f t="shared" si="44"/>
        <v/>
      </c>
      <c r="I71" s="31" t="str">
        <f t="shared" si="44"/>
        <v/>
      </c>
      <c r="J71" s="31" t="str">
        <f t="shared" si="44"/>
        <v/>
      </c>
      <c r="K71" s="31" t="str">
        <f t="shared" si="44"/>
        <v/>
      </c>
      <c r="L71" s="31" t="str">
        <f t="shared" si="44"/>
        <v/>
      </c>
      <c r="M71" s="31" t="str">
        <f t="shared" si="44"/>
        <v/>
      </c>
      <c r="N71" s="31">
        <f t="shared" si="44"/>
        <v>1</v>
      </c>
    </row>
    <row r="72" spans="2:14">
      <c r="B72" s="25" t="str">
        <f t="shared" si="43"/>
        <v>British Columbia</v>
      </c>
      <c r="C72" s="25" t="str">
        <f t="shared" si="43"/>
        <v>BC</v>
      </c>
      <c r="D72" s="31" t="str">
        <f t="shared" ref="D72:N72" si="45">IF(D24&gt;0,D24/D42,"")</f>
        <v/>
      </c>
      <c r="E72" s="31" t="str">
        <f t="shared" si="45"/>
        <v/>
      </c>
      <c r="F72" s="31" t="str">
        <f t="shared" si="45"/>
        <v/>
      </c>
      <c r="G72" s="31" t="str">
        <f t="shared" si="45"/>
        <v/>
      </c>
      <c r="H72" s="31" t="str">
        <f t="shared" si="45"/>
        <v/>
      </c>
      <c r="I72" s="31" t="str">
        <f t="shared" si="45"/>
        <v/>
      </c>
      <c r="J72" s="31" t="str">
        <f t="shared" si="45"/>
        <v/>
      </c>
      <c r="K72" s="31" t="str">
        <f t="shared" si="45"/>
        <v/>
      </c>
      <c r="L72" s="31" t="str">
        <f t="shared" si="45"/>
        <v/>
      </c>
      <c r="M72" s="31" t="str">
        <f t="shared" si="45"/>
        <v/>
      </c>
      <c r="N72" s="31">
        <f t="shared" si="45"/>
        <v>1</v>
      </c>
    </row>
    <row r="73" spans="2:14">
      <c r="B73" s="25" t="str">
        <f t="shared" si="43"/>
        <v>Manitoba</v>
      </c>
      <c r="C73" s="25" t="str">
        <f t="shared" si="43"/>
        <v>MA</v>
      </c>
      <c r="D73" s="31" t="str">
        <f t="shared" ref="D73:N73" si="46">IF(D25&gt;0,D25/D43,"")</f>
        <v/>
      </c>
      <c r="E73" s="31" t="str">
        <f t="shared" si="46"/>
        <v/>
      </c>
      <c r="F73" s="31" t="str">
        <f t="shared" si="46"/>
        <v/>
      </c>
      <c r="G73" s="31" t="str">
        <f t="shared" si="46"/>
        <v/>
      </c>
      <c r="H73" s="31" t="str">
        <f t="shared" si="46"/>
        <v/>
      </c>
      <c r="I73" s="31" t="str">
        <f t="shared" si="46"/>
        <v/>
      </c>
      <c r="J73" s="31" t="str">
        <f t="shared" si="46"/>
        <v/>
      </c>
      <c r="K73" s="31" t="str">
        <f t="shared" si="46"/>
        <v/>
      </c>
      <c r="L73" s="31" t="str">
        <f t="shared" si="46"/>
        <v/>
      </c>
      <c r="M73" s="31">
        <f t="shared" si="46"/>
        <v>1</v>
      </c>
      <c r="N73" s="31" t="str">
        <f t="shared" si="46"/>
        <v/>
      </c>
    </row>
    <row r="74" spans="2:14">
      <c r="B74" s="25" t="str">
        <f t="shared" si="43"/>
        <v>Ontario</v>
      </c>
      <c r="C74" s="25" t="str">
        <f t="shared" si="43"/>
        <v>ON</v>
      </c>
      <c r="D74" s="31" t="str">
        <f t="shared" ref="D74:N74" si="47">IF(D26&gt;0,D26/D44,"")</f>
        <v/>
      </c>
      <c r="E74" s="31" t="str">
        <f t="shared" si="47"/>
        <v/>
      </c>
      <c r="F74" s="31" t="str">
        <f t="shared" si="47"/>
        <v/>
      </c>
      <c r="G74" s="31" t="str">
        <f t="shared" si="47"/>
        <v/>
      </c>
      <c r="H74" s="31" t="str">
        <f t="shared" si="47"/>
        <v/>
      </c>
      <c r="I74" s="31" t="str">
        <f t="shared" si="47"/>
        <v/>
      </c>
      <c r="J74" s="31" t="str">
        <f t="shared" si="47"/>
        <v/>
      </c>
      <c r="K74" s="31">
        <f t="shared" si="47"/>
        <v>0.98717948717948723</v>
      </c>
      <c r="L74" s="31">
        <f t="shared" si="47"/>
        <v>1</v>
      </c>
      <c r="M74" s="31">
        <f t="shared" si="47"/>
        <v>1</v>
      </c>
      <c r="N74" s="31" t="str">
        <f t="shared" si="47"/>
        <v/>
      </c>
    </row>
    <row r="75" spans="2:14">
      <c r="B75" s="25" t="str">
        <f t="shared" si="43"/>
        <v>Quebec</v>
      </c>
      <c r="C75" s="25" t="str">
        <f t="shared" si="43"/>
        <v>QU</v>
      </c>
      <c r="D75" s="31" t="str">
        <f t="shared" ref="D75:N75" si="48">IF(D27&gt;0,D27/D45,"")</f>
        <v/>
      </c>
      <c r="E75" s="31" t="str">
        <f t="shared" si="48"/>
        <v/>
      </c>
      <c r="F75" s="31" t="str">
        <f t="shared" si="48"/>
        <v/>
      </c>
      <c r="G75" s="31" t="str">
        <f t="shared" si="48"/>
        <v/>
      </c>
      <c r="H75" s="31" t="str">
        <f t="shared" si="48"/>
        <v/>
      </c>
      <c r="I75" s="31" t="str">
        <f t="shared" si="48"/>
        <v/>
      </c>
      <c r="J75" s="31">
        <f t="shared" si="48"/>
        <v>0.80254777070063688</v>
      </c>
      <c r="K75" s="31">
        <f t="shared" si="48"/>
        <v>1</v>
      </c>
      <c r="L75" s="31" t="str">
        <f t="shared" si="48"/>
        <v/>
      </c>
      <c r="M75" s="31" t="str">
        <f t="shared" si="48"/>
        <v/>
      </c>
      <c r="N75" s="31" t="str">
        <f t="shared" si="48"/>
        <v/>
      </c>
    </row>
    <row r="76" spans="2:14">
      <c r="B76" s="25" t="str">
        <f t="shared" si="43"/>
        <v>New Brunswick</v>
      </c>
      <c r="C76" s="25" t="str">
        <f t="shared" si="43"/>
        <v>NB</v>
      </c>
      <c r="D76" s="31" t="str">
        <f t="shared" ref="D76:N76" si="49">IF(D28&gt;0,D28/D46,"")</f>
        <v/>
      </c>
      <c r="E76" s="31" t="str">
        <f t="shared" si="49"/>
        <v/>
      </c>
      <c r="F76" s="31" t="str">
        <f t="shared" si="49"/>
        <v/>
      </c>
      <c r="G76" s="31" t="str">
        <f t="shared" si="49"/>
        <v/>
      </c>
      <c r="H76" s="31" t="str">
        <f t="shared" si="49"/>
        <v/>
      </c>
      <c r="I76" s="31" t="str">
        <f t="shared" si="49"/>
        <v/>
      </c>
      <c r="J76" s="31">
        <f t="shared" si="49"/>
        <v>1</v>
      </c>
      <c r="K76" s="31" t="str">
        <f t="shared" si="49"/>
        <v/>
      </c>
      <c r="L76" s="31" t="str">
        <f t="shared" si="49"/>
        <v/>
      </c>
      <c r="M76" s="31" t="str">
        <f t="shared" si="49"/>
        <v/>
      </c>
      <c r="N76" s="31" t="str">
        <f t="shared" si="49"/>
        <v/>
      </c>
    </row>
    <row r="77" spans="2:14">
      <c r="B77" s="25" t="str">
        <f t="shared" si="43"/>
        <v>NE</v>
      </c>
      <c r="C77" s="25" t="str">
        <f t="shared" si="43"/>
        <v>R1</v>
      </c>
      <c r="D77" s="31" t="str">
        <f t="shared" ref="D77:N77" si="50">IF(D29&gt;0,D29/D47,"")</f>
        <v/>
      </c>
      <c r="E77" s="31" t="str">
        <f t="shared" si="50"/>
        <v/>
      </c>
      <c r="F77" s="31" t="str">
        <f t="shared" si="50"/>
        <v/>
      </c>
      <c r="G77" s="31" t="str">
        <f t="shared" si="50"/>
        <v/>
      </c>
      <c r="H77" s="31">
        <f t="shared" si="50"/>
        <v>1</v>
      </c>
      <c r="I77" s="31">
        <f t="shared" si="50"/>
        <v>1</v>
      </c>
      <c r="J77" s="31" t="str">
        <f t="shared" si="50"/>
        <v/>
      </c>
      <c r="K77" s="31" t="str">
        <f t="shared" si="50"/>
        <v/>
      </c>
      <c r="L77" s="31" t="str">
        <f t="shared" si="50"/>
        <v/>
      </c>
      <c r="M77" s="31" t="str">
        <f t="shared" si="50"/>
        <v/>
      </c>
      <c r="N77" s="31" t="str">
        <f t="shared" si="50"/>
        <v/>
      </c>
    </row>
    <row r="78" spans="2:14">
      <c r="B78" s="25" t="str">
        <f t="shared" si="43"/>
        <v>MA</v>
      </c>
      <c r="C78" s="25" t="str">
        <f t="shared" si="43"/>
        <v>R2</v>
      </c>
      <c r="D78" s="31" t="str">
        <f t="shared" ref="D78:N78" si="51">IF(D30&gt;0,D30/D48,"")</f>
        <v/>
      </c>
      <c r="E78" s="31" t="str">
        <f t="shared" si="51"/>
        <v/>
      </c>
      <c r="F78" s="31" t="str">
        <f t="shared" si="51"/>
        <v/>
      </c>
      <c r="G78" s="31">
        <f t="shared" si="51"/>
        <v>0.91139240506329111</v>
      </c>
      <c r="H78" s="31">
        <f t="shared" si="51"/>
        <v>1</v>
      </c>
      <c r="I78" s="31" t="str">
        <f t="shared" si="51"/>
        <v/>
      </c>
      <c r="J78" s="31" t="str">
        <f t="shared" si="51"/>
        <v/>
      </c>
      <c r="K78" s="31" t="str">
        <f t="shared" si="51"/>
        <v/>
      </c>
      <c r="L78" s="31" t="str">
        <f t="shared" si="51"/>
        <v/>
      </c>
      <c r="M78" s="31" t="str">
        <f t="shared" si="51"/>
        <v/>
      </c>
      <c r="N78" s="31" t="str">
        <f t="shared" si="51"/>
        <v/>
      </c>
    </row>
    <row r="79" spans="2:14">
      <c r="B79" s="25" t="str">
        <f t="shared" si="43"/>
        <v>ENC</v>
      </c>
      <c r="C79" s="25" t="str">
        <f t="shared" si="43"/>
        <v>R3</v>
      </c>
      <c r="D79" s="31" t="str">
        <f t="shared" ref="D79:N79" si="52">IF(D31&gt;0,D31/D49,"")</f>
        <v/>
      </c>
      <c r="E79" s="31" t="str">
        <f t="shared" si="52"/>
        <v/>
      </c>
      <c r="F79" s="31" t="str">
        <f t="shared" si="52"/>
        <v/>
      </c>
      <c r="G79" s="31">
        <f t="shared" si="52"/>
        <v>1</v>
      </c>
      <c r="H79" s="31" t="str">
        <f t="shared" si="52"/>
        <v/>
      </c>
      <c r="I79" s="31" t="str">
        <f t="shared" si="52"/>
        <v/>
      </c>
      <c r="J79" s="31" t="str">
        <f t="shared" si="52"/>
        <v/>
      </c>
      <c r="K79" s="31" t="str">
        <f t="shared" si="52"/>
        <v/>
      </c>
      <c r="L79" s="31" t="str">
        <f t="shared" si="52"/>
        <v/>
      </c>
      <c r="M79" s="31" t="str">
        <f t="shared" si="52"/>
        <v/>
      </c>
      <c r="N79" s="31" t="str">
        <f t="shared" si="52"/>
        <v/>
      </c>
    </row>
    <row r="80" spans="2:14">
      <c r="B80" s="25" t="str">
        <f t="shared" si="43"/>
        <v>WNC</v>
      </c>
      <c r="C80" s="25" t="str">
        <f t="shared" si="43"/>
        <v>R4</v>
      </c>
      <c r="D80" s="31" t="str">
        <f t="shared" ref="D80:N80" si="53">IF(D32&gt;0,D32/D50,"")</f>
        <v/>
      </c>
      <c r="E80" s="31" t="str">
        <f t="shared" si="53"/>
        <v/>
      </c>
      <c r="F80" s="31">
        <f t="shared" si="53"/>
        <v>1</v>
      </c>
      <c r="G80" s="31">
        <f t="shared" si="53"/>
        <v>1</v>
      </c>
      <c r="H80" s="31" t="str">
        <f t="shared" si="53"/>
        <v/>
      </c>
      <c r="I80" s="31" t="str">
        <f t="shared" si="53"/>
        <v/>
      </c>
      <c r="J80" s="31" t="str">
        <f t="shared" si="53"/>
        <v/>
      </c>
      <c r="K80" s="31" t="str">
        <f t="shared" si="53"/>
        <v/>
      </c>
      <c r="L80" s="31" t="str">
        <f t="shared" si="53"/>
        <v/>
      </c>
      <c r="M80" s="31" t="str">
        <f t="shared" si="53"/>
        <v/>
      </c>
      <c r="N80" s="31" t="str">
        <f t="shared" si="53"/>
        <v/>
      </c>
    </row>
    <row r="81" spans="2:14">
      <c r="B81" s="25" t="str">
        <f t="shared" si="43"/>
        <v>PAC</v>
      </c>
      <c r="C81" s="25" t="str">
        <f t="shared" si="43"/>
        <v>R9</v>
      </c>
      <c r="D81" s="31">
        <v>0</v>
      </c>
      <c r="E81" s="31">
        <f t="shared" ref="E81:N81" si="54">IF(E33&gt;0,E33/E51,"")</f>
        <v>0.99905123339658441</v>
      </c>
      <c r="F81" s="31" t="str">
        <f t="shared" si="54"/>
        <v/>
      </c>
      <c r="G81" s="31" t="str">
        <f t="shared" si="54"/>
        <v/>
      </c>
      <c r="H81" s="31" t="str">
        <f t="shared" si="54"/>
        <v/>
      </c>
      <c r="I81" s="31" t="str">
        <f t="shared" si="54"/>
        <v/>
      </c>
      <c r="J81" s="31" t="str">
        <f t="shared" si="54"/>
        <v/>
      </c>
      <c r="K81" s="31" t="str">
        <f t="shared" si="54"/>
        <v/>
      </c>
      <c r="L81" s="31" t="str">
        <f t="shared" si="54"/>
        <v/>
      </c>
      <c r="M81" s="31" t="str">
        <f t="shared" si="54"/>
        <v/>
      </c>
      <c r="N81" s="31" t="str">
        <f t="shared" si="54"/>
        <v/>
      </c>
    </row>
    <row r="83" spans="2:14">
      <c r="B83" s="25" t="s">
        <v>103</v>
      </c>
      <c r="D83" s="152" t="s">
        <v>85</v>
      </c>
      <c r="E83" s="152"/>
      <c r="F83" s="152"/>
      <c r="G83" s="152"/>
      <c r="H83" s="152"/>
      <c r="I83" s="152"/>
      <c r="J83" s="152"/>
      <c r="K83" s="152"/>
      <c r="L83" s="152"/>
      <c r="M83" s="152"/>
      <c r="N83" s="152"/>
    </row>
    <row r="84" spans="2:14" ht="26.4">
      <c r="B84" s="25" t="s">
        <v>86</v>
      </c>
      <c r="D84" s="29" t="str">
        <f t="shared" ref="D84:N84" si="55">D5</f>
        <v>Mexico</v>
      </c>
      <c r="E84" s="29" t="str">
        <f t="shared" si="55"/>
        <v>British Columbia</v>
      </c>
      <c r="F84" s="29" t="str">
        <f t="shared" si="55"/>
        <v>Manitoba</v>
      </c>
      <c r="G84" s="29" t="str">
        <f t="shared" si="55"/>
        <v>Ontario</v>
      </c>
      <c r="H84" s="29" t="str">
        <f t="shared" si="55"/>
        <v>Quebec</v>
      </c>
      <c r="I84" s="29" t="str">
        <f t="shared" si="55"/>
        <v>New Brunswick</v>
      </c>
      <c r="J84" s="29" t="str">
        <f t="shared" si="55"/>
        <v>NE</v>
      </c>
      <c r="K84" s="29" t="str">
        <f t="shared" si="55"/>
        <v>MA</v>
      </c>
      <c r="L84" s="29" t="str">
        <f t="shared" si="55"/>
        <v>ENC</v>
      </c>
      <c r="M84" s="29" t="str">
        <f t="shared" si="55"/>
        <v>WNC</v>
      </c>
      <c r="N84" s="29" t="str">
        <f t="shared" si="55"/>
        <v>PAC</v>
      </c>
    </row>
    <row r="85" spans="2:14">
      <c r="D85" s="29" t="str">
        <f t="shared" ref="D85:N85" si="56">D6</f>
        <v>MX</v>
      </c>
      <c r="E85" s="29" t="str">
        <f t="shared" si="56"/>
        <v>BC</v>
      </c>
      <c r="F85" s="29" t="str">
        <f t="shared" si="56"/>
        <v>MA</v>
      </c>
      <c r="G85" s="29" t="str">
        <f t="shared" si="56"/>
        <v>ON</v>
      </c>
      <c r="H85" s="29" t="str">
        <f t="shared" si="56"/>
        <v>QU</v>
      </c>
      <c r="I85" s="29" t="str">
        <f t="shared" si="56"/>
        <v>NB</v>
      </c>
      <c r="J85" s="29" t="str">
        <f t="shared" si="56"/>
        <v>R1</v>
      </c>
      <c r="K85" s="29" t="str">
        <f t="shared" si="56"/>
        <v>R2</v>
      </c>
      <c r="L85" s="29" t="str">
        <f t="shared" si="56"/>
        <v>R3</v>
      </c>
      <c r="M85" s="29" t="str">
        <f t="shared" si="56"/>
        <v>R4</v>
      </c>
      <c r="N85" s="29" t="str">
        <f t="shared" si="56"/>
        <v>R9</v>
      </c>
    </row>
    <row r="86" spans="2:14">
      <c r="B86" s="25" t="str">
        <f t="shared" ref="B86:C96" si="57">B7</f>
        <v>Mexico</v>
      </c>
      <c r="C86" s="25" t="str">
        <f t="shared" si="57"/>
        <v>MX</v>
      </c>
      <c r="D86" s="31" t="str">
        <f t="shared" ref="D86:N86" si="58">IF(D7&gt;0,(D56+D71)/2,"")</f>
        <v/>
      </c>
      <c r="E86" s="31" t="str">
        <f t="shared" si="58"/>
        <v/>
      </c>
      <c r="F86" s="31" t="str">
        <f t="shared" si="58"/>
        <v/>
      </c>
      <c r="G86" s="31" t="str">
        <f t="shared" si="58"/>
        <v/>
      </c>
      <c r="H86" s="31" t="str">
        <f t="shared" si="58"/>
        <v/>
      </c>
      <c r="I86" s="31" t="str">
        <f t="shared" si="58"/>
        <v/>
      </c>
      <c r="J86" s="31" t="str">
        <f t="shared" si="58"/>
        <v/>
      </c>
      <c r="K86" s="31" t="str">
        <f t="shared" si="58"/>
        <v/>
      </c>
      <c r="L86" s="31" t="str">
        <f t="shared" si="58"/>
        <v/>
      </c>
      <c r="M86" s="31" t="str">
        <f t="shared" si="58"/>
        <v/>
      </c>
      <c r="N86" s="31">
        <f t="shared" si="58"/>
        <v>1</v>
      </c>
    </row>
    <row r="87" spans="2:14">
      <c r="B87" s="25" t="str">
        <f t="shared" si="57"/>
        <v>British Columbia</v>
      </c>
      <c r="C87" s="25" t="str">
        <f t="shared" si="57"/>
        <v>BC</v>
      </c>
      <c r="D87" s="31" t="str">
        <f t="shared" ref="D87:N87" si="59">IF(D8&gt;0,(D57+D72)/2,"")</f>
        <v/>
      </c>
      <c r="E87" s="31" t="str">
        <f t="shared" si="59"/>
        <v/>
      </c>
      <c r="F87" s="31" t="str">
        <f t="shared" si="59"/>
        <v/>
      </c>
      <c r="G87" s="31" t="str">
        <f t="shared" si="59"/>
        <v/>
      </c>
      <c r="H87" s="31" t="str">
        <f t="shared" si="59"/>
        <v/>
      </c>
      <c r="I87" s="31" t="str">
        <f t="shared" si="59"/>
        <v/>
      </c>
      <c r="J87" s="31" t="str">
        <f t="shared" si="59"/>
        <v/>
      </c>
      <c r="K87" s="31" t="str">
        <f t="shared" si="59"/>
        <v/>
      </c>
      <c r="L87" s="31" t="str">
        <f t="shared" si="59"/>
        <v/>
      </c>
      <c r="M87" s="31" t="str">
        <f t="shared" si="59"/>
        <v/>
      </c>
      <c r="N87" s="31">
        <f t="shared" si="59"/>
        <v>1</v>
      </c>
    </row>
    <row r="88" spans="2:14">
      <c r="B88" s="25" t="str">
        <f t="shared" si="57"/>
        <v>Manitoba</v>
      </c>
      <c r="C88" s="25" t="str">
        <f t="shared" si="57"/>
        <v>MA</v>
      </c>
      <c r="D88" s="31" t="str">
        <f t="shared" ref="D88:N88" si="60">IF(D9&gt;0,(D58+D73)/2,"")</f>
        <v/>
      </c>
      <c r="E88" s="31" t="str">
        <f t="shared" si="60"/>
        <v/>
      </c>
      <c r="F88" s="31" t="str">
        <f t="shared" si="60"/>
        <v/>
      </c>
      <c r="G88" s="31" t="str">
        <f t="shared" si="60"/>
        <v/>
      </c>
      <c r="H88" s="31" t="str">
        <f t="shared" si="60"/>
        <v/>
      </c>
      <c r="I88" s="31" t="str">
        <f t="shared" si="60"/>
        <v/>
      </c>
      <c r="J88" s="31" t="str">
        <f t="shared" si="60"/>
        <v/>
      </c>
      <c r="K88" s="31" t="str">
        <f t="shared" si="60"/>
        <v/>
      </c>
      <c r="L88" s="31" t="str">
        <f t="shared" si="60"/>
        <v/>
      </c>
      <c r="M88" s="31">
        <f t="shared" si="60"/>
        <v>1</v>
      </c>
      <c r="N88" s="31" t="str">
        <f t="shared" si="60"/>
        <v/>
      </c>
    </row>
    <row r="89" spans="2:14">
      <c r="B89" s="25" t="str">
        <f t="shared" si="57"/>
        <v>Ontario</v>
      </c>
      <c r="C89" s="25" t="str">
        <f t="shared" si="57"/>
        <v>ON</v>
      </c>
      <c r="D89" s="31" t="str">
        <f t="shared" ref="D89:N89" si="61">IF(D10&gt;0,(D59+D74)/2,"")</f>
        <v/>
      </c>
      <c r="E89" s="31" t="str">
        <f t="shared" si="61"/>
        <v/>
      </c>
      <c r="F89" s="31" t="str">
        <f t="shared" si="61"/>
        <v/>
      </c>
      <c r="G89" s="31" t="str">
        <f t="shared" si="61"/>
        <v/>
      </c>
      <c r="H89" s="31" t="str">
        <f t="shared" si="61"/>
        <v/>
      </c>
      <c r="I89" s="31" t="str">
        <f t="shared" si="61"/>
        <v/>
      </c>
      <c r="J89" s="31" t="str">
        <f t="shared" si="61"/>
        <v/>
      </c>
      <c r="K89" s="31">
        <f t="shared" si="61"/>
        <v>0.99358974358974361</v>
      </c>
      <c r="L89" s="31">
        <f t="shared" si="61"/>
        <v>0.9375</v>
      </c>
      <c r="M89" s="31">
        <f t="shared" si="61"/>
        <v>0.95</v>
      </c>
      <c r="N89" s="31" t="str">
        <f t="shared" si="61"/>
        <v/>
      </c>
    </row>
    <row r="90" spans="2:14">
      <c r="B90" s="25" t="str">
        <f t="shared" si="57"/>
        <v>Quebec</v>
      </c>
      <c r="C90" s="25" t="str">
        <f t="shared" si="57"/>
        <v>QU</v>
      </c>
      <c r="D90" s="31" t="str">
        <f t="shared" ref="D90:N90" si="62">IF(D11&gt;0,(D60+D75)/2,"")</f>
        <v/>
      </c>
      <c r="E90" s="31" t="str">
        <f t="shared" si="62"/>
        <v/>
      </c>
      <c r="F90" s="31" t="str">
        <f t="shared" si="62"/>
        <v/>
      </c>
      <c r="G90" s="31" t="str">
        <f t="shared" si="62"/>
        <v/>
      </c>
      <c r="H90" s="31" t="str">
        <f t="shared" si="62"/>
        <v/>
      </c>
      <c r="I90" s="31" t="str">
        <f t="shared" si="62"/>
        <v/>
      </c>
      <c r="J90" s="31">
        <f t="shared" si="62"/>
        <v>0.90127388535031838</v>
      </c>
      <c r="K90" s="31">
        <f t="shared" si="62"/>
        <v>0.76315789473684204</v>
      </c>
      <c r="L90" s="31" t="str">
        <f t="shared" si="62"/>
        <v/>
      </c>
      <c r="M90" s="31" t="str">
        <f t="shared" si="62"/>
        <v/>
      </c>
      <c r="N90" s="31" t="str">
        <f t="shared" si="62"/>
        <v/>
      </c>
    </row>
    <row r="91" spans="2:14">
      <c r="B91" s="25" t="str">
        <f t="shared" si="57"/>
        <v>New Brunswick</v>
      </c>
      <c r="C91" s="25" t="str">
        <f t="shared" si="57"/>
        <v>NB</v>
      </c>
      <c r="D91" s="31" t="str">
        <f t="shared" ref="D91:N91" si="63">IF(D12&gt;0,(D61+D76)/2,"")</f>
        <v/>
      </c>
      <c r="E91" s="31" t="str">
        <f t="shared" si="63"/>
        <v/>
      </c>
      <c r="F91" s="31" t="str">
        <f t="shared" si="63"/>
        <v/>
      </c>
      <c r="G91" s="31" t="str">
        <f t="shared" si="63"/>
        <v/>
      </c>
      <c r="H91" s="31" t="str">
        <f t="shared" si="63"/>
        <v/>
      </c>
      <c r="I91" s="31" t="str">
        <f t="shared" si="63"/>
        <v/>
      </c>
      <c r="J91" s="31">
        <f t="shared" si="63"/>
        <v>0.71052631578947367</v>
      </c>
      <c r="K91" s="31" t="str">
        <f t="shared" si="63"/>
        <v/>
      </c>
      <c r="L91" s="31" t="str">
        <f t="shared" si="63"/>
        <v/>
      </c>
      <c r="M91" s="31" t="str">
        <f t="shared" si="63"/>
        <v/>
      </c>
      <c r="N91" s="31" t="str">
        <f t="shared" si="63"/>
        <v/>
      </c>
    </row>
    <row r="92" spans="2:14">
      <c r="B92" s="25" t="str">
        <f t="shared" si="57"/>
        <v>NE</v>
      </c>
      <c r="C92" s="25" t="str">
        <f t="shared" si="57"/>
        <v>R1</v>
      </c>
      <c r="D92" s="31" t="str">
        <f t="shared" ref="D92:N92" si="64">IF(D13&gt;0,(D62+D77)/2,"")</f>
        <v/>
      </c>
      <c r="E92" s="31" t="str">
        <f t="shared" si="64"/>
        <v/>
      </c>
      <c r="F92" s="31" t="str">
        <f t="shared" si="64"/>
        <v/>
      </c>
      <c r="G92" s="31" t="str">
        <f t="shared" si="64"/>
        <v/>
      </c>
      <c r="H92" s="31">
        <f t="shared" si="64"/>
        <v>0.93165467625899279</v>
      </c>
      <c r="I92" s="31">
        <f t="shared" si="64"/>
        <v>1</v>
      </c>
      <c r="J92" s="31" t="str">
        <f t="shared" si="64"/>
        <v/>
      </c>
      <c r="K92" s="31" t="str">
        <f t="shared" si="64"/>
        <v/>
      </c>
      <c r="L92" s="31" t="str">
        <f t="shared" si="64"/>
        <v/>
      </c>
      <c r="M92" s="31" t="str">
        <f t="shared" si="64"/>
        <v/>
      </c>
      <c r="N92" s="31" t="str">
        <f t="shared" si="64"/>
        <v/>
      </c>
    </row>
    <row r="93" spans="2:14">
      <c r="B93" s="25" t="str">
        <f t="shared" si="57"/>
        <v>MA</v>
      </c>
      <c r="C93" s="25" t="str">
        <f t="shared" si="57"/>
        <v>R2</v>
      </c>
      <c r="D93" s="31" t="str">
        <f t="shared" ref="D93:N93" si="65">IF(D14&gt;0,(D63+D78)/2,"")</f>
        <v/>
      </c>
      <c r="E93" s="31" t="str">
        <f t="shared" si="65"/>
        <v/>
      </c>
      <c r="F93" s="31" t="str">
        <f t="shared" si="65"/>
        <v/>
      </c>
      <c r="G93" s="31">
        <f t="shared" si="65"/>
        <v>0.95569620253164556</v>
      </c>
      <c r="H93" s="31">
        <f t="shared" si="65"/>
        <v>1</v>
      </c>
      <c r="I93" s="31" t="str">
        <f t="shared" si="65"/>
        <v/>
      </c>
      <c r="J93" s="31" t="str">
        <f t="shared" si="65"/>
        <v/>
      </c>
      <c r="K93" s="31" t="str">
        <f t="shared" si="65"/>
        <v/>
      </c>
      <c r="L93" s="31" t="str">
        <f t="shared" si="65"/>
        <v/>
      </c>
      <c r="M93" s="31" t="str">
        <f t="shared" si="65"/>
        <v/>
      </c>
      <c r="N93" s="31" t="str">
        <f t="shared" si="65"/>
        <v/>
      </c>
    </row>
    <row r="94" spans="2:14">
      <c r="B94" s="25" t="str">
        <f t="shared" si="57"/>
        <v>ENC</v>
      </c>
      <c r="C94" s="25" t="str">
        <f t="shared" si="57"/>
        <v>R3</v>
      </c>
      <c r="D94" s="31" t="str">
        <f t="shared" ref="D94:N94" si="66">IF(D15&gt;0,(D64+D79)/2,"")</f>
        <v/>
      </c>
      <c r="E94" s="31" t="str">
        <f t="shared" si="66"/>
        <v/>
      </c>
      <c r="F94" s="31" t="str">
        <f t="shared" si="66"/>
        <v/>
      </c>
      <c r="G94" s="31">
        <f t="shared" si="66"/>
        <v>0.95614035087719296</v>
      </c>
      <c r="H94" s="31" t="str">
        <f t="shared" si="66"/>
        <v/>
      </c>
      <c r="I94" s="31" t="str">
        <f t="shared" si="66"/>
        <v/>
      </c>
      <c r="J94" s="31" t="str">
        <f t="shared" si="66"/>
        <v/>
      </c>
      <c r="K94" s="31" t="str">
        <f t="shared" si="66"/>
        <v/>
      </c>
      <c r="L94" s="31" t="str">
        <f t="shared" si="66"/>
        <v/>
      </c>
      <c r="M94" s="31" t="str">
        <f t="shared" si="66"/>
        <v/>
      </c>
      <c r="N94" s="31" t="str">
        <f t="shared" si="66"/>
        <v/>
      </c>
    </row>
    <row r="95" spans="2:14">
      <c r="B95" s="25" t="str">
        <f t="shared" si="57"/>
        <v>WNC</v>
      </c>
      <c r="C95" s="25" t="str">
        <f t="shared" si="57"/>
        <v>R4</v>
      </c>
      <c r="D95" s="31" t="str">
        <f t="shared" ref="D95:N95" si="67">IF(D16&gt;0,(D65+D80)/2,"")</f>
        <v/>
      </c>
      <c r="E95" s="31" t="str">
        <f t="shared" si="67"/>
        <v/>
      </c>
      <c r="F95" s="31">
        <f t="shared" si="67"/>
        <v>0.79352226720647767</v>
      </c>
      <c r="G95" s="31">
        <f t="shared" si="67"/>
        <v>0.96666666666666679</v>
      </c>
      <c r="H95" s="31" t="str">
        <f t="shared" si="67"/>
        <v/>
      </c>
      <c r="I95" s="31" t="str">
        <f t="shared" si="67"/>
        <v/>
      </c>
      <c r="J95" s="31" t="str">
        <f t="shared" si="67"/>
        <v/>
      </c>
      <c r="K95" s="31" t="str">
        <f t="shared" si="67"/>
        <v/>
      </c>
      <c r="L95" s="31" t="str">
        <f t="shared" si="67"/>
        <v/>
      </c>
      <c r="M95" s="31" t="str">
        <f t="shared" si="67"/>
        <v/>
      </c>
      <c r="N95" s="31" t="str">
        <f t="shared" si="67"/>
        <v/>
      </c>
    </row>
    <row r="96" spans="2:14">
      <c r="B96" s="25" t="str">
        <f t="shared" si="57"/>
        <v>PAC</v>
      </c>
      <c r="C96" s="25" t="str">
        <f t="shared" si="57"/>
        <v>R9</v>
      </c>
      <c r="D96" s="31">
        <f t="shared" ref="D96:N96" si="68">IF(D17&gt;0,(D66+D81)/2,"")</f>
        <v>0.5</v>
      </c>
      <c r="E96" s="31">
        <f t="shared" si="68"/>
        <v>0.99952561669829221</v>
      </c>
      <c r="F96" s="31" t="str">
        <f t="shared" si="68"/>
        <v/>
      </c>
      <c r="G96" s="31" t="str">
        <f t="shared" si="68"/>
        <v/>
      </c>
      <c r="H96" s="31" t="str">
        <f t="shared" si="68"/>
        <v/>
      </c>
      <c r="I96" s="31" t="str">
        <f t="shared" si="68"/>
        <v/>
      </c>
      <c r="J96" s="31" t="str">
        <f t="shared" si="68"/>
        <v/>
      </c>
      <c r="K96" s="31" t="str">
        <f t="shared" si="68"/>
        <v/>
      </c>
      <c r="L96" s="31" t="str">
        <f t="shared" si="68"/>
        <v/>
      </c>
      <c r="M96" s="31" t="str">
        <f t="shared" si="68"/>
        <v/>
      </c>
      <c r="N96" s="31" t="str">
        <f t="shared" si="68"/>
        <v/>
      </c>
    </row>
    <row r="98" spans="2:26">
      <c r="B98" s="25" t="s">
        <v>104</v>
      </c>
    </row>
    <row r="101" spans="2:26">
      <c r="C101" s="25" t="s">
        <v>124</v>
      </c>
      <c r="D101" s="152" t="s">
        <v>160</v>
      </c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P101" s="152" t="s">
        <v>125</v>
      </c>
      <c r="Q101" s="152"/>
      <c r="R101" s="152"/>
      <c r="S101" s="152"/>
      <c r="T101" s="152"/>
      <c r="U101" s="152"/>
      <c r="V101" s="152"/>
      <c r="W101" s="152"/>
      <c r="X101" s="152"/>
      <c r="Y101" s="152"/>
      <c r="Z101" s="152"/>
    </row>
    <row r="102" spans="2:26">
      <c r="B102" s="25" t="s">
        <v>86</v>
      </c>
      <c r="D102" s="29">
        <v>2000</v>
      </c>
      <c r="E102" s="29">
        <v>2005</v>
      </c>
      <c r="F102" s="29">
        <v>2010</v>
      </c>
      <c r="G102" s="29">
        <v>2015</v>
      </c>
      <c r="H102" s="29">
        <v>2020</v>
      </c>
      <c r="I102" s="29">
        <v>2025</v>
      </c>
      <c r="J102" s="29">
        <v>2030</v>
      </c>
      <c r="K102" s="30">
        <v>2035</v>
      </c>
      <c r="L102" s="30">
        <v>2040</v>
      </c>
      <c r="M102" s="30">
        <v>2045</v>
      </c>
      <c r="N102" s="29">
        <v>2050</v>
      </c>
      <c r="P102" s="29">
        <v>2000</v>
      </c>
      <c r="Q102" s="29">
        <v>2005</v>
      </c>
      <c r="R102" s="29">
        <v>2010</v>
      </c>
      <c r="S102" s="29">
        <v>2015</v>
      </c>
      <c r="T102" s="29">
        <v>2020</v>
      </c>
      <c r="U102" s="29">
        <v>2025</v>
      </c>
      <c r="V102" s="29">
        <v>2030</v>
      </c>
      <c r="W102" s="30">
        <v>2035</v>
      </c>
      <c r="X102" s="30">
        <v>2040</v>
      </c>
      <c r="Y102" s="30">
        <v>2045</v>
      </c>
      <c r="Z102" s="29">
        <v>2050</v>
      </c>
    </row>
    <row r="103" spans="2:26">
      <c r="B103" s="25" t="s">
        <v>126</v>
      </c>
      <c r="C103" s="30">
        <v>1</v>
      </c>
      <c r="D103" s="32">
        <f>90/3.6</f>
        <v>25</v>
      </c>
      <c r="E103" s="31">
        <f t="shared" ref="E103:N103" si="69">D103</f>
        <v>25</v>
      </c>
      <c r="F103" s="31">
        <f t="shared" si="69"/>
        <v>25</v>
      </c>
      <c r="G103" s="31">
        <f t="shared" si="69"/>
        <v>25</v>
      </c>
      <c r="H103" s="31">
        <f t="shared" si="69"/>
        <v>25</v>
      </c>
      <c r="I103" s="31">
        <f t="shared" si="69"/>
        <v>25</v>
      </c>
      <c r="J103" s="31">
        <f t="shared" si="69"/>
        <v>25</v>
      </c>
      <c r="K103" s="31">
        <f t="shared" si="69"/>
        <v>25</v>
      </c>
      <c r="L103" s="31">
        <f t="shared" si="69"/>
        <v>25</v>
      </c>
      <c r="M103" s="31">
        <f t="shared" si="69"/>
        <v>25</v>
      </c>
      <c r="N103" s="31">
        <f t="shared" si="69"/>
        <v>25</v>
      </c>
      <c r="P103" s="31">
        <f>AC41</f>
        <v>19.955677577590944</v>
      </c>
      <c r="Q103" s="31">
        <f t="shared" ref="Q103:Z103" si="70">P103</f>
        <v>19.955677577590944</v>
      </c>
      <c r="R103" s="31">
        <f t="shared" si="70"/>
        <v>19.955677577590944</v>
      </c>
      <c r="S103" s="31">
        <f t="shared" si="70"/>
        <v>19.955677577590944</v>
      </c>
      <c r="T103" s="31">
        <f t="shared" si="70"/>
        <v>19.955677577590944</v>
      </c>
      <c r="U103" s="31">
        <f t="shared" si="70"/>
        <v>19.955677577590944</v>
      </c>
      <c r="V103" s="31">
        <f t="shared" si="70"/>
        <v>19.955677577590944</v>
      </c>
      <c r="W103" s="31">
        <f t="shared" si="70"/>
        <v>19.955677577590944</v>
      </c>
      <c r="X103" s="31">
        <f t="shared" si="70"/>
        <v>19.955677577590944</v>
      </c>
      <c r="Y103" s="31">
        <f t="shared" si="70"/>
        <v>19.955677577590944</v>
      </c>
      <c r="Z103" s="31">
        <f t="shared" si="70"/>
        <v>19.955677577590944</v>
      </c>
    </row>
    <row r="104" spans="2:26">
      <c r="C104" s="30">
        <v>2</v>
      </c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P104" s="31">
        <v>0</v>
      </c>
      <c r="Q104" s="31"/>
      <c r="R104" s="31"/>
      <c r="S104" s="31"/>
      <c r="T104" s="31"/>
      <c r="U104" s="31"/>
      <c r="V104" s="31"/>
      <c r="W104" s="31"/>
      <c r="X104" s="31"/>
      <c r="Y104" s="31"/>
      <c r="Z104" s="31"/>
    </row>
    <row r="105" spans="2:26">
      <c r="C105" s="30">
        <v>3</v>
      </c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P105" s="31">
        <v>0</v>
      </c>
      <c r="Q105" s="31"/>
      <c r="R105" s="31"/>
      <c r="S105" s="31"/>
      <c r="T105" s="31"/>
      <c r="U105" s="31"/>
      <c r="V105" s="31"/>
      <c r="W105" s="31"/>
      <c r="X105" s="31"/>
      <c r="Y105" s="31"/>
      <c r="Z105" s="31"/>
    </row>
    <row r="106" spans="2:26">
      <c r="B106" s="25" t="s">
        <v>127</v>
      </c>
      <c r="C106" s="30">
        <v>1</v>
      </c>
      <c r="D106" s="31">
        <f>D103</f>
        <v>25</v>
      </c>
      <c r="E106" s="31">
        <f t="shared" ref="E106:N106" si="71">D106</f>
        <v>25</v>
      </c>
      <c r="F106" s="31">
        <f t="shared" si="71"/>
        <v>25</v>
      </c>
      <c r="G106" s="31">
        <f t="shared" si="71"/>
        <v>25</v>
      </c>
      <c r="H106" s="31">
        <f t="shared" si="71"/>
        <v>25</v>
      </c>
      <c r="I106" s="31">
        <f t="shared" si="71"/>
        <v>25</v>
      </c>
      <c r="J106" s="31">
        <f t="shared" si="71"/>
        <v>25</v>
      </c>
      <c r="K106" s="31">
        <f t="shared" si="71"/>
        <v>25</v>
      </c>
      <c r="L106" s="31">
        <f t="shared" si="71"/>
        <v>25</v>
      </c>
      <c r="M106" s="31">
        <f t="shared" si="71"/>
        <v>25</v>
      </c>
      <c r="N106" s="31">
        <f t="shared" si="71"/>
        <v>25</v>
      </c>
      <c r="P106" s="31">
        <f>AC42</f>
        <v>97.821948909759527</v>
      </c>
      <c r="Q106" s="31">
        <f t="shared" ref="Q106:Z106" si="72">P106</f>
        <v>97.821948909759527</v>
      </c>
      <c r="R106" s="31">
        <f t="shared" si="72"/>
        <v>97.821948909759527</v>
      </c>
      <c r="S106" s="31">
        <f t="shared" si="72"/>
        <v>97.821948909759527</v>
      </c>
      <c r="T106" s="31">
        <f t="shared" si="72"/>
        <v>97.821948909759527</v>
      </c>
      <c r="U106" s="31">
        <f t="shared" si="72"/>
        <v>97.821948909759527</v>
      </c>
      <c r="V106" s="31">
        <f t="shared" si="72"/>
        <v>97.821948909759527</v>
      </c>
      <c r="W106" s="31">
        <f t="shared" si="72"/>
        <v>97.821948909759527</v>
      </c>
      <c r="X106" s="31">
        <f t="shared" si="72"/>
        <v>97.821948909759527</v>
      </c>
      <c r="Y106" s="31">
        <f t="shared" si="72"/>
        <v>97.821948909759527</v>
      </c>
      <c r="Z106" s="31">
        <f t="shared" si="72"/>
        <v>97.821948909759527</v>
      </c>
    </row>
    <row r="107" spans="2:26">
      <c r="C107" s="30">
        <v>2</v>
      </c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P107" s="31">
        <v>0</v>
      </c>
      <c r="Q107" s="31"/>
      <c r="R107" s="31"/>
      <c r="S107" s="31"/>
      <c r="T107" s="31"/>
      <c r="U107" s="31"/>
      <c r="V107" s="31"/>
      <c r="W107" s="31"/>
      <c r="X107" s="31"/>
      <c r="Y107" s="31"/>
      <c r="Z107" s="31"/>
    </row>
    <row r="108" spans="2:26">
      <c r="C108" s="30">
        <v>3</v>
      </c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P108" s="31">
        <v>0</v>
      </c>
      <c r="Q108" s="31"/>
      <c r="R108" s="31"/>
      <c r="S108" s="31"/>
      <c r="T108" s="31"/>
      <c r="U108" s="31"/>
      <c r="V108" s="31"/>
      <c r="W108" s="31"/>
      <c r="X108" s="31"/>
      <c r="Y108" s="31"/>
      <c r="Z108" s="31"/>
    </row>
    <row r="109" spans="2:26">
      <c r="B109" s="25" t="s">
        <v>128</v>
      </c>
      <c r="C109" s="30">
        <v>1</v>
      </c>
      <c r="D109" s="31">
        <f>D103</f>
        <v>25</v>
      </c>
      <c r="E109" s="31">
        <f t="shared" ref="E109:N109" si="73">D109</f>
        <v>25</v>
      </c>
      <c r="F109" s="31">
        <f t="shared" si="73"/>
        <v>25</v>
      </c>
      <c r="G109" s="31">
        <f t="shared" si="73"/>
        <v>25</v>
      </c>
      <c r="H109" s="31">
        <f t="shared" si="73"/>
        <v>25</v>
      </c>
      <c r="I109" s="31">
        <f t="shared" si="73"/>
        <v>25</v>
      </c>
      <c r="J109" s="31">
        <f t="shared" si="73"/>
        <v>25</v>
      </c>
      <c r="K109" s="31">
        <f t="shared" si="73"/>
        <v>25</v>
      </c>
      <c r="L109" s="31">
        <f t="shared" si="73"/>
        <v>25</v>
      </c>
      <c r="M109" s="31">
        <f t="shared" si="73"/>
        <v>25</v>
      </c>
      <c r="N109" s="31">
        <f t="shared" si="73"/>
        <v>25</v>
      </c>
      <c r="P109" s="31">
        <f>AC43</f>
        <v>31.174438533782958</v>
      </c>
      <c r="Q109" s="31">
        <f t="shared" ref="Q109:Z109" si="74">P109</f>
        <v>31.174438533782958</v>
      </c>
      <c r="R109" s="31">
        <f t="shared" si="74"/>
        <v>31.174438533782958</v>
      </c>
      <c r="S109" s="31">
        <f t="shared" si="74"/>
        <v>31.174438533782958</v>
      </c>
      <c r="T109" s="31">
        <f t="shared" si="74"/>
        <v>31.174438533782958</v>
      </c>
      <c r="U109" s="31">
        <f t="shared" si="74"/>
        <v>31.174438533782958</v>
      </c>
      <c r="V109" s="31">
        <f t="shared" si="74"/>
        <v>31.174438533782958</v>
      </c>
      <c r="W109" s="31">
        <f t="shared" si="74"/>
        <v>31.174438533782958</v>
      </c>
      <c r="X109" s="31">
        <f t="shared" si="74"/>
        <v>31.174438533782958</v>
      </c>
      <c r="Y109" s="31">
        <f t="shared" si="74"/>
        <v>31.174438533782958</v>
      </c>
      <c r="Z109" s="31">
        <f t="shared" si="74"/>
        <v>31.174438533782958</v>
      </c>
    </row>
    <row r="110" spans="2:26">
      <c r="C110" s="30">
        <v>2</v>
      </c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P110" s="31">
        <v>0</v>
      </c>
      <c r="Q110" s="31"/>
      <c r="R110" s="31"/>
      <c r="S110" s="31"/>
      <c r="T110" s="31"/>
      <c r="U110" s="31"/>
      <c r="V110" s="31"/>
      <c r="W110" s="31"/>
      <c r="X110" s="31"/>
      <c r="Y110" s="31"/>
      <c r="Z110" s="31"/>
    </row>
    <row r="111" spans="2:26">
      <c r="C111" s="30">
        <v>3</v>
      </c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P111" s="31">
        <v>0</v>
      </c>
      <c r="Q111" s="31"/>
      <c r="R111" s="31"/>
      <c r="S111" s="31"/>
      <c r="T111" s="31"/>
      <c r="U111" s="31"/>
      <c r="V111" s="31"/>
      <c r="W111" s="31"/>
      <c r="X111" s="31"/>
      <c r="Y111" s="31"/>
      <c r="Z111" s="31"/>
    </row>
    <row r="112" spans="2:26">
      <c r="B112" s="25" t="s">
        <v>129</v>
      </c>
      <c r="C112" s="30">
        <v>1</v>
      </c>
      <c r="D112" s="31">
        <f>D103</f>
        <v>25</v>
      </c>
      <c r="E112" s="31">
        <f t="shared" ref="E112:N112" si="75">D112</f>
        <v>25</v>
      </c>
      <c r="F112" s="31">
        <f t="shared" si="75"/>
        <v>25</v>
      </c>
      <c r="G112" s="31">
        <f t="shared" si="75"/>
        <v>25</v>
      </c>
      <c r="H112" s="31">
        <f t="shared" si="75"/>
        <v>25</v>
      </c>
      <c r="I112" s="31">
        <f t="shared" si="75"/>
        <v>25</v>
      </c>
      <c r="J112" s="31">
        <f t="shared" si="75"/>
        <v>25</v>
      </c>
      <c r="K112" s="31">
        <f t="shared" si="75"/>
        <v>25</v>
      </c>
      <c r="L112" s="31">
        <f t="shared" si="75"/>
        <v>25</v>
      </c>
      <c r="M112" s="31">
        <f t="shared" si="75"/>
        <v>25</v>
      </c>
      <c r="N112" s="31">
        <f t="shared" si="75"/>
        <v>25</v>
      </c>
      <c r="P112" s="31">
        <f>AC44</f>
        <v>179.73366016387939</v>
      </c>
      <c r="Q112" s="31">
        <f t="shared" ref="Q112:Z112" si="76">P112</f>
        <v>179.73366016387939</v>
      </c>
      <c r="R112" s="31">
        <f t="shared" si="76"/>
        <v>179.73366016387939</v>
      </c>
      <c r="S112" s="31">
        <f t="shared" si="76"/>
        <v>179.73366016387939</v>
      </c>
      <c r="T112" s="31">
        <f t="shared" si="76"/>
        <v>179.73366016387939</v>
      </c>
      <c r="U112" s="31">
        <f t="shared" si="76"/>
        <v>179.73366016387939</v>
      </c>
      <c r="V112" s="31">
        <f t="shared" si="76"/>
        <v>179.73366016387939</v>
      </c>
      <c r="W112" s="31">
        <f t="shared" si="76"/>
        <v>179.73366016387939</v>
      </c>
      <c r="X112" s="31">
        <f t="shared" si="76"/>
        <v>179.73366016387939</v>
      </c>
      <c r="Y112" s="31">
        <f t="shared" si="76"/>
        <v>179.73366016387939</v>
      </c>
      <c r="Z112" s="31">
        <f t="shared" si="76"/>
        <v>179.73366016387939</v>
      </c>
    </row>
    <row r="113" spans="2:26">
      <c r="C113" s="30">
        <v>2</v>
      </c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P113" s="31">
        <v>0</v>
      </c>
      <c r="Q113" s="31"/>
      <c r="R113" s="31"/>
      <c r="S113" s="31"/>
      <c r="T113" s="31"/>
      <c r="U113" s="31"/>
      <c r="V113" s="31"/>
      <c r="W113" s="31"/>
      <c r="X113" s="31"/>
      <c r="Y113" s="31"/>
      <c r="Z113" s="31"/>
    </row>
    <row r="114" spans="2:26">
      <c r="C114" s="30">
        <v>3</v>
      </c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P114" s="31">
        <v>0</v>
      </c>
      <c r="Q114" s="31"/>
      <c r="R114" s="31"/>
      <c r="S114" s="31"/>
      <c r="T114" s="31"/>
      <c r="U114" s="31"/>
      <c r="V114" s="31"/>
      <c r="W114" s="31"/>
      <c r="X114" s="31"/>
      <c r="Y114" s="31"/>
      <c r="Z114" s="31"/>
    </row>
    <row r="115" spans="2:26">
      <c r="B115" s="25" t="s">
        <v>130</v>
      </c>
      <c r="C115" s="30">
        <v>1</v>
      </c>
      <c r="D115" s="31">
        <f>D103</f>
        <v>25</v>
      </c>
      <c r="E115" s="31">
        <f t="shared" ref="E115:N115" si="77">D115</f>
        <v>25</v>
      </c>
      <c r="F115" s="31">
        <f t="shared" si="77"/>
        <v>25</v>
      </c>
      <c r="G115" s="31">
        <f t="shared" si="77"/>
        <v>25</v>
      </c>
      <c r="H115" s="31">
        <f t="shared" si="77"/>
        <v>25</v>
      </c>
      <c r="I115" s="31">
        <f t="shared" si="77"/>
        <v>25</v>
      </c>
      <c r="J115" s="31">
        <f t="shared" si="77"/>
        <v>25</v>
      </c>
      <c r="K115" s="31">
        <f t="shared" si="77"/>
        <v>25</v>
      </c>
      <c r="L115" s="31">
        <f t="shared" si="77"/>
        <v>25</v>
      </c>
      <c r="M115" s="31">
        <f t="shared" si="77"/>
        <v>25</v>
      </c>
      <c r="N115" s="31">
        <f t="shared" si="77"/>
        <v>25</v>
      </c>
      <c r="P115" s="31">
        <f>AC45</f>
        <v>161.72549100494385</v>
      </c>
      <c r="Q115" s="31">
        <f t="shared" ref="Q115:Z115" si="78">P115</f>
        <v>161.72549100494385</v>
      </c>
      <c r="R115" s="31">
        <f t="shared" si="78"/>
        <v>161.72549100494385</v>
      </c>
      <c r="S115" s="31">
        <f t="shared" si="78"/>
        <v>161.72549100494385</v>
      </c>
      <c r="T115" s="31">
        <f t="shared" si="78"/>
        <v>161.72549100494385</v>
      </c>
      <c r="U115" s="31">
        <f t="shared" si="78"/>
        <v>161.72549100494385</v>
      </c>
      <c r="V115" s="31">
        <f t="shared" si="78"/>
        <v>161.72549100494385</v>
      </c>
      <c r="W115" s="31">
        <f t="shared" si="78"/>
        <v>161.72549100494385</v>
      </c>
      <c r="X115" s="31">
        <f t="shared" si="78"/>
        <v>161.72549100494385</v>
      </c>
      <c r="Y115" s="31">
        <f t="shared" si="78"/>
        <v>161.72549100494385</v>
      </c>
      <c r="Z115" s="31">
        <f t="shared" si="78"/>
        <v>161.72549100494385</v>
      </c>
    </row>
    <row r="116" spans="2:26">
      <c r="C116" s="30">
        <v>2</v>
      </c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P116" s="31">
        <v>0</v>
      </c>
      <c r="Q116" s="31"/>
      <c r="R116" s="31"/>
      <c r="S116" s="31"/>
      <c r="T116" s="31"/>
      <c r="U116" s="31"/>
      <c r="V116" s="31"/>
      <c r="W116" s="31"/>
      <c r="X116" s="31"/>
      <c r="Y116" s="31"/>
      <c r="Z116" s="31"/>
    </row>
    <row r="117" spans="2:26">
      <c r="C117" s="30">
        <v>3</v>
      </c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P117" s="31">
        <v>0</v>
      </c>
      <c r="Q117" s="31"/>
      <c r="R117" s="31"/>
      <c r="S117" s="31"/>
      <c r="T117" s="31"/>
      <c r="U117" s="31"/>
      <c r="V117" s="31"/>
      <c r="W117" s="31"/>
      <c r="X117" s="31"/>
      <c r="Y117" s="31"/>
      <c r="Z117" s="31"/>
    </row>
    <row r="118" spans="2:26">
      <c r="B118" s="25" t="s">
        <v>131</v>
      </c>
      <c r="C118" s="30">
        <v>1</v>
      </c>
      <c r="D118" s="31">
        <f>D103</f>
        <v>25</v>
      </c>
      <c r="E118" s="31">
        <f t="shared" ref="E118:N118" si="79">D118</f>
        <v>25</v>
      </c>
      <c r="F118" s="31">
        <f t="shared" si="79"/>
        <v>25</v>
      </c>
      <c r="G118" s="31">
        <f t="shared" si="79"/>
        <v>25</v>
      </c>
      <c r="H118" s="31">
        <f t="shared" si="79"/>
        <v>25</v>
      </c>
      <c r="I118" s="31">
        <f t="shared" si="79"/>
        <v>25</v>
      </c>
      <c r="J118" s="31">
        <f t="shared" si="79"/>
        <v>25</v>
      </c>
      <c r="K118" s="31">
        <f t="shared" si="79"/>
        <v>25</v>
      </c>
      <c r="L118" s="31">
        <f t="shared" si="79"/>
        <v>25</v>
      </c>
      <c r="M118" s="31">
        <f t="shared" si="79"/>
        <v>25</v>
      </c>
      <c r="N118" s="31">
        <f t="shared" si="79"/>
        <v>25</v>
      </c>
      <c r="P118" s="31">
        <f>AC46</f>
        <v>30.44077754974365</v>
      </c>
      <c r="Q118" s="31">
        <f t="shared" ref="Q118:Z118" si="80">P118</f>
        <v>30.44077754974365</v>
      </c>
      <c r="R118" s="31">
        <f t="shared" si="80"/>
        <v>30.44077754974365</v>
      </c>
      <c r="S118" s="31">
        <f t="shared" si="80"/>
        <v>30.44077754974365</v>
      </c>
      <c r="T118" s="31">
        <f t="shared" si="80"/>
        <v>30.44077754974365</v>
      </c>
      <c r="U118" s="31">
        <f t="shared" si="80"/>
        <v>30.44077754974365</v>
      </c>
      <c r="V118" s="31">
        <f t="shared" si="80"/>
        <v>30.44077754974365</v>
      </c>
      <c r="W118" s="31">
        <f t="shared" si="80"/>
        <v>30.44077754974365</v>
      </c>
      <c r="X118" s="31">
        <f t="shared" si="80"/>
        <v>30.44077754974365</v>
      </c>
      <c r="Y118" s="31">
        <f t="shared" si="80"/>
        <v>30.44077754974365</v>
      </c>
      <c r="Z118" s="31">
        <f t="shared" si="80"/>
        <v>30.44077754974365</v>
      </c>
    </row>
    <row r="119" spans="2:26">
      <c r="C119" s="30">
        <v>2</v>
      </c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P119" s="31">
        <v>0</v>
      </c>
      <c r="Q119" s="31"/>
      <c r="R119" s="31"/>
      <c r="S119" s="31"/>
      <c r="T119" s="31"/>
      <c r="U119" s="31"/>
      <c r="V119" s="31"/>
      <c r="W119" s="31"/>
      <c r="X119" s="31"/>
      <c r="Y119" s="31"/>
      <c r="Z119" s="31"/>
    </row>
    <row r="120" spans="2:26">
      <c r="C120" s="30">
        <v>3</v>
      </c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P120" s="31">
        <v>0</v>
      </c>
      <c r="Q120" s="31"/>
      <c r="R120" s="31"/>
      <c r="S120" s="31"/>
      <c r="T120" s="31"/>
      <c r="U120" s="31"/>
      <c r="V120" s="31"/>
      <c r="W120" s="31"/>
      <c r="X120" s="31"/>
      <c r="Y120" s="31"/>
      <c r="Z120" s="31"/>
    </row>
    <row r="123" spans="2:26">
      <c r="B123" s="25" t="s">
        <v>132</v>
      </c>
    </row>
    <row r="124" spans="2:26">
      <c r="B124" s="25" t="s">
        <v>133</v>
      </c>
    </row>
    <row r="125" spans="2:26">
      <c r="B125" s="25" t="s">
        <v>134</v>
      </c>
    </row>
    <row r="127" spans="2:26">
      <c r="B127" s="25" t="s">
        <v>135</v>
      </c>
    </row>
    <row r="128" spans="2:26">
      <c r="B128" s="25" t="s">
        <v>136</v>
      </c>
      <c r="G128" s="33" t="s">
        <v>137</v>
      </c>
      <c r="H128" s="25">
        <v>3.6</v>
      </c>
    </row>
    <row r="129" spans="2:17">
      <c r="D129" s="25" t="s">
        <v>138</v>
      </c>
      <c r="F129" s="34" t="s">
        <v>139</v>
      </c>
      <c r="L129" s="30" t="s">
        <v>140</v>
      </c>
    </row>
    <row r="130" spans="2:17">
      <c r="B130" s="25" t="s">
        <v>141</v>
      </c>
      <c r="C130" s="25" t="s">
        <v>142</v>
      </c>
      <c r="D130" s="25" t="s">
        <v>143</v>
      </c>
      <c r="E130" s="25" t="s">
        <v>144</v>
      </c>
      <c r="G130" s="29">
        <v>2000</v>
      </c>
      <c r="H130" s="29">
        <v>2005</v>
      </c>
      <c r="I130" s="29">
        <v>2010</v>
      </c>
      <c r="J130" s="29">
        <v>2015</v>
      </c>
      <c r="K130" s="29">
        <v>2020</v>
      </c>
      <c r="L130" s="29">
        <v>2025</v>
      </c>
      <c r="M130" s="29">
        <v>2030</v>
      </c>
      <c r="N130" s="30">
        <v>2035</v>
      </c>
      <c r="O130" s="30">
        <v>2040</v>
      </c>
      <c r="P130" s="30">
        <v>2045</v>
      </c>
      <c r="Q130" s="29">
        <v>2050</v>
      </c>
    </row>
    <row r="131" spans="2:17">
      <c r="B131" s="25" t="s">
        <v>145</v>
      </c>
      <c r="C131" s="25">
        <v>2005</v>
      </c>
      <c r="D131" s="31">
        <v>0.55762702226638794</v>
      </c>
      <c r="E131" s="31">
        <v>8.8648881912231445</v>
      </c>
      <c r="F131" s="29" t="s">
        <v>63</v>
      </c>
      <c r="G131" s="35">
        <f>H131</f>
        <v>2.0074572801589965</v>
      </c>
      <c r="H131" s="35">
        <f>D131*$H$128</f>
        <v>2.0074572801589965</v>
      </c>
      <c r="I131" s="35">
        <f>D132*$H$128</f>
        <v>1.8145800590515138</v>
      </c>
      <c r="J131" s="35">
        <f>D133*$H$128</f>
        <v>1.7782884836196899</v>
      </c>
      <c r="K131" s="35">
        <f>D134*$H$128</f>
        <v>1.7782884836196899</v>
      </c>
      <c r="L131" s="35">
        <f>D135*$H$128</f>
        <v>1.7782884836196899</v>
      </c>
      <c r="M131" s="35">
        <f>D136*$H$128</f>
        <v>1.7782884836196899</v>
      </c>
      <c r="N131" s="36">
        <f>M131</f>
        <v>1.7782884836196899</v>
      </c>
      <c r="O131" s="36">
        <f>N131</f>
        <v>1.7782884836196899</v>
      </c>
      <c r="P131" s="36">
        <f>O131</f>
        <v>1.7782884836196899</v>
      </c>
      <c r="Q131" s="35">
        <f>P131</f>
        <v>1.7782884836196899</v>
      </c>
    </row>
    <row r="132" spans="2:17">
      <c r="C132" s="25">
        <v>2010</v>
      </c>
      <c r="D132" s="31">
        <v>0.50405001640319824</v>
      </c>
      <c r="E132" s="31">
        <v>6.5310287475585938</v>
      </c>
      <c r="F132" s="37"/>
    </row>
    <row r="133" spans="2:17">
      <c r="C133" s="25">
        <v>2015</v>
      </c>
      <c r="D133" s="31">
        <v>0.49396902322769165</v>
      </c>
      <c r="E133" s="31">
        <v>7.317042350769043</v>
      </c>
      <c r="F133" s="37"/>
    </row>
    <row r="134" spans="2:17">
      <c r="C134" s="25">
        <v>2020</v>
      </c>
      <c r="D134" s="31">
        <v>0.49396902322769165</v>
      </c>
      <c r="E134" s="31">
        <v>8.9008121490478516</v>
      </c>
      <c r="F134" s="37"/>
    </row>
    <row r="135" spans="2:17">
      <c r="C135" s="25">
        <v>2025</v>
      </c>
      <c r="D135" s="31">
        <v>0.49396902322769165</v>
      </c>
      <c r="E135" s="31">
        <v>7.74664306640625</v>
      </c>
      <c r="F135" s="37"/>
    </row>
    <row r="136" spans="2:17">
      <c r="C136" s="25">
        <v>2030</v>
      </c>
      <c r="D136" s="31">
        <v>0.49396902322769165</v>
      </c>
      <c r="E136" s="31">
        <v>7.8344354629516602</v>
      </c>
      <c r="F136" s="37"/>
    </row>
    <row r="137" spans="2:17">
      <c r="B137" s="25" t="s">
        <v>146</v>
      </c>
      <c r="C137" s="25">
        <v>2005</v>
      </c>
      <c r="D137" s="31">
        <v>5.3459887504577637</v>
      </c>
      <c r="E137" s="31">
        <v>16.071619033813477</v>
      </c>
      <c r="F137" s="29" t="s">
        <v>27</v>
      </c>
      <c r="G137" s="35">
        <f>H137</f>
        <v>19.24555950164795</v>
      </c>
      <c r="H137" s="35">
        <f>D137*$H$128</f>
        <v>19.24555950164795</v>
      </c>
      <c r="I137" s="35">
        <f>D138*$H$128</f>
        <v>12.17358798980713</v>
      </c>
      <c r="J137" s="35">
        <f>D139*$H$128</f>
        <v>7.8371735572814947</v>
      </c>
      <c r="K137" s="35">
        <f>D140*$H$128</f>
        <v>4.0632350921630858</v>
      </c>
      <c r="L137" s="35">
        <f>D141*$H$128</f>
        <v>1.7866332650184631</v>
      </c>
      <c r="M137" s="35">
        <f>D142*$H$128</f>
        <v>1.7866332650184631</v>
      </c>
      <c r="N137" s="36">
        <f>M137</f>
        <v>1.7866332650184631</v>
      </c>
      <c r="O137" s="36">
        <f>N137</f>
        <v>1.7866332650184631</v>
      </c>
      <c r="P137" s="36">
        <f>O137</f>
        <v>1.7866332650184631</v>
      </c>
      <c r="Q137" s="35">
        <f>P137</f>
        <v>1.7866332650184631</v>
      </c>
    </row>
    <row r="138" spans="2:17">
      <c r="C138" s="25">
        <v>2010</v>
      </c>
      <c r="D138" s="31">
        <v>3.3815522193908691</v>
      </c>
      <c r="E138" s="31">
        <v>16.289196014404297</v>
      </c>
      <c r="F138" s="37"/>
    </row>
    <row r="139" spans="2:17">
      <c r="C139" s="25">
        <v>2015</v>
      </c>
      <c r="D139" s="31">
        <v>2.176992654800415</v>
      </c>
      <c r="E139" s="31">
        <v>14.094463348388672</v>
      </c>
      <c r="F139" s="37"/>
    </row>
    <row r="140" spans="2:17">
      <c r="C140" s="25">
        <v>2020</v>
      </c>
      <c r="D140" s="31">
        <v>1.1286764144897461</v>
      </c>
      <c r="E140" s="31">
        <v>9.9612102508544922</v>
      </c>
      <c r="F140" s="37"/>
    </row>
    <row r="141" spans="2:17">
      <c r="C141" s="25">
        <v>2025</v>
      </c>
      <c r="D141" s="31">
        <v>0.4962870180606842</v>
      </c>
      <c r="E141" s="31">
        <v>4.5981044769287109</v>
      </c>
      <c r="F141" s="37"/>
    </row>
    <row r="142" spans="2:17">
      <c r="C142" s="25">
        <v>2030</v>
      </c>
      <c r="D142" s="31">
        <v>0.4962870180606842</v>
      </c>
      <c r="E142" s="31">
        <v>4.599827766418457</v>
      </c>
      <c r="F142" s="37"/>
    </row>
    <row r="143" spans="2:17">
      <c r="B143" s="25" t="s">
        <v>147</v>
      </c>
      <c r="C143" s="25">
        <v>2005</v>
      </c>
      <c r="D143" s="31">
        <v>5.1307492256164551</v>
      </c>
      <c r="E143" s="31">
        <v>3.13820481300354</v>
      </c>
      <c r="F143" s="29" t="s">
        <v>64</v>
      </c>
      <c r="G143" s="35">
        <f>H143</f>
        <v>18.470697212219239</v>
      </c>
      <c r="H143" s="35">
        <f>D143*$H$128</f>
        <v>18.470697212219239</v>
      </c>
      <c r="I143" s="35">
        <f>D144*$H$128</f>
        <v>12.118626308441163</v>
      </c>
      <c r="J143" s="35">
        <f>D145*$H$128</f>
        <v>10.954278087615966</v>
      </c>
      <c r="K143" s="35">
        <f>D146*$H$128</f>
        <v>9.9018007278442379</v>
      </c>
      <c r="L143" s="35">
        <f>D147*$H$128</f>
        <v>8.9504422187805179</v>
      </c>
      <c r="M143" s="35">
        <f>D148*$H$128</f>
        <v>8.9504422187805179</v>
      </c>
      <c r="N143" s="36">
        <f>M143</f>
        <v>8.9504422187805179</v>
      </c>
      <c r="O143" s="36">
        <f>N143</f>
        <v>8.9504422187805179</v>
      </c>
      <c r="P143" s="36">
        <f>O143</f>
        <v>8.9504422187805179</v>
      </c>
      <c r="Q143" s="35">
        <f>P143</f>
        <v>8.9504422187805179</v>
      </c>
    </row>
    <row r="144" spans="2:17">
      <c r="C144" s="25">
        <v>2010</v>
      </c>
      <c r="D144" s="31">
        <v>3.3662850856781006</v>
      </c>
      <c r="E144" s="31">
        <v>8.414921760559082</v>
      </c>
      <c r="F144" s="37"/>
    </row>
    <row r="145" spans="2:17">
      <c r="C145" s="25">
        <v>2015</v>
      </c>
      <c r="D145" s="31">
        <v>3.0428550243377686</v>
      </c>
      <c r="E145" s="31">
        <v>6.2563338279724121</v>
      </c>
      <c r="F145" s="37"/>
    </row>
    <row r="146" spans="2:17">
      <c r="C146" s="25">
        <v>2020</v>
      </c>
      <c r="D146" s="31">
        <v>2.7505002021789551</v>
      </c>
      <c r="E146" s="31">
        <v>1.6739422082901001</v>
      </c>
      <c r="F146" s="37"/>
    </row>
    <row r="147" spans="2:17">
      <c r="C147" s="25">
        <v>2025</v>
      </c>
      <c r="D147" s="31">
        <v>2.4862339496612549</v>
      </c>
      <c r="E147" s="31">
        <v>0.6785094141960144</v>
      </c>
      <c r="F147" s="37"/>
    </row>
    <row r="148" spans="2:17">
      <c r="C148" s="25">
        <v>2030</v>
      </c>
      <c r="D148" s="31">
        <v>2.4862339496612549</v>
      </c>
      <c r="E148" s="31">
        <v>0.6785094141960144</v>
      </c>
      <c r="F148" s="37"/>
    </row>
    <row r="149" spans="2:17">
      <c r="B149" s="25" t="s">
        <v>148</v>
      </c>
      <c r="C149" s="25">
        <v>2005</v>
      </c>
      <c r="D149" s="31">
        <v>5.9992032051086426</v>
      </c>
      <c r="E149" s="31">
        <v>5.3428082466125488</v>
      </c>
      <c r="F149" s="29" t="s">
        <v>65</v>
      </c>
      <c r="G149" s="35">
        <f>H149</f>
        <v>21.597131538391114</v>
      </c>
      <c r="H149" s="35">
        <f>D149*$H$128</f>
        <v>21.597131538391114</v>
      </c>
      <c r="I149" s="35">
        <f>D150*$H$128</f>
        <v>21.427190208435061</v>
      </c>
      <c r="J149" s="35">
        <f>D151*$H$128</f>
        <v>18.362741088867189</v>
      </c>
      <c r="K149" s="35">
        <f>D152*$H$128</f>
        <v>14.208740043640137</v>
      </c>
      <c r="L149" s="35">
        <f>D153*$H$128</f>
        <v>10.994450283050538</v>
      </c>
      <c r="M149" s="35">
        <f>D154*$H$128</f>
        <v>10.994450283050538</v>
      </c>
      <c r="N149" s="36">
        <f>M149</f>
        <v>10.994450283050538</v>
      </c>
      <c r="O149" s="36">
        <f>N149</f>
        <v>10.994450283050538</v>
      </c>
      <c r="P149" s="36">
        <f>O149</f>
        <v>10.994450283050538</v>
      </c>
      <c r="Q149" s="35">
        <f>P149</f>
        <v>10.994450283050538</v>
      </c>
    </row>
    <row r="150" spans="2:17">
      <c r="C150" s="25">
        <v>2010</v>
      </c>
      <c r="D150" s="31">
        <v>5.9519972801208496</v>
      </c>
      <c r="E150" s="31">
        <v>6.166412353515625</v>
      </c>
      <c r="F150" s="37"/>
    </row>
    <row r="151" spans="2:17">
      <c r="C151" s="25">
        <v>2015</v>
      </c>
      <c r="D151" s="31">
        <v>5.1007614135742188</v>
      </c>
      <c r="E151" s="31">
        <v>7.4482126235961914</v>
      </c>
      <c r="F151" s="37"/>
    </row>
    <row r="152" spans="2:17">
      <c r="C152" s="25">
        <v>2020</v>
      </c>
      <c r="D152" s="31">
        <v>3.9468722343444824</v>
      </c>
      <c r="E152" s="31">
        <v>7.4486293792724609</v>
      </c>
      <c r="F152" s="37"/>
    </row>
    <row r="153" spans="2:17">
      <c r="C153" s="25">
        <v>2025</v>
      </c>
      <c r="D153" s="31">
        <v>3.0540139675140381</v>
      </c>
      <c r="E153" s="31">
        <v>13.322409629821777</v>
      </c>
      <c r="F153" s="37"/>
    </row>
    <row r="154" spans="2:17">
      <c r="C154" s="25">
        <v>2030</v>
      </c>
      <c r="D154" s="31">
        <v>3.0540139675140381</v>
      </c>
      <c r="E154" s="31">
        <v>12.416172027587891</v>
      </c>
      <c r="F154" s="37"/>
    </row>
    <row r="155" spans="2:17">
      <c r="B155" s="25" t="s">
        <v>149</v>
      </c>
      <c r="C155" s="25">
        <v>2005</v>
      </c>
      <c r="D155" s="31">
        <v>0</v>
      </c>
      <c r="E155" s="31">
        <v>0</v>
      </c>
      <c r="F155" s="29" t="s">
        <v>66</v>
      </c>
      <c r="G155" s="31">
        <f>H155</f>
        <v>0</v>
      </c>
      <c r="H155" s="31">
        <f>D155*$H$128</f>
        <v>0</v>
      </c>
      <c r="I155" s="31">
        <f>D156*$H$128</f>
        <v>0</v>
      </c>
      <c r="J155" s="31">
        <f>D157*$H$128</f>
        <v>0</v>
      </c>
      <c r="K155" s="31">
        <f>D158*$H$128</f>
        <v>0</v>
      </c>
      <c r="L155" s="31">
        <f>D159*$H$128</f>
        <v>0</v>
      </c>
      <c r="M155" s="31">
        <f>D160*$H$128</f>
        <v>0</v>
      </c>
      <c r="N155" s="31">
        <f>M155</f>
        <v>0</v>
      </c>
      <c r="O155" s="31">
        <f>N155</f>
        <v>0</v>
      </c>
      <c r="P155" s="31">
        <f>O155</f>
        <v>0</v>
      </c>
      <c r="Q155" s="31">
        <f>P155</f>
        <v>0</v>
      </c>
    </row>
    <row r="156" spans="2:17">
      <c r="C156" s="25">
        <v>2010</v>
      </c>
      <c r="D156" s="31">
        <v>0</v>
      </c>
      <c r="E156" s="31">
        <v>0</v>
      </c>
      <c r="F156" s="37"/>
    </row>
    <row r="157" spans="2:17">
      <c r="C157" s="25">
        <v>2015</v>
      </c>
      <c r="D157" s="31">
        <v>0</v>
      </c>
      <c r="E157" s="31">
        <v>0</v>
      </c>
      <c r="F157" s="37"/>
    </row>
    <row r="158" spans="2:17">
      <c r="C158" s="25">
        <v>2020</v>
      </c>
      <c r="D158" s="31">
        <v>0</v>
      </c>
      <c r="E158" s="31">
        <v>0</v>
      </c>
      <c r="F158" s="37"/>
    </row>
    <row r="159" spans="2:17">
      <c r="C159" s="25">
        <v>2025</v>
      </c>
      <c r="D159" s="31">
        <v>0</v>
      </c>
      <c r="E159" s="31">
        <v>0</v>
      </c>
      <c r="F159" s="37"/>
    </row>
    <row r="160" spans="2:17">
      <c r="C160" s="25">
        <v>2030</v>
      </c>
      <c r="D160" s="31">
        <v>0</v>
      </c>
      <c r="E160" s="31">
        <v>0</v>
      </c>
      <c r="F160" s="37"/>
    </row>
    <row r="161" spans="2:17">
      <c r="B161" s="25" t="s">
        <v>150</v>
      </c>
      <c r="C161" s="25">
        <v>2005</v>
      </c>
      <c r="D161" s="31">
        <v>0</v>
      </c>
      <c r="E161" s="31">
        <v>0</v>
      </c>
      <c r="F161" s="29" t="s">
        <v>67</v>
      </c>
      <c r="G161" s="31">
        <f>H161</f>
        <v>0</v>
      </c>
      <c r="H161" s="31">
        <f>D161*$H$128</f>
        <v>0</v>
      </c>
      <c r="I161" s="31">
        <f>D162*$H$128</f>
        <v>0</v>
      </c>
      <c r="J161" s="31">
        <f>D163*$H$128</f>
        <v>0</v>
      </c>
      <c r="K161" s="31">
        <f>D164*$H$128</f>
        <v>0</v>
      </c>
      <c r="L161" s="31">
        <f>D165*$H$128</f>
        <v>0</v>
      </c>
      <c r="M161" s="31">
        <f>D166*$H$128</f>
        <v>0</v>
      </c>
      <c r="N161" s="31">
        <f>M161</f>
        <v>0</v>
      </c>
      <c r="O161" s="31">
        <f>N161</f>
        <v>0</v>
      </c>
      <c r="P161" s="31">
        <f>O161</f>
        <v>0</v>
      </c>
      <c r="Q161" s="31">
        <f>P161</f>
        <v>0</v>
      </c>
    </row>
    <row r="162" spans="2:17">
      <c r="C162" s="25">
        <v>2010</v>
      </c>
      <c r="D162" s="31">
        <v>0</v>
      </c>
      <c r="E162" s="31">
        <v>0</v>
      </c>
      <c r="F162" s="37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2:17">
      <c r="C163" s="25">
        <v>2015</v>
      </c>
      <c r="D163" s="31">
        <v>0</v>
      </c>
      <c r="E163" s="31">
        <v>0</v>
      </c>
      <c r="F163" s="37"/>
    </row>
    <row r="164" spans="2:17">
      <c r="C164" s="25">
        <v>2020</v>
      </c>
      <c r="D164" s="31">
        <v>0</v>
      </c>
      <c r="E164" s="31">
        <v>0</v>
      </c>
      <c r="F164" s="37"/>
    </row>
    <row r="165" spans="2:17">
      <c r="C165" s="25">
        <v>2025</v>
      </c>
      <c r="D165" s="31">
        <v>0</v>
      </c>
      <c r="E165" s="31">
        <v>0</v>
      </c>
      <c r="F165" s="37"/>
    </row>
    <row r="166" spans="2:17">
      <c r="C166" s="25">
        <v>2030</v>
      </c>
      <c r="D166" s="31">
        <v>0</v>
      </c>
      <c r="E166" s="31">
        <v>0</v>
      </c>
      <c r="F166" s="37"/>
    </row>
    <row r="167" spans="2:17">
      <c r="B167" s="25" t="s">
        <v>151</v>
      </c>
      <c r="C167" s="25">
        <v>2005</v>
      </c>
      <c r="D167" s="31">
        <v>2.7582002803683281E-2</v>
      </c>
      <c r="E167" s="31">
        <v>0</v>
      </c>
      <c r="F167" s="29" t="s">
        <v>68</v>
      </c>
      <c r="G167" s="35">
        <f>H167</f>
        <v>9.9295210093259811E-2</v>
      </c>
      <c r="H167" s="35">
        <f>D167*$H$128</f>
        <v>9.9295210093259811E-2</v>
      </c>
      <c r="I167" s="35">
        <f>D168*$H$128</f>
        <v>0.14745600968599321</v>
      </c>
      <c r="J167" s="35">
        <f>D169*$H$128</f>
        <v>0.14745600968599321</v>
      </c>
      <c r="K167" s="35">
        <f>D170*$H$128</f>
        <v>0.14745600968599321</v>
      </c>
      <c r="L167" s="35">
        <f>D171*$H$128</f>
        <v>0.14745600968599321</v>
      </c>
      <c r="M167" s="35">
        <f>D172*$H$128</f>
        <v>0.14745600968599321</v>
      </c>
      <c r="N167" s="36">
        <f>M167</f>
        <v>0.14745600968599321</v>
      </c>
      <c r="O167" s="36">
        <f>N167</f>
        <v>0.14745600968599321</v>
      </c>
      <c r="P167" s="36">
        <f>O167</f>
        <v>0.14745600968599321</v>
      </c>
      <c r="Q167" s="35">
        <f>P167</f>
        <v>0.14745600968599321</v>
      </c>
    </row>
    <row r="168" spans="2:17">
      <c r="C168" s="25">
        <v>2010</v>
      </c>
      <c r="D168" s="31">
        <v>4.0960002690553665E-2</v>
      </c>
      <c r="E168" s="31">
        <v>0</v>
      </c>
      <c r="F168" s="37"/>
    </row>
    <row r="169" spans="2:17">
      <c r="C169" s="25">
        <v>2015</v>
      </c>
      <c r="D169" s="31">
        <v>4.0960002690553665E-2</v>
      </c>
      <c r="E169" s="31">
        <v>0</v>
      </c>
      <c r="F169" s="37"/>
    </row>
    <row r="170" spans="2:17">
      <c r="C170" s="25">
        <v>2020</v>
      </c>
      <c r="D170" s="31">
        <v>4.0960002690553665E-2</v>
      </c>
      <c r="E170" s="31">
        <v>0</v>
      </c>
      <c r="F170" s="37"/>
    </row>
    <row r="171" spans="2:17">
      <c r="C171" s="25">
        <v>2025</v>
      </c>
      <c r="D171" s="31">
        <v>4.0960002690553665E-2</v>
      </c>
      <c r="E171" s="31">
        <v>0</v>
      </c>
      <c r="F171" s="37"/>
    </row>
    <row r="172" spans="2:17">
      <c r="C172" s="25">
        <v>2030</v>
      </c>
      <c r="D172" s="31">
        <v>4.0960002690553665E-2</v>
      </c>
      <c r="E172" s="31">
        <v>0</v>
      </c>
      <c r="F172" s="37"/>
    </row>
    <row r="173" spans="2:17">
      <c r="B173" s="25" t="s">
        <v>152</v>
      </c>
      <c r="C173" s="25">
        <v>2005</v>
      </c>
      <c r="D173" s="31">
        <v>0</v>
      </c>
      <c r="E173" s="31">
        <v>0</v>
      </c>
      <c r="F173" s="29" t="s">
        <v>28</v>
      </c>
      <c r="G173" s="31">
        <f>H173</f>
        <v>0</v>
      </c>
      <c r="H173" s="31">
        <f>D173*$H$128</f>
        <v>0</v>
      </c>
      <c r="I173" s="31">
        <f>D174*$H$128</f>
        <v>0</v>
      </c>
      <c r="J173" s="31">
        <f>D175*$H$128</f>
        <v>0</v>
      </c>
      <c r="K173" s="31">
        <f>D176*$H$128</f>
        <v>0</v>
      </c>
      <c r="L173" s="31">
        <f>D177*$H$128</f>
        <v>0</v>
      </c>
      <c r="M173" s="31">
        <f>D178*$H$128</f>
        <v>0</v>
      </c>
      <c r="N173" s="31">
        <f>M173</f>
        <v>0</v>
      </c>
      <c r="O173" s="31">
        <f>N173</f>
        <v>0</v>
      </c>
      <c r="P173" s="31">
        <f>O173</f>
        <v>0</v>
      </c>
      <c r="Q173" s="31">
        <f>P173</f>
        <v>0</v>
      </c>
    </row>
    <row r="174" spans="2:17">
      <c r="C174" s="25">
        <v>2010</v>
      </c>
      <c r="D174" s="31">
        <v>0</v>
      </c>
      <c r="E174" s="31">
        <v>0</v>
      </c>
      <c r="F174" s="37"/>
    </row>
    <row r="175" spans="2:17">
      <c r="C175" s="25">
        <v>2015</v>
      </c>
      <c r="D175" s="31">
        <v>0</v>
      </c>
      <c r="E175" s="31">
        <v>0</v>
      </c>
      <c r="F175" s="37"/>
    </row>
    <row r="176" spans="2:17">
      <c r="C176" s="25">
        <v>2020</v>
      </c>
      <c r="D176" s="31">
        <v>0</v>
      </c>
      <c r="E176" s="31">
        <v>0</v>
      </c>
      <c r="F176" s="37"/>
    </row>
    <row r="177" spans="2:17">
      <c r="C177" s="25">
        <v>2025</v>
      </c>
      <c r="D177" s="31">
        <v>0</v>
      </c>
      <c r="E177" s="31">
        <v>0</v>
      </c>
      <c r="F177" s="37"/>
    </row>
    <row r="178" spans="2:17">
      <c r="C178" s="25">
        <v>2030</v>
      </c>
      <c r="D178" s="31">
        <v>0</v>
      </c>
      <c r="E178" s="31">
        <v>0</v>
      </c>
      <c r="F178" s="37"/>
    </row>
    <row r="179" spans="2:17">
      <c r="B179" s="25" t="s">
        <v>153</v>
      </c>
      <c r="C179" s="25">
        <v>2005</v>
      </c>
      <c r="D179" s="31">
        <v>7.6465910077095032</v>
      </c>
      <c r="E179" s="31">
        <v>13.586381793022156</v>
      </c>
      <c r="F179" s="29" t="s">
        <v>69</v>
      </c>
      <c r="G179" s="35">
        <f>H179</f>
        <v>27.527727627754214</v>
      </c>
      <c r="H179" s="35">
        <f>D179*$H$128</f>
        <v>27.527727627754214</v>
      </c>
      <c r="I179" s="35">
        <f>D180*$H$128</f>
        <v>26.332320284843444</v>
      </c>
      <c r="J179" s="35">
        <f>D181*$H$128</f>
        <v>25.13387496471405</v>
      </c>
      <c r="K179" s="35">
        <f>D182*$H$128</f>
        <v>23.994163584709167</v>
      </c>
      <c r="L179" s="35">
        <f>D183*$H$128</f>
        <v>22.910310816764831</v>
      </c>
      <c r="M179" s="35">
        <f>D184*$H$128</f>
        <v>22.910310816764831</v>
      </c>
      <c r="N179" s="36">
        <f>M179</f>
        <v>22.910310816764831</v>
      </c>
      <c r="O179" s="36">
        <f>N179</f>
        <v>22.910310816764831</v>
      </c>
      <c r="P179" s="36">
        <f>O179</f>
        <v>22.910310816764831</v>
      </c>
      <c r="Q179" s="35">
        <f>P179</f>
        <v>22.910310816764831</v>
      </c>
    </row>
    <row r="180" spans="2:17">
      <c r="C180" s="25">
        <v>2010</v>
      </c>
      <c r="D180" s="31">
        <v>7.3145334124565125</v>
      </c>
      <c r="E180" s="31">
        <v>3.7433263063430786</v>
      </c>
    </row>
    <row r="181" spans="2:17">
      <c r="C181" s="25">
        <v>2015</v>
      </c>
      <c r="D181" s="31">
        <v>6.9816319346427917</v>
      </c>
      <c r="E181" s="31">
        <v>6.0035918951034546</v>
      </c>
    </row>
    <row r="182" spans="2:17">
      <c r="C182" s="25">
        <v>2020</v>
      </c>
      <c r="D182" s="31">
        <v>6.665045440196991</v>
      </c>
      <c r="E182" s="31">
        <v>1.4522786140441895</v>
      </c>
    </row>
    <row r="183" spans="2:17">
      <c r="C183" s="25">
        <v>2025</v>
      </c>
      <c r="D183" s="31">
        <v>6.3639752268791199</v>
      </c>
      <c r="E183" s="31">
        <v>1.2429420873522758</v>
      </c>
    </row>
    <row r="184" spans="2:17">
      <c r="C184" s="25">
        <v>2030</v>
      </c>
      <c r="D184" s="31">
        <v>6.3639752268791199</v>
      </c>
      <c r="E184" s="31">
        <v>1.3226486295461655</v>
      </c>
      <c r="F184" s="152" t="s">
        <v>25</v>
      </c>
      <c r="G184" s="152"/>
    </row>
    <row r="185" spans="2:17">
      <c r="B185" s="25" t="s">
        <v>154</v>
      </c>
      <c r="D185" s="31">
        <v>24.707741213962436</v>
      </c>
      <c r="E185" s="31">
        <v>47.003902077674866</v>
      </c>
      <c r="F185" s="31">
        <f t="shared" ref="F185:G190" si="81">D185*$H$128</f>
        <v>88.947868370264771</v>
      </c>
      <c r="G185" s="31">
        <f t="shared" si="81"/>
        <v>169.21404747962953</v>
      </c>
    </row>
    <row r="186" spans="2:17">
      <c r="B186" s="25" t="s">
        <v>155</v>
      </c>
      <c r="D186" s="31">
        <v>20.559378016740084</v>
      </c>
      <c r="E186" s="31">
        <v>41.144885182380676</v>
      </c>
      <c r="F186" s="31">
        <f t="shared" si="81"/>
        <v>74.013760860264298</v>
      </c>
      <c r="G186" s="31">
        <f t="shared" si="81"/>
        <v>148.12158665657043</v>
      </c>
    </row>
    <row r="187" spans="2:17">
      <c r="B187" s="25" t="s">
        <v>156</v>
      </c>
      <c r="D187" s="31">
        <v>17.837170053273439</v>
      </c>
      <c r="E187" s="31">
        <v>41.119644045829773</v>
      </c>
      <c r="F187" s="31">
        <f t="shared" si="81"/>
        <v>64.213812191784385</v>
      </c>
      <c r="G187" s="31">
        <f t="shared" si="81"/>
        <v>148.03071856498718</v>
      </c>
    </row>
    <row r="188" spans="2:17">
      <c r="B188" s="25" t="s">
        <v>157</v>
      </c>
      <c r="D188" s="31">
        <v>15.02602331712842</v>
      </c>
      <c r="E188" s="31">
        <v>29.436872601509094</v>
      </c>
      <c r="F188" s="31">
        <f t="shared" si="81"/>
        <v>54.093683941662313</v>
      </c>
      <c r="G188" s="31">
        <f t="shared" si="81"/>
        <v>105.97274136543274</v>
      </c>
    </row>
    <row r="189" spans="2:17">
      <c r="B189" s="25" t="s">
        <v>158</v>
      </c>
      <c r="D189" s="31">
        <v>12.935439188033342</v>
      </c>
      <c r="E189" s="31">
        <v>27.588608674705029</v>
      </c>
      <c r="F189" s="31">
        <f t="shared" si="81"/>
        <v>46.567581076920035</v>
      </c>
      <c r="G189" s="31">
        <f t="shared" si="81"/>
        <v>99.318991228938103</v>
      </c>
    </row>
    <row r="190" spans="2:17">
      <c r="B190" s="25" t="s">
        <v>159</v>
      </c>
      <c r="D190" s="31">
        <v>12.935439188033342</v>
      </c>
      <c r="E190" s="31">
        <v>26.851593300700188</v>
      </c>
      <c r="F190" s="31">
        <f t="shared" si="81"/>
        <v>46.567581076920035</v>
      </c>
      <c r="G190" s="31">
        <f t="shared" si="81"/>
        <v>96.665735882520679</v>
      </c>
    </row>
  </sheetData>
  <mergeCells count="10">
    <mergeCell ref="D4:N4"/>
    <mergeCell ref="D20:N20"/>
    <mergeCell ref="D38:N38"/>
    <mergeCell ref="D68:N68"/>
    <mergeCell ref="D53:N53"/>
    <mergeCell ref="F184:G184"/>
    <mergeCell ref="R38:AB38"/>
    <mergeCell ref="D101:N101"/>
    <mergeCell ref="P101:Z101"/>
    <mergeCell ref="D83:N83"/>
  </mergeCells>
  <phoneticPr fontId="0" type="noConversion"/>
  <pageMargins left="0.75" right="0.75" top="1" bottom="1" header="0.5" footer="0.5"/>
  <pageSetup scale="74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3.2"/>
  <cols>
    <col min="1" max="1" width="12.5546875" customWidth="1"/>
    <col min="2" max="2" width="12.33203125" customWidth="1"/>
    <col min="3" max="3" width="29.6640625" customWidth="1"/>
    <col min="4" max="4" width="10.33203125" customWidth="1"/>
    <col min="5" max="5" width="29.6640625" customWidth="1"/>
    <col min="6" max="6" width="10.33203125" customWidth="1"/>
  </cols>
  <sheetData>
    <row r="1" spans="1:6">
      <c r="A1" s="1" t="s">
        <v>14</v>
      </c>
      <c r="B1" s="2"/>
    </row>
    <row r="4" spans="1:6" ht="17.25" customHeight="1"/>
    <row r="5" spans="1:6" ht="17.25" customHeight="1">
      <c r="C5" s="3"/>
    </row>
    <row r="6" spans="1:6" ht="15.75" customHeight="1"/>
    <row r="7" spans="1:6">
      <c r="B7" s="4" t="s">
        <v>5</v>
      </c>
      <c r="C7" s="1" t="s">
        <v>6</v>
      </c>
      <c r="D7" s="1" t="s">
        <v>0</v>
      </c>
      <c r="E7" s="1" t="s">
        <v>4</v>
      </c>
      <c r="F7" s="1" t="s">
        <v>1</v>
      </c>
    </row>
    <row r="8" spans="1:6">
      <c r="B8" s="1"/>
      <c r="C8" s="1"/>
      <c r="D8" s="1"/>
      <c r="E8" s="3"/>
      <c r="F8" s="1"/>
    </row>
    <row r="9" spans="1:6">
      <c r="D9" s="3"/>
      <c r="E9" s="3"/>
    </row>
    <row r="11" spans="1:6">
      <c r="B11" s="3"/>
      <c r="C11" s="3"/>
      <c r="D11" s="12"/>
      <c r="E11" s="12"/>
    </row>
    <row r="12" spans="1:6">
      <c r="B12" s="3"/>
      <c r="C12" s="3"/>
      <c r="E12" s="3"/>
    </row>
    <row r="13" spans="1:6">
      <c r="B13" s="3"/>
      <c r="C13" s="3"/>
    </row>
    <row r="14" spans="1:6">
      <c r="B14" s="3"/>
      <c r="C14" s="3"/>
      <c r="D14" s="6"/>
    </row>
    <row r="15" spans="1:6">
      <c r="B15" s="3"/>
      <c r="C15" s="3"/>
      <c r="E15" s="3"/>
    </row>
    <row r="16" spans="1:6">
      <c r="B16" s="3"/>
      <c r="C16" s="3"/>
      <c r="E16" s="3"/>
    </row>
    <row r="17" spans="2:5">
      <c r="B17" s="3"/>
      <c r="C17" s="3"/>
      <c r="E17" s="3"/>
    </row>
    <row r="18" spans="2:5">
      <c r="B18" s="3"/>
      <c r="C18" s="3"/>
      <c r="E18" s="3"/>
    </row>
    <row r="19" spans="2:5">
      <c r="B19" s="3"/>
      <c r="C19" s="3"/>
      <c r="E19" s="3"/>
    </row>
    <row r="20" spans="2:5">
      <c r="D20" s="6"/>
    </row>
    <row r="21" spans="2:5">
      <c r="E21" s="3"/>
    </row>
    <row r="23" spans="2:5">
      <c r="B23" s="3"/>
      <c r="C23" s="3"/>
      <c r="D23" s="3"/>
      <c r="E23" s="3"/>
    </row>
    <row r="24" spans="2:5">
      <c r="B24" s="3"/>
      <c r="C24" s="3"/>
    </row>
    <row r="25" spans="2:5">
      <c r="B25" s="3"/>
      <c r="C25" s="3"/>
      <c r="D25" s="6"/>
      <c r="E25" s="3"/>
    </row>
    <row r="26" spans="2:5">
      <c r="B26" s="4"/>
      <c r="C26" s="3"/>
      <c r="E26" s="3"/>
    </row>
    <row r="27" spans="2:5">
      <c r="E27" s="3"/>
    </row>
    <row r="29" spans="2:5">
      <c r="B29" s="3"/>
      <c r="C29" s="3"/>
      <c r="D29" s="3"/>
      <c r="E29" s="3"/>
    </row>
    <row r="30" spans="2:5">
      <c r="B30" s="3"/>
      <c r="C30" s="3"/>
    </row>
    <row r="31" spans="2:5">
      <c r="B31" s="3"/>
      <c r="C31" s="3"/>
      <c r="E31" s="3"/>
    </row>
    <row r="32" spans="2:5">
      <c r="B32" s="3"/>
      <c r="C32" s="3"/>
      <c r="E32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5297" r:id="rId4" name="cmdEnergySets">
          <controlPr defaultSize="0" autoLine="0" r:id="rId5">
            <anchor moveWithCells="1">
              <from>
                <xdr:col>4</xdr:col>
                <xdr:colOff>7620</xdr:colOff>
                <xdr:row>3</xdr:row>
                <xdr:rowOff>99060</xdr:rowOff>
              </from>
              <to>
                <xdr:col>4</xdr:col>
                <xdr:colOff>982980</xdr:colOff>
                <xdr:row>4</xdr:row>
                <xdr:rowOff>121920</xdr:rowOff>
              </to>
            </anchor>
          </controlPr>
        </control>
      </mc:Choice>
      <mc:Fallback>
        <control shapeId="55297" r:id="rId4" name="cmdEnergySets"/>
      </mc:Fallback>
    </mc:AlternateContent>
    <mc:AlternateContent xmlns:mc="http://schemas.openxmlformats.org/markup-compatibility/2006">
      <mc:Choice Requires="x14">
        <control shapeId="55298" r:id="rId6" name="cmdDemandSets">
          <controlPr defaultSize="0" autoLine="0" r:id="rId7">
            <anchor moveWithCells="1">
              <from>
                <xdr:col>4</xdr:col>
                <xdr:colOff>7620</xdr:colOff>
                <xdr:row>4</xdr:row>
                <xdr:rowOff>175260</xdr:rowOff>
              </from>
              <to>
                <xdr:col>4</xdr:col>
                <xdr:colOff>982980</xdr:colOff>
                <xdr:row>6</xdr:row>
                <xdr:rowOff>0</xdr:rowOff>
              </to>
            </anchor>
          </controlPr>
        </control>
      </mc:Choice>
      <mc:Fallback>
        <control shapeId="55298" r:id="rId6" name="cmdDemandSets"/>
      </mc:Fallback>
    </mc:AlternateContent>
    <mc:AlternateContent xmlns:mc="http://schemas.openxmlformats.org/markup-compatibility/2006">
      <mc:Choice Requires="x14">
        <control shapeId="55299" r:id="rId8" name="cmdEmissionSets">
          <controlPr defaultSize="0" autoLine="0" r:id="rId9">
            <anchor moveWithCells="1">
              <from>
                <xdr:col>4</xdr:col>
                <xdr:colOff>998220</xdr:colOff>
                <xdr:row>4</xdr:row>
                <xdr:rowOff>175260</xdr:rowOff>
              </from>
              <to>
                <xdr:col>4</xdr:col>
                <xdr:colOff>1973580</xdr:colOff>
                <xdr:row>6</xdr:row>
                <xdr:rowOff>0</xdr:rowOff>
              </to>
            </anchor>
          </controlPr>
        </control>
      </mc:Choice>
      <mc:Fallback>
        <control shapeId="55299" r:id="rId8" name="cmdEmissionSets"/>
      </mc:Fallback>
    </mc:AlternateContent>
    <mc:AlternateContent xmlns:mc="http://schemas.openxmlformats.org/markup-compatibility/2006">
      <mc:Choice Requires="x14">
        <control shapeId="55300" r:id="rId10" name="cmdMaterialSets">
          <controlPr defaultSize="0" autoLine="0" r:id="rId11">
            <anchor moveWithCells="1">
              <from>
                <xdr:col>4</xdr:col>
                <xdr:colOff>998220</xdr:colOff>
                <xdr:row>3</xdr:row>
                <xdr:rowOff>99060</xdr:rowOff>
              </from>
              <to>
                <xdr:col>4</xdr:col>
                <xdr:colOff>1973580</xdr:colOff>
                <xdr:row>4</xdr:row>
                <xdr:rowOff>121920</xdr:rowOff>
              </to>
            </anchor>
          </controlPr>
        </control>
      </mc:Choice>
      <mc:Fallback>
        <control shapeId="55300" r:id="rId10" name="cmdMaterialSets"/>
      </mc:Fallback>
    </mc:AlternateContent>
    <mc:AlternateContent xmlns:mc="http://schemas.openxmlformats.org/markup-compatibility/2006">
      <mc:Choice Requires="x14">
        <control shapeId="55301" r:id="rId12" name="cmdCheckCommoditiesSheet">
          <controlPr defaultSize="0" autoLine="0" autoPict="0" r:id="rId13">
            <anchor moveWithCells="1">
              <from>
                <xdr:col>0</xdr:col>
                <xdr:colOff>7620</xdr:colOff>
                <xdr:row>2</xdr:row>
                <xdr:rowOff>144780</xdr:rowOff>
              </from>
              <to>
                <xdr:col>0</xdr:col>
                <xdr:colOff>830580</xdr:colOff>
                <xdr:row>4</xdr:row>
                <xdr:rowOff>0</xdr:rowOff>
              </to>
            </anchor>
          </controlPr>
        </control>
      </mc:Choice>
      <mc:Fallback>
        <control shapeId="55301" r:id="rId12" name="cmdCheckCommoditiesSheet"/>
      </mc:Fallback>
    </mc:AlternateContent>
    <mc:AlternateContent xmlns:mc="http://schemas.openxmlformats.org/markup-compatibility/2006">
      <mc:Choice Requires="x14">
        <control shapeId="55302" r:id="rId14" name="cmdCommUnit">
          <controlPr defaultSize="0" autoLine="0" r:id="rId15">
            <anchor moveWithCells="1">
              <from>
                <xdr:col>3</xdr:col>
                <xdr:colOff>7620</xdr:colOff>
                <xdr:row>4</xdr:row>
                <xdr:rowOff>175260</xdr:rowOff>
              </from>
              <to>
                <xdr:col>3</xdr:col>
                <xdr:colOff>670560</xdr:colOff>
                <xdr:row>6</xdr:row>
                <xdr:rowOff>0</xdr:rowOff>
              </to>
            </anchor>
          </controlPr>
        </control>
      </mc:Choice>
      <mc:Fallback>
        <control shapeId="55302" r:id="rId14" name="cmdCommUnit"/>
      </mc:Fallback>
    </mc:AlternateContent>
    <mc:AlternateContent xmlns:mc="http://schemas.openxmlformats.org/markup-compatibility/2006">
      <mc:Choice Requires="x14">
        <control shapeId="55303" r:id="rId16" name="cmdRefreshUnits">
          <controlPr defaultSize="0" autoLine="0" r:id="rId17">
            <anchor moveWithCells="1">
              <from>
                <xdr:col>3</xdr:col>
                <xdr:colOff>68580</xdr:colOff>
                <xdr:row>2</xdr:row>
                <xdr:rowOff>114300</xdr:rowOff>
              </from>
              <to>
                <xdr:col>3</xdr:col>
                <xdr:colOff>624840</xdr:colOff>
                <xdr:row>4</xdr:row>
                <xdr:rowOff>106680</xdr:rowOff>
              </to>
            </anchor>
          </controlPr>
        </control>
      </mc:Choice>
      <mc:Fallback>
        <control shapeId="55303" r:id="rId16" name="cmdRefreshUnits"/>
      </mc:Fallback>
    </mc:AlternateContent>
  </control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455F5-BECB-4DAB-8003-FAFC4A4E1042}">
  <dimension ref="A1"/>
  <sheetViews>
    <sheetView workbookViewId="0">
      <selection activeCell="P33" sqref="P33"/>
    </sheetView>
  </sheetViews>
  <sheetFormatPr defaultRowHeight="13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>
    <tabColor rgb="FFFFC000"/>
  </sheetPr>
  <dimension ref="A1:AA26"/>
  <sheetViews>
    <sheetView zoomScale="75" workbookViewId="0">
      <pane xSplit="5" ySplit="4" topLeftCell="F5" activePane="bottomRight" state="frozen"/>
      <selection activeCell="A2" sqref="A2"/>
      <selection pane="topRight" activeCell="A2" sqref="A2"/>
      <selection pane="bottomLeft" activeCell="A2" sqref="A2"/>
      <selection pane="bottomRight" activeCell="R29" sqref="M18:R29"/>
    </sheetView>
  </sheetViews>
  <sheetFormatPr defaultColWidth="9.109375" defaultRowHeight="13.2"/>
  <cols>
    <col min="1" max="2" width="10.33203125" style="2" customWidth="1"/>
    <col min="3" max="3" width="47.5546875" style="2" customWidth="1"/>
    <col min="4" max="4" width="9.109375" style="2"/>
    <col min="5" max="5" width="10.5546875" style="2" customWidth="1"/>
    <col min="6" max="6" width="10.5546875" style="107" customWidth="1"/>
    <col min="7" max="7" width="11.5546875" style="107" bestFit="1" customWidth="1"/>
    <col min="8" max="8" width="10.5546875" style="107" customWidth="1"/>
    <col min="9" max="9" width="12" style="107" bestFit="1" customWidth="1"/>
    <col min="10" max="11" width="12" style="2" bestFit="1" customWidth="1"/>
    <col min="12" max="14" width="12" style="107" bestFit="1" customWidth="1"/>
    <col min="15" max="23" width="12" style="2" bestFit="1" customWidth="1"/>
    <col min="24" max="24" width="12" style="2" customWidth="1"/>
    <col min="25" max="25" width="12.109375" style="107" bestFit="1" customWidth="1"/>
    <col min="26" max="26" width="16.109375" style="107" bestFit="1" customWidth="1"/>
    <col min="27" max="27" width="16.109375" style="107" customWidth="1"/>
    <col min="28" max="16384" width="9.109375" style="2"/>
  </cols>
  <sheetData>
    <row r="1" spans="1:27">
      <c r="A1" s="1" t="s">
        <v>61</v>
      </c>
      <c r="B1" s="2" t="s">
        <v>162</v>
      </c>
      <c r="J1" s="107"/>
      <c r="K1" s="107"/>
      <c r="O1" s="107"/>
      <c r="P1" s="107"/>
      <c r="Q1" s="107"/>
      <c r="R1" s="107"/>
      <c r="S1" s="107"/>
      <c r="T1" s="107"/>
      <c r="U1" s="107"/>
      <c r="V1" s="107"/>
      <c r="W1" s="107"/>
      <c r="X1" s="107"/>
    </row>
    <row r="2" spans="1:27">
      <c r="I2" s="116"/>
    </row>
    <row r="3" spans="1:27">
      <c r="E3" s="115"/>
    </row>
    <row r="4" spans="1:27" ht="15.75" customHeight="1">
      <c r="A4" s="98" t="s">
        <v>139</v>
      </c>
      <c r="B4" s="98" t="s">
        <v>7</v>
      </c>
      <c r="C4" s="98" t="s">
        <v>8</v>
      </c>
      <c r="D4" s="98" t="s">
        <v>10</v>
      </c>
      <c r="E4" s="98" t="s">
        <v>11</v>
      </c>
      <c r="F4" s="98" t="s">
        <v>290</v>
      </c>
      <c r="G4" s="98" t="s">
        <v>351</v>
      </c>
      <c r="H4" s="98" t="s">
        <v>300</v>
      </c>
      <c r="I4" s="98" t="s">
        <v>293</v>
      </c>
      <c r="J4" s="98" t="s">
        <v>352</v>
      </c>
      <c r="K4" s="98" t="s">
        <v>294</v>
      </c>
      <c r="L4" s="98" t="s">
        <v>339</v>
      </c>
      <c r="M4" s="98" t="s">
        <v>340</v>
      </c>
      <c r="N4" s="98" t="s">
        <v>341</v>
      </c>
      <c r="O4" s="98" t="s">
        <v>342</v>
      </c>
      <c r="P4" s="98" t="s">
        <v>343</v>
      </c>
      <c r="Q4" s="98" t="s">
        <v>344</v>
      </c>
      <c r="R4" s="98" t="s">
        <v>345</v>
      </c>
      <c r="S4" s="98" t="s">
        <v>346</v>
      </c>
      <c r="T4" s="98" t="s">
        <v>347</v>
      </c>
      <c r="U4" s="98" t="s">
        <v>348</v>
      </c>
      <c r="V4" s="98" t="s">
        <v>349</v>
      </c>
      <c r="W4" s="98" t="s">
        <v>350</v>
      </c>
      <c r="X4" s="119"/>
      <c r="Y4" s="98" t="s">
        <v>291</v>
      </c>
      <c r="Z4" s="98" t="s">
        <v>292</v>
      </c>
      <c r="AA4" s="119"/>
    </row>
    <row r="5" spans="1:27">
      <c r="A5" s="112" t="s">
        <v>78</v>
      </c>
      <c r="B5" s="112"/>
      <c r="C5" s="112"/>
      <c r="D5" s="114"/>
      <c r="E5" s="114"/>
      <c r="F5" s="113"/>
      <c r="G5" s="113"/>
      <c r="H5" s="113"/>
      <c r="I5" s="113"/>
      <c r="J5" s="112"/>
      <c r="K5" s="112"/>
    </row>
    <row r="6" spans="1:27">
      <c r="A6" s="101" t="str">
        <f>Technologies!B154</f>
        <v>*</v>
      </c>
      <c r="B6" s="101" t="str">
        <f>Technologies!C154</f>
        <v>XELCMXE</v>
      </c>
      <c r="C6" s="101" t="str">
        <f>Technologies!D154</f>
        <v>Electricity Imports from R0  to R9</v>
      </c>
      <c r="D6" s="104" t="str">
        <f t="shared" ref="D6:D14" si="0">MID(B6,2,5)</f>
        <v>ELCMX</v>
      </c>
      <c r="E6" s="104" t="str">
        <f>Commodities!$C$28</f>
        <v>ELC</v>
      </c>
      <c r="F6" s="110">
        <v>2010</v>
      </c>
      <c r="G6" s="110">
        <v>50</v>
      </c>
      <c r="H6" s="110">
        <f>Z6/Y6</f>
        <v>1</v>
      </c>
      <c r="I6" s="120">
        <f>International!N41</f>
        <v>0.40799999999999997</v>
      </c>
      <c r="J6" s="110">
        <v>0</v>
      </c>
      <c r="K6" s="110"/>
      <c r="L6" s="117">
        <f>International!N86</f>
        <v>1</v>
      </c>
      <c r="M6" s="117">
        <f>L6</f>
        <v>1</v>
      </c>
      <c r="N6" s="117">
        <f>L6</f>
        <v>1</v>
      </c>
      <c r="O6" s="118">
        <f t="shared" ref="O6:O14" si="1">L6</f>
        <v>1</v>
      </c>
      <c r="P6" s="117">
        <f>International!N71</f>
        <v>1</v>
      </c>
      <c r="Q6" s="117">
        <f t="shared" ref="Q6:Q14" si="2">P6</f>
        <v>1</v>
      </c>
      <c r="R6" s="117">
        <f t="shared" ref="R6:R14" si="3">P6</f>
        <v>1</v>
      </c>
      <c r="S6" s="118">
        <f>P6</f>
        <v>1</v>
      </c>
      <c r="T6" s="117">
        <f>International!N56</f>
        <v>1</v>
      </c>
      <c r="U6" s="117">
        <f t="shared" ref="U6:U14" si="4">T6</f>
        <v>1</v>
      </c>
      <c r="V6" s="117">
        <f t="shared" ref="V6:V14" si="5">T6</f>
        <v>1</v>
      </c>
      <c r="W6" s="118">
        <f t="shared" ref="W6:W14" si="6">T6</f>
        <v>1</v>
      </c>
      <c r="X6" s="107"/>
      <c r="Y6" s="107">
        <v>1</v>
      </c>
      <c r="Z6" s="107">
        <v>1</v>
      </c>
    </row>
    <row r="7" spans="1:27">
      <c r="A7" s="101" t="str">
        <f>Technologies!B155</f>
        <v>*</v>
      </c>
      <c r="B7" s="101" t="str">
        <f>Technologies!C155</f>
        <v>XELCBCE</v>
      </c>
      <c r="C7" s="101" t="str">
        <f>Technologies!D155</f>
        <v>Electricity Imports from R0  to R9</v>
      </c>
      <c r="D7" s="104" t="str">
        <f t="shared" si="0"/>
        <v>ELCBC</v>
      </c>
      <c r="E7" s="104" t="str">
        <f>Commodities!$C$28</f>
        <v>ELC</v>
      </c>
      <c r="F7" s="110">
        <v>2010</v>
      </c>
      <c r="G7" s="110">
        <v>50</v>
      </c>
      <c r="H7" s="110">
        <f t="shared" ref="H7:H14" si="7">Z7/Y7</f>
        <v>1</v>
      </c>
      <c r="I7" s="120">
        <f>International!N42</f>
        <v>2</v>
      </c>
      <c r="J7" s="110">
        <v>0</v>
      </c>
      <c r="K7" s="110"/>
      <c r="L7" s="117">
        <f>International!N87</f>
        <v>1</v>
      </c>
      <c r="M7" s="117">
        <f t="shared" ref="M7:M14" si="8">L7</f>
        <v>1</v>
      </c>
      <c r="N7" s="117">
        <f t="shared" ref="N7:N14" si="9">L7</f>
        <v>1</v>
      </c>
      <c r="O7" s="118">
        <f t="shared" si="1"/>
        <v>1</v>
      </c>
      <c r="P7" s="117">
        <f>International!N72</f>
        <v>1</v>
      </c>
      <c r="Q7" s="117">
        <f t="shared" si="2"/>
        <v>1</v>
      </c>
      <c r="R7" s="117">
        <f t="shared" si="3"/>
        <v>1</v>
      </c>
      <c r="S7" s="118">
        <f t="shared" ref="S7:S14" si="10">P7</f>
        <v>1</v>
      </c>
      <c r="T7" s="117">
        <f>International!N57</f>
        <v>1</v>
      </c>
      <c r="U7" s="117">
        <f t="shared" si="4"/>
        <v>1</v>
      </c>
      <c r="V7" s="117">
        <f t="shared" si="5"/>
        <v>1</v>
      </c>
      <c r="W7" s="118">
        <f t="shared" si="6"/>
        <v>1</v>
      </c>
      <c r="X7" s="107"/>
      <c r="Y7" s="107">
        <v>1</v>
      </c>
      <c r="Z7" s="107">
        <v>1</v>
      </c>
    </row>
    <row r="8" spans="1:27">
      <c r="A8" s="101" t="str">
        <f>Technologies!B156</f>
        <v>*</v>
      </c>
      <c r="B8" s="101" t="str">
        <f>Technologies!C156</f>
        <v>XELCMAE</v>
      </c>
      <c r="C8" s="101" t="str">
        <f>Technologies!D156</f>
        <v>Electricity Imports from R0 (Manitoba) to R4</v>
      </c>
      <c r="D8" s="104" t="str">
        <f t="shared" si="0"/>
        <v>ELCMA</v>
      </c>
      <c r="E8" s="104" t="str">
        <f>Commodities!$C$28</f>
        <v>ELC</v>
      </c>
      <c r="F8" s="110">
        <v>2010</v>
      </c>
      <c r="G8" s="110">
        <v>50</v>
      </c>
      <c r="H8" s="110">
        <f t="shared" si="7"/>
        <v>1</v>
      </c>
      <c r="I8" s="120">
        <f>International!M43</f>
        <v>0.65</v>
      </c>
      <c r="J8" s="110">
        <v>0</v>
      </c>
      <c r="K8" s="110"/>
      <c r="L8" s="117">
        <f>International!M88</f>
        <v>1</v>
      </c>
      <c r="M8" s="117">
        <f t="shared" si="8"/>
        <v>1</v>
      </c>
      <c r="N8" s="117">
        <f t="shared" si="9"/>
        <v>1</v>
      </c>
      <c r="O8" s="118">
        <f t="shared" si="1"/>
        <v>1</v>
      </c>
      <c r="P8" s="117">
        <f>International!M73</f>
        <v>1</v>
      </c>
      <c r="Q8" s="117">
        <f t="shared" si="2"/>
        <v>1</v>
      </c>
      <c r="R8" s="117">
        <f t="shared" si="3"/>
        <v>1</v>
      </c>
      <c r="S8" s="118">
        <f t="shared" si="10"/>
        <v>1</v>
      </c>
      <c r="T8" s="117">
        <f>International!M58</f>
        <v>1</v>
      </c>
      <c r="U8" s="117">
        <f t="shared" si="4"/>
        <v>1</v>
      </c>
      <c r="V8" s="117">
        <f t="shared" si="5"/>
        <v>1</v>
      </c>
      <c r="W8" s="118">
        <f t="shared" si="6"/>
        <v>1</v>
      </c>
      <c r="X8" s="107"/>
      <c r="Y8" s="107">
        <v>1</v>
      </c>
      <c r="Z8" s="107">
        <v>1</v>
      </c>
    </row>
    <row r="9" spans="1:27">
      <c r="A9" s="101" t="str">
        <f>Technologies!B157</f>
        <v>*</v>
      </c>
      <c r="B9" s="101" t="str">
        <f>Technologies!C157</f>
        <v>XELCONE</v>
      </c>
      <c r="C9" s="101" t="str">
        <f>Technologies!D157</f>
        <v>Electricity Imports from R0 (Ontario) to R2</v>
      </c>
      <c r="D9" s="104" t="str">
        <f t="shared" si="0"/>
        <v>ELCON</v>
      </c>
      <c r="E9" s="104" t="str">
        <f>Commodities!$C$28</f>
        <v>ELC</v>
      </c>
      <c r="F9" s="110">
        <v>2010</v>
      </c>
      <c r="G9" s="110">
        <v>50</v>
      </c>
      <c r="H9" s="110">
        <f t="shared" si="7"/>
        <v>1</v>
      </c>
      <c r="I9" s="120">
        <f>International!K44</f>
        <v>1.95</v>
      </c>
      <c r="J9" s="110">
        <v>0</v>
      </c>
      <c r="K9" s="110"/>
      <c r="L9" s="117">
        <f>International!K89</f>
        <v>0.99358974358974361</v>
      </c>
      <c r="M9" s="117">
        <f t="shared" si="8"/>
        <v>0.99358974358974361</v>
      </c>
      <c r="N9" s="117">
        <f t="shared" si="9"/>
        <v>0.99358974358974361</v>
      </c>
      <c r="O9" s="118">
        <f t="shared" si="1"/>
        <v>0.99358974358974361</v>
      </c>
      <c r="P9" s="117">
        <f>International!K74</f>
        <v>0.98717948717948723</v>
      </c>
      <c r="Q9" s="117">
        <f t="shared" si="2"/>
        <v>0.98717948717948723</v>
      </c>
      <c r="R9" s="117">
        <f t="shared" si="3"/>
        <v>0.98717948717948723</v>
      </c>
      <c r="S9" s="118">
        <f t="shared" si="10"/>
        <v>0.98717948717948723</v>
      </c>
      <c r="T9" s="117">
        <f>International!K59</f>
        <v>1</v>
      </c>
      <c r="U9" s="117">
        <f t="shared" si="4"/>
        <v>1</v>
      </c>
      <c r="V9" s="117">
        <f t="shared" si="5"/>
        <v>1</v>
      </c>
      <c r="W9" s="118">
        <f t="shared" si="6"/>
        <v>1</v>
      </c>
      <c r="X9" s="107"/>
      <c r="Y9" s="107">
        <v>1</v>
      </c>
      <c r="Z9" s="107">
        <v>1</v>
      </c>
    </row>
    <row r="10" spans="1:27">
      <c r="A10" s="101" t="str">
        <f>Technologies!B158</f>
        <v>*</v>
      </c>
      <c r="B10" s="101" t="str">
        <f>Technologies!C158</f>
        <v>XELCONE</v>
      </c>
      <c r="C10" s="101" t="str">
        <f>Technologies!D158</f>
        <v>Electricity Imports from R0 (Ontario) to R3</v>
      </c>
      <c r="D10" s="104" t="str">
        <f t="shared" si="0"/>
        <v>ELCON</v>
      </c>
      <c r="E10" s="104" t="str">
        <f>Commodities!$C$28</f>
        <v>ELC</v>
      </c>
      <c r="F10" s="110">
        <v>2010</v>
      </c>
      <c r="G10" s="110">
        <v>50</v>
      </c>
      <c r="H10" s="110">
        <f t="shared" si="7"/>
        <v>1</v>
      </c>
      <c r="I10" s="120">
        <f>International!L44</f>
        <v>2</v>
      </c>
      <c r="J10" s="110">
        <v>0</v>
      </c>
      <c r="K10" s="110"/>
      <c r="L10" s="117">
        <f>International!L89</f>
        <v>0.9375</v>
      </c>
      <c r="M10" s="117">
        <f t="shared" si="8"/>
        <v>0.9375</v>
      </c>
      <c r="N10" s="117">
        <f t="shared" si="9"/>
        <v>0.9375</v>
      </c>
      <c r="O10" s="118">
        <f t="shared" si="1"/>
        <v>0.9375</v>
      </c>
      <c r="P10" s="117">
        <f>International!L74</f>
        <v>1</v>
      </c>
      <c r="Q10" s="117">
        <f t="shared" si="2"/>
        <v>1</v>
      </c>
      <c r="R10" s="117">
        <f t="shared" si="3"/>
        <v>1</v>
      </c>
      <c r="S10" s="118">
        <f t="shared" si="10"/>
        <v>1</v>
      </c>
      <c r="T10" s="117">
        <f>International!L59</f>
        <v>0.875</v>
      </c>
      <c r="U10" s="117">
        <f t="shared" si="4"/>
        <v>0.875</v>
      </c>
      <c r="V10" s="117">
        <f t="shared" si="5"/>
        <v>0.875</v>
      </c>
      <c r="W10" s="118">
        <f t="shared" si="6"/>
        <v>0.875</v>
      </c>
      <c r="X10" s="107"/>
      <c r="Y10" s="107">
        <v>1</v>
      </c>
      <c r="Z10" s="107">
        <v>1</v>
      </c>
    </row>
    <row r="11" spans="1:27">
      <c r="A11" s="101" t="str">
        <f>Technologies!B159</f>
        <v>*</v>
      </c>
      <c r="B11" s="101" t="str">
        <f>Technologies!C159</f>
        <v>XELCONE</v>
      </c>
      <c r="C11" s="101" t="str">
        <f>Technologies!D159</f>
        <v>Electricity Imports from R0 (Ontario) to R4</v>
      </c>
      <c r="D11" s="104" t="str">
        <f t="shared" si="0"/>
        <v>ELCON</v>
      </c>
      <c r="E11" s="104" t="str">
        <f>Commodities!$C$28</f>
        <v>ELC</v>
      </c>
      <c r="F11" s="110">
        <v>2010</v>
      </c>
      <c r="G11" s="110">
        <v>50</v>
      </c>
      <c r="H11" s="110">
        <f t="shared" si="7"/>
        <v>1</v>
      </c>
      <c r="I11" s="120">
        <f>International!M44</f>
        <v>0.1</v>
      </c>
      <c r="J11" s="110">
        <v>0</v>
      </c>
      <c r="K11" s="110"/>
      <c r="L11" s="117">
        <f>International!M89</f>
        <v>0.95</v>
      </c>
      <c r="M11" s="117">
        <f t="shared" si="8"/>
        <v>0.95</v>
      </c>
      <c r="N11" s="117">
        <f t="shared" si="9"/>
        <v>0.95</v>
      </c>
      <c r="O11" s="118">
        <f t="shared" si="1"/>
        <v>0.95</v>
      </c>
      <c r="P11" s="117">
        <f>International!M74</f>
        <v>1</v>
      </c>
      <c r="Q11" s="117">
        <f t="shared" si="2"/>
        <v>1</v>
      </c>
      <c r="R11" s="117">
        <f t="shared" si="3"/>
        <v>1</v>
      </c>
      <c r="S11" s="118">
        <f t="shared" si="10"/>
        <v>1</v>
      </c>
      <c r="T11" s="117">
        <f>International!M59</f>
        <v>0.89999999999999991</v>
      </c>
      <c r="U11" s="117">
        <f t="shared" si="4"/>
        <v>0.89999999999999991</v>
      </c>
      <c r="V11" s="117">
        <f t="shared" si="5"/>
        <v>0.89999999999999991</v>
      </c>
      <c r="W11" s="118">
        <f t="shared" si="6"/>
        <v>0.89999999999999991</v>
      </c>
      <c r="X11" s="107"/>
      <c r="Y11" s="107">
        <v>1</v>
      </c>
      <c r="Z11" s="107">
        <v>1</v>
      </c>
    </row>
    <row r="12" spans="1:27">
      <c r="A12" s="101" t="str">
        <f>Technologies!B160</f>
        <v>R1</v>
      </c>
      <c r="B12" s="101" t="str">
        <f>Technologies!C160</f>
        <v>XELCQUE</v>
      </c>
      <c r="C12" s="101" t="str">
        <f>Technologies!D160</f>
        <v>Electricity Imports from R0 (Quebec) to R1</v>
      </c>
      <c r="D12" s="104" t="str">
        <f t="shared" si="0"/>
        <v>ELCQU</v>
      </c>
      <c r="E12" s="104" t="str">
        <f>Commodities!$C$28</f>
        <v>ELC</v>
      </c>
      <c r="F12" s="110">
        <v>2010</v>
      </c>
      <c r="G12" s="110">
        <v>50</v>
      </c>
      <c r="H12" s="110">
        <f t="shared" si="7"/>
        <v>1</v>
      </c>
      <c r="I12" s="120">
        <v>180</v>
      </c>
      <c r="J12" s="110">
        <v>0</v>
      </c>
      <c r="K12" s="110"/>
      <c r="L12" s="117">
        <f>International!J90</f>
        <v>0.90127388535031838</v>
      </c>
      <c r="M12" s="117">
        <f t="shared" si="8"/>
        <v>0.90127388535031838</v>
      </c>
      <c r="N12" s="117">
        <f t="shared" si="9"/>
        <v>0.90127388535031838</v>
      </c>
      <c r="O12" s="118">
        <f t="shared" si="1"/>
        <v>0.90127388535031838</v>
      </c>
      <c r="P12" s="117">
        <f>International!J75</f>
        <v>0.80254777070063688</v>
      </c>
      <c r="Q12" s="117">
        <f t="shared" si="2"/>
        <v>0.80254777070063688</v>
      </c>
      <c r="R12" s="117">
        <f t="shared" si="3"/>
        <v>0.80254777070063688</v>
      </c>
      <c r="S12" s="118">
        <f t="shared" si="10"/>
        <v>0.80254777070063688</v>
      </c>
      <c r="T12" s="117">
        <f>International!J60</f>
        <v>1</v>
      </c>
      <c r="U12" s="117">
        <f t="shared" si="4"/>
        <v>1</v>
      </c>
      <c r="V12" s="117">
        <f t="shared" si="5"/>
        <v>1</v>
      </c>
      <c r="W12" s="118">
        <f t="shared" si="6"/>
        <v>1</v>
      </c>
      <c r="X12" s="107"/>
      <c r="Y12" s="107">
        <v>1</v>
      </c>
      <c r="Z12" s="107">
        <v>1</v>
      </c>
    </row>
    <row r="13" spans="1:27">
      <c r="A13" s="101" t="str">
        <f>Technologies!B161</f>
        <v>*</v>
      </c>
      <c r="B13" s="101" t="str">
        <f>Technologies!C161</f>
        <v>XELCQUE</v>
      </c>
      <c r="C13" s="101" t="str">
        <f>Technologies!D161</f>
        <v>Electricity Imports from R0 (Quebec) to R2</v>
      </c>
      <c r="D13" s="104" t="str">
        <f t="shared" si="0"/>
        <v>ELCQU</v>
      </c>
      <c r="E13" s="104" t="str">
        <f>Commodities!$C$28</f>
        <v>ELC</v>
      </c>
      <c r="F13" s="110">
        <v>2010</v>
      </c>
      <c r="G13" s="110">
        <v>50</v>
      </c>
      <c r="H13" s="110">
        <f t="shared" si="7"/>
        <v>1</v>
      </c>
      <c r="I13" s="120">
        <f>International!K45</f>
        <v>1.9</v>
      </c>
      <c r="J13" s="110">
        <v>0</v>
      </c>
      <c r="K13" s="110"/>
      <c r="L13" s="117">
        <f>International!K90</f>
        <v>0.76315789473684204</v>
      </c>
      <c r="M13" s="117">
        <f t="shared" si="8"/>
        <v>0.76315789473684204</v>
      </c>
      <c r="N13" s="117">
        <f t="shared" si="9"/>
        <v>0.76315789473684204</v>
      </c>
      <c r="O13" s="118">
        <f t="shared" si="1"/>
        <v>0.76315789473684204</v>
      </c>
      <c r="P13" s="117">
        <f>International!K75</f>
        <v>1</v>
      </c>
      <c r="Q13" s="117">
        <f t="shared" si="2"/>
        <v>1</v>
      </c>
      <c r="R13" s="117">
        <f t="shared" si="3"/>
        <v>1</v>
      </c>
      <c r="S13" s="118">
        <f t="shared" si="10"/>
        <v>1</v>
      </c>
      <c r="T13" s="117">
        <f>International!K60</f>
        <v>0.52631578947368418</v>
      </c>
      <c r="U13" s="117">
        <f t="shared" si="4"/>
        <v>0.52631578947368418</v>
      </c>
      <c r="V13" s="117">
        <f t="shared" si="5"/>
        <v>0.52631578947368418</v>
      </c>
      <c r="W13" s="118">
        <f t="shared" si="6"/>
        <v>0.52631578947368418</v>
      </c>
      <c r="X13" s="107"/>
      <c r="Y13" s="107">
        <v>1</v>
      </c>
      <c r="Z13" s="107">
        <v>1</v>
      </c>
    </row>
    <row r="14" spans="1:27">
      <c r="A14" s="101" t="str">
        <f>Technologies!B162</f>
        <v>R1</v>
      </c>
      <c r="B14" s="101" t="str">
        <f>Technologies!C162</f>
        <v>XELCNBE</v>
      </c>
      <c r="C14" s="101" t="str">
        <f>Technologies!D162</f>
        <v>Electricity Imports from R0 (New Brunswick) to R1</v>
      </c>
      <c r="D14" s="104" t="str">
        <f t="shared" si="0"/>
        <v>ELCNB</v>
      </c>
      <c r="E14" s="104" t="str">
        <f>Commodities!$C$28</f>
        <v>ELC</v>
      </c>
      <c r="F14" s="110">
        <v>2010</v>
      </c>
      <c r="G14" s="110">
        <v>50</v>
      </c>
      <c r="H14" s="110">
        <f t="shared" si="7"/>
        <v>1</v>
      </c>
      <c r="I14" s="120">
        <v>0</v>
      </c>
      <c r="J14" s="110">
        <v>0</v>
      </c>
      <c r="K14" s="110"/>
      <c r="L14" s="117">
        <f>International!J91</f>
        <v>0.71052631578947367</v>
      </c>
      <c r="M14" s="117">
        <f t="shared" si="8"/>
        <v>0.71052631578947367</v>
      </c>
      <c r="N14" s="117">
        <f t="shared" si="9"/>
        <v>0.71052631578947367</v>
      </c>
      <c r="O14" s="118">
        <f t="shared" si="1"/>
        <v>0.71052631578947367</v>
      </c>
      <c r="P14" s="117">
        <f>International!J76</f>
        <v>1</v>
      </c>
      <c r="Q14" s="117">
        <f t="shared" si="2"/>
        <v>1</v>
      </c>
      <c r="R14" s="117">
        <f t="shared" si="3"/>
        <v>1</v>
      </c>
      <c r="S14" s="118">
        <f t="shared" si="10"/>
        <v>1</v>
      </c>
      <c r="T14" s="117">
        <f>International!J61</f>
        <v>0.4210526315789474</v>
      </c>
      <c r="U14" s="117">
        <f t="shared" si="4"/>
        <v>0.4210526315789474</v>
      </c>
      <c r="V14" s="117">
        <f t="shared" si="5"/>
        <v>0.4210526315789474</v>
      </c>
      <c r="W14" s="118">
        <f t="shared" si="6"/>
        <v>0.4210526315789474</v>
      </c>
      <c r="X14" s="107"/>
      <c r="Y14" s="107">
        <v>1</v>
      </c>
      <c r="Z14" s="107">
        <v>1</v>
      </c>
    </row>
    <row r="15" spans="1:27">
      <c r="A15" s="112" t="s">
        <v>79</v>
      </c>
      <c r="B15" s="112"/>
      <c r="C15" s="112"/>
      <c r="D15" s="114"/>
      <c r="E15" s="114"/>
      <c r="F15" s="113"/>
      <c r="G15" s="113"/>
      <c r="H15" s="113"/>
      <c r="I15" s="113"/>
      <c r="J15" s="113"/>
      <c r="K15" s="113"/>
      <c r="X15" s="107"/>
    </row>
    <row r="16" spans="1:27">
      <c r="A16" s="101" t="str">
        <f>Technologies!B164</f>
        <v>*</v>
      </c>
      <c r="B16" s="101" t="str">
        <f>Technologies!C164</f>
        <v>XELCMXN</v>
      </c>
      <c r="C16" s="101" t="str">
        <f>Technologies!D164</f>
        <v>Electricity Imports from R0  to R9</v>
      </c>
      <c r="D16" s="104" t="str">
        <f t="shared" ref="D16:D24" si="11">MID(B16,2,5)</f>
        <v>ELCMX</v>
      </c>
      <c r="E16" s="104" t="str">
        <f>Commodities!$C$28</f>
        <v>ELC</v>
      </c>
      <c r="F16" s="110">
        <v>2010</v>
      </c>
      <c r="G16" s="110">
        <v>50</v>
      </c>
      <c r="H16" s="110">
        <f>Z16/Y16</f>
        <v>1</v>
      </c>
      <c r="I16" s="110"/>
      <c r="J16" s="110" t="str">
        <f t="shared" ref="J16:J24" si="12">IF($A16="",0,"")</f>
        <v/>
      </c>
      <c r="K16" s="110">
        <v>999</v>
      </c>
      <c r="L16" s="117">
        <f>International!N86</f>
        <v>1</v>
      </c>
      <c r="M16" s="117">
        <f t="shared" ref="M16:M24" si="13">L16</f>
        <v>1</v>
      </c>
      <c r="N16" s="117">
        <f t="shared" ref="N16:N24" si="14">L16</f>
        <v>1</v>
      </c>
      <c r="O16" s="118">
        <f t="shared" ref="O16:O24" si="15">L16</f>
        <v>1</v>
      </c>
      <c r="P16" s="117">
        <f>International!N71</f>
        <v>1</v>
      </c>
      <c r="Q16" s="117">
        <f t="shared" ref="Q16:Q24" si="16">P16</f>
        <v>1</v>
      </c>
      <c r="R16" s="117">
        <f t="shared" ref="R16:R24" si="17">P16</f>
        <v>1</v>
      </c>
      <c r="S16" s="118">
        <f t="shared" ref="S16:S24" si="18">P16</f>
        <v>1</v>
      </c>
      <c r="T16" s="117">
        <f>International!N56</f>
        <v>1</v>
      </c>
      <c r="U16" s="117">
        <f t="shared" ref="U16:U24" si="19">T16</f>
        <v>1</v>
      </c>
      <c r="V16" s="117">
        <f t="shared" ref="V16:V24" si="20">T16</f>
        <v>1</v>
      </c>
      <c r="W16" s="118">
        <f>T16</f>
        <v>1</v>
      </c>
      <c r="X16" s="107"/>
      <c r="Y16" s="107">
        <v>1</v>
      </c>
      <c r="Z16" s="107">
        <v>1</v>
      </c>
    </row>
    <row r="17" spans="1:26">
      <c r="A17" s="101" t="str">
        <f>Technologies!B165</f>
        <v>*</v>
      </c>
      <c r="B17" s="101" t="str">
        <f>Technologies!C165</f>
        <v>XELCBCN</v>
      </c>
      <c r="C17" s="101" t="str">
        <f>Technologies!D165</f>
        <v>Electricity Imports from R0  to R9</v>
      </c>
      <c r="D17" s="104" t="str">
        <f t="shared" si="11"/>
        <v>ELCBC</v>
      </c>
      <c r="E17" s="104" t="str">
        <f>Commodities!$C$28</f>
        <v>ELC</v>
      </c>
      <c r="F17" s="110">
        <v>2010</v>
      </c>
      <c r="G17" s="110">
        <v>50</v>
      </c>
      <c r="H17" s="110">
        <f t="shared" ref="H17:H24" si="21">Z17/Y17</f>
        <v>1</v>
      </c>
      <c r="I17" s="110"/>
      <c r="J17" s="110" t="str">
        <f t="shared" si="12"/>
        <v/>
      </c>
      <c r="K17" s="110">
        <v>999</v>
      </c>
      <c r="L17" s="117">
        <f>International!N87</f>
        <v>1</v>
      </c>
      <c r="M17" s="117">
        <f t="shared" si="13"/>
        <v>1</v>
      </c>
      <c r="N17" s="117">
        <f t="shared" si="14"/>
        <v>1</v>
      </c>
      <c r="O17" s="118">
        <f t="shared" si="15"/>
        <v>1</v>
      </c>
      <c r="P17" s="117">
        <f>International!N72</f>
        <v>1</v>
      </c>
      <c r="Q17" s="117">
        <f t="shared" si="16"/>
        <v>1</v>
      </c>
      <c r="R17" s="117">
        <f t="shared" si="17"/>
        <v>1</v>
      </c>
      <c r="S17" s="118">
        <f t="shared" si="18"/>
        <v>1</v>
      </c>
      <c r="T17" s="117">
        <f>International!N57</f>
        <v>1</v>
      </c>
      <c r="U17" s="117">
        <f t="shared" si="19"/>
        <v>1</v>
      </c>
      <c r="V17" s="117">
        <f t="shared" si="20"/>
        <v>1</v>
      </c>
      <c r="W17" s="118">
        <f t="shared" ref="W17:W24" si="22">T17</f>
        <v>1</v>
      </c>
      <c r="X17" s="107"/>
      <c r="Y17" s="107">
        <v>1</v>
      </c>
      <c r="Z17" s="107">
        <v>1</v>
      </c>
    </row>
    <row r="18" spans="1:26">
      <c r="A18" s="101" t="str">
        <f>Technologies!B166</f>
        <v>*</v>
      </c>
      <c r="B18" s="101" t="str">
        <f>Technologies!C166</f>
        <v>XELCMAN</v>
      </c>
      <c r="C18" s="101" t="str">
        <f>Technologies!D166</f>
        <v>Electricity Imports from R0 (Manitoba) to R4</v>
      </c>
      <c r="D18" s="104" t="str">
        <f t="shared" si="11"/>
        <v>ELCMA</v>
      </c>
      <c r="E18" s="104" t="str">
        <f>Commodities!$C$28</f>
        <v>ELC</v>
      </c>
      <c r="F18" s="110">
        <v>2010</v>
      </c>
      <c r="G18" s="110">
        <v>50</v>
      </c>
      <c r="H18" s="110">
        <f t="shared" si="21"/>
        <v>1</v>
      </c>
      <c r="I18" s="110"/>
      <c r="J18" s="110" t="str">
        <f t="shared" si="12"/>
        <v/>
      </c>
      <c r="K18" s="110">
        <v>999</v>
      </c>
      <c r="L18" s="117">
        <f>International!M88</f>
        <v>1</v>
      </c>
      <c r="M18" s="117">
        <f t="shared" si="13"/>
        <v>1</v>
      </c>
      <c r="N18" s="117">
        <f t="shared" si="14"/>
        <v>1</v>
      </c>
      <c r="O18" s="118">
        <f t="shared" si="15"/>
        <v>1</v>
      </c>
      <c r="P18" s="117">
        <f>International!M73</f>
        <v>1</v>
      </c>
      <c r="Q18" s="117">
        <f t="shared" si="16"/>
        <v>1</v>
      </c>
      <c r="R18" s="117">
        <f t="shared" si="17"/>
        <v>1</v>
      </c>
      <c r="S18" s="118">
        <f t="shared" si="18"/>
        <v>1</v>
      </c>
      <c r="T18" s="117">
        <f>International!M58</f>
        <v>1</v>
      </c>
      <c r="U18" s="117">
        <f t="shared" si="19"/>
        <v>1</v>
      </c>
      <c r="V18" s="117">
        <f t="shared" si="20"/>
        <v>1</v>
      </c>
      <c r="W18" s="118">
        <f t="shared" si="22"/>
        <v>1</v>
      </c>
      <c r="X18" s="107"/>
      <c r="Y18" s="107">
        <v>1</v>
      </c>
      <c r="Z18" s="107">
        <v>1</v>
      </c>
    </row>
    <row r="19" spans="1:26">
      <c r="A19" s="101" t="str">
        <f>Technologies!B167</f>
        <v>*</v>
      </c>
      <c r="B19" s="101" t="str">
        <f>Technologies!C167</f>
        <v>XELCONN</v>
      </c>
      <c r="C19" s="101" t="str">
        <f>Technologies!D167</f>
        <v>Electricity Imports from R0 (Ontario) to R2</v>
      </c>
      <c r="D19" s="104" t="str">
        <f t="shared" si="11"/>
        <v>ELCON</v>
      </c>
      <c r="E19" s="104" t="str">
        <f>Commodities!$C$28</f>
        <v>ELC</v>
      </c>
      <c r="F19" s="110">
        <v>2010</v>
      </c>
      <c r="G19" s="110">
        <v>50</v>
      </c>
      <c r="H19" s="110">
        <f t="shared" si="21"/>
        <v>1</v>
      </c>
      <c r="I19" s="110"/>
      <c r="J19" s="110" t="str">
        <f t="shared" si="12"/>
        <v/>
      </c>
      <c r="K19" s="110">
        <v>999</v>
      </c>
      <c r="L19" s="117">
        <f>International!K89</f>
        <v>0.99358974358974361</v>
      </c>
      <c r="M19" s="117">
        <f t="shared" si="13"/>
        <v>0.99358974358974361</v>
      </c>
      <c r="N19" s="117">
        <f t="shared" si="14"/>
        <v>0.99358974358974361</v>
      </c>
      <c r="O19" s="118">
        <f t="shared" si="15"/>
        <v>0.99358974358974361</v>
      </c>
      <c r="P19" s="117">
        <f>International!K74</f>
        <v>0.98717948717948723</v>
      </c>
      <c r="Q19" s="117">
        <f t="shared" si="16"/>
        <v>0.98717948717948723</v>
      </c>
      <c r="R19" s="117">
        <f t="shared" si="17"/>
        <v>0.98717948717948723</v>
      </c>
      <c r="S19" s="118">
        <f t="shared" si="18"/>
        <v>0.98717948717948723</v>
      </c>
      <c r="T19" s="117">
        <f>International!K59</f>
        <v>1</v>
      </c>
      <c r="U19" s="117">
        <f t="shared" si="19"/>
        <v>1</v>
      </c>
      <c r="V19" s="117">
        <f t="shared" si="20"/>
        <v>1</v>
      </c>
      <c r="W19" s="118">
        <f t="shared" si="22"/>
        <v>1</v>
      </c>
      <c r="X19" s="107"/>
      <c r="Y19" s="107">
        <v>1</v>
      </c>
      <c r="Z19" s="107">
        <v>1</v>
      </c>
    </row>
    <row r="20" spans="1:26">
      <c r="A20" s="101" t="str">
        <f>Technologies!B168</f>
        <v>*</v>
      </c>
      <c r="B20" s="101" t="str">
        <f>Technologies!C168</f>
        <v>XELCONN</v>
      </c>
      <c r="C20" s="101" t="str">
        <f>Technologies!D168</f>
        <v>Electricity Imports from R0 (Ontario) to R3</v>
      </c>
      <c r="D20" s="104" t="str">
        <f t="shared" si="11"/>
        <v>ELCON</v>
      </c>
      <c r="E20" s="104" t="str">
        <f>Commodities!$C$28</f>
        <v>ELC</v>
      </c>
      <c r="F20" s="110">
        <v>2010</v>
      </c>
      <c r="G20" s="110">
        <v>50</v>
      </c>
      <c r="H20" s="110">
        <f t="shared" si="21"/>
        <v>1</v>
      </c>
      <c r="I20" s="110"/>
      <c r="J20" s="110" t="str">
        <f t="shared" si="12"/>
        <v/>
      </c>
      <c r="K20" s="110">
        <v>999</v>
      </c>
      <c r="L20" s="117">
        <f>International!L89</f>
        <v>0.9375</v>
      </c>
      <c r="M20" s="117">
        <f t="shared" si="13"/>
        <v>0.9375</v>
      </c>
      <c r="N20" s="117">
        <f t="shared" si="14"/>
        <v>0.9375</v>
      </c>
      <c r="O20" s="118">
        <f t="shared" si="15"/>
        <v>0.9375</v>
      </c>
      <c r="P20" s="117">
        <f>International!L74</f>
        <v>1</v>
      </c>
      <c r="Q20" s="117">
        <f t="shared" si="16"/>
        <v>1</v>
      </c>
      <c r="R20" s="117">
        <f t="shared" si="17"/>
        <v>1</v>
      </c>
      <c r="S20" s="118">
        <f t="shared" si="18"/>
        <v>1</v>
      </c>
      <c r="T20" s="117">
        <f>International!L59</f>
        <v>0.875</v>
      </c>
      <c r="U20" s="117">
        <f t="shared" si="19"/>
        <v>0.875</v>
      </c>
      <c r="V20" s="117">
        <f t="shared" si="20"/>
        <v>0.875</v>
      </c>
      <c r="W20" s="118">
        <f t="shared" si="22"/>
        <v>0.875</v>
      </c>
      <c r="X20" s="107"/>
      <c r="Y20" s="107">
        <v>1</v>
      </c>
      <c r="Z20" s="107">
        <v>1</v>
      </c>
    </row>
    <row r="21" spans="1:26">
      <c r="A21" s="101" t="str">
        <f>Technologies!B169</f>
        <v>*</v>
      </c>
      <c r="B21" s="101" t="str">
        <f>Technologies!C169</f>
        <v>XELCONN</v>
      </c>
      <c r="C21" s="101" t="str">
        <f>Technologies!D169</f>
        <v>Electricity Imports from R0 (Ontario) to R4</v>
      </c>
      <c r="D21" s="104" t="str">
        <f t="shared" si="11"/>
        <v>ELCON</v>
      </c>
      <c r="E21" s="104" t="str">
        <f>Commodities!$C$28</f>
        <v>ELC</v>
      </c>
      <c r="F21" s="110">
        <v>2010</v>
      </c>
      <c r="G21" s="110">
        <v>50</v>
      </c>
      <c r="H21" s="110">
        <f t="shared" si="21"/>
        <v>1</v>
      </c>
      <c r="I21" s="110"/>
      <c r="J21" s="110" t="str">
        <f t="shared" si="12"/>
        <v/>
      </c>
      <c r="K21" s="110">
        <v>999</v>
      </c>
      <c r="L21" s="117">
        <f>International!M89</f>
        <v>0.95</v>
      </c>
      <c r="M21" s="117">
        <f t="shared" si="13"/>
        <v>0.95</v>
      </c>
      <c r="N21" s="117">
        <f t="shared" si="14"/>
        <v>0.95</v>
      </c>
      <c r="O21" s="118">
        <f t="shared" si="15"/>
        <v>0.95</v>
      </c>
      <c r="P21" s="117">
        <f>International!M74</f>
        <v>1</v>
      </c>
      <c r="Q21" s="117">
        <f t="shared" si="16"/>
        <v>1</v>
      </c>
      <c r="R21" s="117">
        <f t="shared" si="17"/>
        <v>1</v>
      </c>
      <c r="S21" s="118">
        <f t="shared" si="18"/>
        <v>1</v>
      </c>
      <c r="T21" s="117">
        <f>International!M59</f>
        <v>0.89999999999999991</v>
      </c>
      <c r="U21" s="117">
        <f t="shared" si="19"/>
        <v>0.89999999999999991</v>
      </c>
      <c r="V21" s="117">
        <f t="shared" si="20"/>
        <v>0.89999999999999991</v>
      </c>
      <c r="W21" s="118">
        <f t="shared" si="22"/>
        <v>0.89999999999999991</v>
      </c>
      <c r="X21" s="107"/>
      <c r="Y21" s="107">
        <v>1</v>
      </c>
      <c r="Z21" s="107">
        <v>1</v>
      </c>
    </row>
    <row r="22" spans="1:26">
      <c r="A22" s="101" t="str">
        <f>Technologies!B170</f>
        <v>R1</v>
      </c>
      <c r="B22" s="101" t="str">
        <f>Technologies!C170</f>
        <v>XELCQUN</v>
      </c>
      <c r="C22" s="101" t="str">
        <f>Technologies!D170</f>
        <v>Electricity Imports from R0 (Quebec) to R1</v>
      </c>
      <c r="D22" s="104" t="str">
        <f t="shared" si="11"/>
        <v>ELCQU</v>
      </c>
      <c r="E22" s="104" t="str">
        <f>Commodities!$C$28</f>
        <v>ELC</v>
      </c>
      <c r="F22" s="110">
        <v>2010</v>
      </c>
      <c r="G22" s="110">
        <v>50</v>
      </c>
      <c r="H22" s="110">
        <f t="shared" si="21"/>
        <v>1</v>
      </c>
      <c r="I22" s="110"/>
      <c r="J22" s="110" t="str">
        <f t="shared" si="12"/>
        <v/>
      </c>
      <c r="K22" s="110">
        <v>999</v>
      </c>
      <c r="L22" s="117">
        <f>International!J90</f>
        <v>0.90127388535031838</v>
      </c>
      <c r="M22" s="117">
        <f t="shared" si="13"/>
        <v>0.90127388535031838</v>
      </c>
      <c r="N22" s="117">
        <f t="shared" si="14"/>
        <v>0.90127388535031838</v>
      </c>
      <c r="O22" s="118">
        <f t="shared" si="15"/>
        <v>0.90127388535031838</v>
      </c>
      <c r="P22" s="117">
        <f>International!J75</f>
        <v>0.80254777070063688</v>
      </c>
      <c r="Q22" s="117">
        <f t="shared" si="16"/>
        <v>0.80254777070063688</v>
      </c>
      <c r="R22" s="117">
        <f t="shared" si="17"/>
        <v>0.80254777070063688</v>
      </c>
      <c r="S22" s="118">
        <f t="shared" si="18"/>
        <v>0.80254777070063688</v>
      </c>
      <c r="T22" s="117">
        <f>International!J60</f>
        <v>1</v>
      </c>
      <c r="U22" s="117">
        <f t="shared" si="19"/>
        <v>1</v>
      </c>
      <c r="V22" s="117">
        <f t="shared" si="20"/>
        <v>1</v>
      </c>
      <c r="W22" s="118">
        <f t="shared" si="22"/>
        <v>1</v>
      </c>
      <c r="X22" s="107"/>
      <c r="Y22" s="107">
        <v>1</v>
      </c>
      <c r="Z22" s="107">
        <v>1</v>
      </c>
    </row>
    <row r="23" spans="1:26">
      <c r="A23" s="101" t="str">
        <f>Technologies!B171</f>
        <v>*</v>
      </c>
      <c r="B23" s="101" t="str">
        <f>Technologies!C171</f>
        <v>XELCQUN</v>
      </c>
      <c r="C23" s="101" t="str">
        <f>Technologies!D171</f>
        <v>Electricity Imports from R0 (Quebec) to R2</v>
      </c>
      <c r="D23" s="104" t="str">
        <f t="shared" si="11"/>
        <v>ELCQU</v>
      </c>
      <c r="E23" s="104" t="str">
        <f>Commodities!$C$28</f>
        <v>ELC</v>
      </c>
      <c r="F23" s="110">
        <v>2010</v>
      </c>
      <c r="G23" s="110">
        <v>50</v>
      </c>
      <c r="H23" s="110">
        <f t="shared" si="21"/>
        <v>1</v>
      </c>
      <c r="I23" s="110"/>
      <c r="J23" s="110" t="str">
        <f t="shared" si="12"/>
        <v/>
      </c>
      <c r="K23" s="110">
        <v>999</v>
      </c>
      <c r="L23" s="117">
        <f>International!K90</f>
        <v>0.76315789473684204</v>
      </c>
      <c r="M23" s="117">
        <f t="shared" si="13"/>
        <v>0.76315789473684204</v>
      </c>
      <c r="N23" s="117">
        <f t="shared" si="14"/>
        <v>0.76315789473684204</v>
      </c>
      <c r="O23" s="118">
        <f t="shared" si="15"/>
        <v>0.76315789473684204</v>
      </c>
      <c r="P23" s="117">
        <f>International!K75</f>
        <v>1</v>
      </c>
      <c r="Q23" s="117">
        <f t="shared" si="16"/>
        <v>1</v>
      </c>
      <c r="R23" s="117">
        <f t="shared" si="17"/>
        <v>1</v>
      </c>
      <c r="S23" s="118">
        <f t="shared" si="18"/>
        <v>1</v>
      </c>
      <c r="T23" s="117">
        <f>International!K60</f>
        <v>0.52631578947368418</v>
      </c>
      <c r="U23" s="117">
        <f t="shared" si="19"/>
        <v>0.52631578947368418</v>
      </c>
      <c r="V23" s="117">
        <f t="shared" si="20"/>
        <v>0.52631578947368418</v>
      </c>
      <c r="W23" s="118">
        <f t="shared" si="22"/>
        <v>0.52631578947368418</v>
      </c>
      <c r="X23" s="107"/>
      <c r="Y23" s="107">
        <v>1</v>
      </c>
      <c r="Z23" s="107">
        <v>1</v>
      </c>
    </row>
    <row r="24" spans="1:26">
      <c r="A24" s="101" t="str">
        <f>Technologies!B172</f>
        <v>R1</v>
      </c>
      <c r="B24" s="101" t="str">
        <f>Technologies!C172</f>
        <v>XELCNBN</v>
      </c>
      <c r="C24" s="101" t="str">
        <f>Technologies!D172</f>
        <v>Electricity Imports from R0 (New Brunswick) to R1</v>
      </c>
      <c r="D24" s="104" t="str">
        <f t="shared" si="11"/>
        <v>ELCNB</v>
      </c>
      <c r="E24" s="104" t="str">
        <f>Commodities!$C$28</f>
        <v>ELC</v>
      </c>
      <c r="F24" s="110">
        <v>2010</v>
      </c>
      <c r="G24" s="110">
        <v>50</v>
      </c>
      <c r="H24" s="110">
        <f t="shared" si="21"/>
        <v>1</v>
      </c>
      <c r="I24" s="110"/>
      <c r="J24" s="110" t="str">
        <f t="shared" si="12"/>
        <v/>
      </c>
      <c r="K24" s="110">
        <v>999</v>
      </c>
      <c r="L24" s="117">
        <f>International!J91</f>
        <v>0.71052631578947367</v>
      </c>
      <c r="M24" s="117">
        <f t="shared" si="13"/>
        <v>0.71052631578947367</v>
      </c>
      <c r="N24" s="117">
        <f t="shared" si="14"/>
        <v>0.71052631578947367</v>
      </c>
      <c r="O24" s="118">
        <f t="shared" si="15"/>
        <v>0.71052631578947367</v>
      </c>
      <c r="P24" s="117">
        <f>International!J76</f>
        <v>1</v>
      </c>
      <c r="Q24" s="117">
        <f t="shared" si="16"/>
        <v>1</v>
      </c>
      <c r="R24" s="117">
        <f t="shared" si="17"/>
        <v>1</v>
      </c>
      <c r="S24" s="118">
        <f t="shared" si="18"/>
        <v>1</v>
      </c>
      <c r="T24" s="117">
        <f>International!J61</f>
        <v>0.4210526315789474</v>
      </c>
      <c r="U24" s="117">
        <f t="shared" si="19"/>
        <v>0.4210526315789474</v>
      </c>
      <c r="V24" s="117">
        <f t="shared" si="20"/>
        <v>0.4210526315789474</v>
      </c>
      <c r="W24" s="118">
        <f t="shared" si="22"/>
        <v>0.4210526315789474</v>
      </c>
      <c r="X24" s="107"/>
      <c r="Y24" s="107">
        <v>1</v>
      </c>
      <c r="Z24" s="107">
        <v>1</v>
      </c>
    </row>
    <row r="25" spans="1:26">
      <c r="D25" s="99"/>
      <c r="E25" s="99"/>
    </row>
    <row r="26" spans="1:26">
      <c r="D26" s="99"/>
      <c r="E26" s="99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tabColor rgb="FFFFC000"/>
  </sheetPr>
  <dimension ref="A1:Z42"/>
  <sheetViews>
    <sheetView zoomScale="75" workbookViewId="0">
      <selection activeCell="M18" sqref="A13:M18"/>
    </sheetView>
  </sheetViews>
  <sheetFormatPr defaultColWidth="16.5546875" defaultRowHeight="13.2"/>
  <cols>
    <col min="1" max="1" width="22.6640625" style="109" bestFit="1" customWidth="1"/>
    <col min="2" max="2" width="21.44140625" style="109" bestFit="1" customWidth="1"/>
    <col min="3" max="3" width="34.33203125" style="109" bestFit="1" customWidth="1"/>
    <col min="4" max="4" width="8.6640625" style="109" bestFit="1" customWidth="1"/>
    <col min="5" max="5" width="11.109375" style="109" bestFit="1" customWidth="1"/>
    <col min="6" max="6" width="4.5546875" style="109" bestFit="1" customWidth="1"/>
    <col min="7" max="7" width="11.6640625" style="109" bestFit="1" customWidth="1"/>
    <col min="8" max="8" width="15.33203125" style="109" bestFit="1" customWidth="1"/>
    <col min="9" max="9" width="11.6640625" style="109" bestFit="1" customWidth="1"/>
    <col min="10" max="10" width="15.33203125" style="109" bestFit="1" customWidth="1"/>
    <col min="11" max="11" width="11.6640625" style="109" bestFit="1" customWidth="1"/>
    <col min="12" max="12" width="15.33203125" style="109" bestFit="1" customWidth="1"/>
    <col min="13" max="13" width="11.6640625" style="109" bestFit="1" customWidth="1"/>
    <col min="14" max="14" width="15.33203125" style="109" bestFit="1" customWidth="1"/>
    <col min="15" max="15" width="11.6640625" style="109" bestFit="1" customWidth="1"/>
    <col min="16" max="16" width="15.33203125" style="109" bestFit="1" customWidth="1"/>
    <col min="17" max="17" width="11.6640625" style="109" bestFit="1" customWidth="1"/>
    <col min="18" max="18" width="15.33203125" style="109" bestFit="1" customWidth="1"/>
    <col min="19" max="19" width="11.6640625" style="109" bestFit="1" customWidth="1"/>
    <col min="20" max="20" width="15.33203125" style="109" bestFit="1" customWidth="1"/>
    <col min="21" max="21" width="11.6640625" style="109" bestFit="1" customWidth="1"/>
    <col min="22" max="22" width="15.33203125" style="109" bestFit="1" customWidth="1"/>
    <col min="23" max="23" width="11.6640625" style="109" bestFit="1" customWidth="1"/>
    <col min="24" max="24" width="15.33203125" style="109" bestFit="1" customWidth="1"/>
    <col min="25" max="25" width="11.6640625" style="109" bestFit="1" customWidth="1"/>
    <col min="26" max="26" width="15.33203125" style="109" bestFit="1" customWidth="1"/>
    <col min="27" max="16384" width="16.5546875" style="109"/>
  </cols>
  <sheetData>
    <row r="1" spans="1:26">
      <c r="A1" s="1" t="s">
        <v>61</v>
      </c>
      <c r="B1" s="109" t="s">
        <v>162</v>
      </c>
    </row>
    <row r="3" spans="1:26">
      <c r="E3" s="115"/>
    </row>
    <row r="4" spans="1:26" ht="15.75" customHeight="1">
      <c r="A4" s="98" t="s">
        <v>139</v>
      </c>
      <c r="B4" s="98" t="s">
        <v>7</v>
      </c>
      <c r="C4" s="98" t="s">
        <v>8</v>
      </c>
      <c r="D4" s="98" t="s">
        <v>9</v>
      </c>
      <c r="E4" s="98" t="s">
        <v>11</v>
      </c>
      <c r="F4" s="98" t="s">
        <v>300</v>
      </c>
      <c r="G4" s="98" t="s">
        <v>302</v>
      </c>
      <c r="H4" s="98" t="s">
        <v>296</v>
      </c>
      <c r="I4" s="98" t="s">
        <v>304</v>
      </c>
      <c r="J4" s="98" t="s">
        <v>303</v>
      </c>
      <c r="K4" s="98" t="s">
        <v>311</v>
      </c>
      <c r="L4" s="98" t="s">
        <v>305</v>
      </c>
      <c r="M4" s="98" t="s">
        <v>312</v>
      </c>
      <c r="N4" s="98" t="s">
        <v>306</v>
      </c>
      <c r="O4" s="98" t="s">
        <v>313</v>
      </c>
      <c r="P4" s="98" t="s">
        <v>307</v>
      </c>
      <c r="Q4" s="98" t="s">
        <v>314</v>
      </c>
      <c r="R4" s="98" t="s">
        <v>308</v>
      </c>
      <c r="S4" s="98" t="s">
        <v>315</v>
      </c>
      <c r="T4" s="98" t="s">
        <v>309</v>
      </c>
      <c r="U4" s="98" t="s">
        <v>316</v>
      </c>
      <c r="V4" s="98" t="s">
        <v>310</v>
      </c>
      <c r="W4" s="98" t="s">
        <v>317</v>
      </c>
      <c r="X4" s="98" t="s">
        <v>318</v>
      </c>
      <c r="Y4" s="98" t="s">
        <v>319</v>
      </c>
      <c r="Z4" s="98" t="s">
        <v>297</v>
      </c>
    </row>
    <row r="5" spans="1:26" ht="15.75" customHeight="1">
      <c r="A5" s="125" t="s">
        <v>80</v>
      </c>
      <c r="B5" s="125"/>
      <c r="C5" s="125"/>
      <c r="D5" s="126"/>
      <c r="E5" s="126"/>
      <c r="F5" s="126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5">
        <f>W5</f>
        <v>0</v>
      </c>
      <c r="Z5" s="125">
        <f>X5</f>
        <v>0</v>
      </c>
    </row>
    <row r="6" spans="1:26">
      <c r="A6" s="121" t="str">
        <f>Technologies!B174</f>
        <v>* Not Available</v>
      </c>
      <c r="B6" s="121" t="str">
        <f>Technologies!$C174</f>
        <v>IMPELCMX1</v>
      </c>
      <c r="C6" s="121" t="str">
        <f>Technologies!$D174</f>
        <v>Imported Electricity Price Step 1 - MX</v>
      </c>
      <c r="D6" s="106" t="s">
        <v>62</v>
      </c>
      <c r="E6" s="106" t="str">
        <f>Commodities!$C$19</f>
        <v>ELCMX</v>
      </c>
      <c r="F6" s="106">
        <v>1</v>
      </c>
      <c r="G6" s="122">
        <f>International!F103</f>
        <v>25</v>
      </c>
      <c r="H6" s="122">
        <f>International!R103</f>
        <v>19.955677577590944</v>
      </c>
      <c r="I6" s="122">
        <f>International!G103</f>
        <v>25</v>
      </c>
      <c r="J6" s="122">
        <f>International!S103</f>
        <v>19.955677577590944</v>
      </c>
      <c r="K6" s="122">
        <f>International!H103</f>
        <v>25</v>
      </c>
      <c r="L6" s="122">
        <f>International!T103</f>
        <v>19.955677577590944</v>
      </c>
      <c r="M6" s="122">
        <f>International!I103</f>
        <v>25</v>
      </c>
      <c r="N6" s="122">
        <f>International!U103</f>
        <v>19.955677577590944</v>
      </c>
      <c r="O6" s="122">
        <f>International!J103</f>
        <v>25</v>
      </c>
      <c r="P6" s="122">
        <f>International!V103</f>
        <v>19.955677577590944</v>
      </c>
      <c r="Q6" s="122">
        <f>International!K103</f>
        <v>25</v>
      </c>
      <c r="R6" s="122">
        <f>International!W103</f>
        <v>19.955677577590944</v>
      </c>
      <c r="S6" s="122">
        <f>International!L103</f>
        <v>25</v>
      </c>
      <c r="T6" s="122">
        <f>International!X103</f>
        <v>19.955677577590944</v>
      </c>
      <c r="U6" s="122">
        <f>International!M103</f>
        <v>25</v>
      </c>
      <c r="V6" s="122">
        <f>International!Y103</f>
        <v>19.955677577590944</v>
      </c>
      <c r="W6" s="122">
        <f>International!N103</f>
        <v>25</v>
      </c>
      <c r="X6" s="122">
        <f>International!Z103</f>
        <v>19.955677577590944</v>
      </c>
      <c r="Y6" s="122">
        <f t="shared" ref="Y6:Y39" si="0">W6</f>
        <v>25</v>
      </c>
      <c r="Z6" s="122">
        <f t="shared" ref="Z6:Z39" si="1">X6</f>
        <v>19.955677577590944</v>
      </c>
    </row>
    <row r="7" spans="1:26">
      <c r="A7" s="121" t="str">
        <f>Technologies!B175</f>
        <v>* Not Available</v>
      </c>
      <c r="B7" s="121" t="str">
        <f>Technologies!$C175</f>
        <v>IMPELCMX2</v>
      </c>
      <c r="C7" s="121" t="str">
        <f>Technologies!$D175</f>
        <v>Imported Electricity Price Step 2 - MX</v>
      </c>
      <c r="D7" s="106" t="s">
        <v>62</v>
      </c>
      <c r="E7" s="106" t="str">
        <f>Commodities!$C$19</f>
        <v>ELCMX</v>
      </c>
      <c r="F7" s="106">
        <v>1</v>
      </c>
      <c r="G7" s="122">
        <f>International!F104</f>
        <v>0</v>
      </c>
      <c r="H7" s="122">
        <f>International!R104</f>
        <v>0</v>
      </c>
      <c r="I7" s="122">
        <f>International!G104</f>
        <v>0</v>
      </c>
      <c r="J7" s="122">
        <f>International!S104</f>
        <v>0</v>
      </c>
      <c r="K7" s="122">
        <f>International!H104</f>
        <v>0</v>
      </c>
      <c r="L7" s="122">
        <f>International!T104</f>
        <v>0</v>
      </c>
      <c r="M7" s="122">
        <f>International!I104</f>
        <v>0</v>
      </c>
      <c r="N7" s="122">
        <f>International!U104</f>
        <v>0</v>
      </c>
      <c r="O7" s="122">
        <f>International!J104</f>
        <v>0</v>
      </c>
      <c r="P7" s="122">
        <f>International!V104</f>
        <v>0</v>
      </c>
      <c r="Q7" s="122">
        <f>International!K104</f>
        <v>0</v>
      </c>
      <c r="R7" s="122">
        <f>International!W104</f>
        <v>0</v>
      </c>
      <c r="S7" s="122">
        <f>International!L104</f>
        <v>0</v>
      </c>
      <c r="T7" s="122">
        <f>International!X104</f>
        <v>0</v>
      </c>
      <c r="U7" s="122">
        <f>International!M104</f>
        <v>0</v>
      </c>
      <c r="V7" s="122">
        <f>International!Y104</f>
        <v>0</v>
      </c>
      <c r="W7" s="122">
        <f>International!N104</f>
        <v>0</v>
      </c>
      <c r="X7" s="122">
        <f>International!Z104</f>
        <v>0</v>
      </c>
      <c r="Y7" s="122">
        <f t="shared" si="0"/>
        <v>0</v>
      </c>
      <c r="Z7" s="122">
        <f t="shared" si="1"/>
        <v>0</v>
      </c>
    </row>
    <row r="8" spans="1:26">
      <c r="A8" s="121" t="str">
        <f>Technologies!B176</f>
        <v>* Not Available</v>
      </c>
      <c r="B8" s="121" t="str">
        <f>Technologies!$C176</f>
        <v>IMPELCMX3</v>
      </c>
      <c r="C8" s="121" t="str">
        <f>Technologies!$D176</f>
        <v>Imported Electricity Price Step 3 - MX</v>
      </c>
      <c r="D8" s="106" t="s">
        <v>62</v>
      </c>
      <c r="E8" s="106" t="str">
        <f>Commodities!$C$19</f>
        <v>ELCMX</v>
      </c>
      <c r="F8" s="106">
        <v>1</v>
      </c>
      <c r="G8" s="122">
        <f>International!F105</f>
        <v>0</v>
      </c>
      <c r="H8" s="122">
        <f>International!R105</f>
        <v>0</v>
      </c>
      <c r="I8" s="122">
        <f>International!G105</f>
        <v>0</v>
      </c>
      <c r="J8" s="122">
        <f>International!S105</f>
        <v>0</v>
      </c>
      <c r="K8" s="122">
        <f>International!H105</f>
        <v>0</v>
      </c>
      <c r="L8" s="122">
        <f>International!T105</f>
        <v>0</v>
      </c>
      <c r="M8" s="122">
        <f>International!I105</f>
        <v>0</v>
      </c>
      <c r="N8" s="122">
        <f>International!U105</f>
        <v>0</v>
      </c>
      <c r="O8" s="122">
        <f>International!J105</f>
        <v>0</v>
      </c>
      <c r="P8" s="122">
        <f>International!V105</f>
        <v>0</v>
      </c>
      <c r="Q8" s="122">
        <f>International!K105</f>
        <v>0</v>
      </c>
      <c r="R8" s="122">
        <f>International!W105</f>
        <v>0</v>
      </c>
      <c r="S8" s="122">
        <f>International!L105</f>
        <v>0</v>
      </c>
      <c r="T8" s="122">
        <f>International!X105</f>
        <v>0</v>
      </c>
      <c r="U8" s="122">
        <f>International!M105</f>
        <v>0</v>
      </c>
      <c r="V8" s="122">
        <f>International!Y105</f>
        <v>0</v>
      </c>
      <c r="W8" s="122">
        <f>International!N105</f>
        <v>0</v>
      </c>
      <c r="X8" s="122">
        <f>International!Z105</f>
        <v>0</v>
      </c>
      <c r="Y8" s="122">
        <f t="shared" si="0"/>
        <v>0</v>
      </c>
      <c r="Z8" s="122">
        <f t="shared" si="1"/>
        <v>0</v>
      </c>
    </row>
    <row r="9" spans="1:26">
      <c r="A9" s="121" t="str">
        <f>Technologies!B177</f>
        <v>* Not Available</v>
      </c>
      <c r="B9" s="121" t="str">
        <f>Technologies!$C177</f>
        <v>IMPELCBC1</v>
      </c>
      <c r="C9" s="121" t="str">
        <f>Technologies!$D177</f>
        <v>Imported Electricity Price Step 1 - BC</v>
      </c>
      <c r="D9" s="106" t="s">
        <v>62</v>
      </c>
      <c r="E9" s="106" t="str">
        <f>Commodities!$C$20</f>
        <v>ELCBC</v>
      </c>
      <c r="F9" s="106">
        <v>1</v>
      </c>
      <c r="G9" s="122">
        <f>International!F106</f>
        <v>25</v>
      </c>
      <c r="H9" s="122">
        <f>International!R106</f>
        <v>97.821948909759527</v>
      </c>
      <c r="I9" s="122">
        <f>International!G106</f>
        <v>25</v>
      </c>
      <c r="J9" s="122">
        <f>International!S106</f>
        <v>97.821948909759527</v>
      </c>
      <c r="K9" s="122">
        <f>International!H106</f>
        <v>25</v>
      </c>
      <c r="L9" s="122">
        <f>International!T106</f>
        <v>97.821948909759527</v>
      </c>
      <c r="M9" s="122">
        <f>International!I106</f>
        <v>25</v>
      </c>
      <c r="N9" s="122">
        <f>International!U106</f>
        <v>97.821948909759527</v>
      </c>
      <c r="O9" s="122">
        <f>International!J106</f>
        <v>25</v>
      </c>
      <c r="P9" s="122">
        <f>International!V106</f>
        <v>97.821948909759527</v>
      </c>
      <c r="Q9" s="122">
        <f>International!K106</f>
        <v>25</v>
      </c>
      <c r="R9" s="122">
        <f>International!W106</f>
        <v>97.821948909759527</v>
      </c>
      <c r="S9" s="122">
        <f>International!L106</f>
        <v>25</v>
      </c>
      <c r="T9" s="122">
        <f>International!X106</f>
        <v>97.821948909759527</v>
      </c>
      <c r="U9" s="122">
        <f>International!M106</f>
        <v>25</v>
      </c>
      <c r="V9" s="122">
        <f>International!Y106</f>
        <v>97.821948909759527</v>
      </c>
      <c r="W9" s="122">
        <f>International!N106</f>
        <v>25</v>
      </c>
      <c r="X9" s="122">
        <f>International!Z106</f>
        <v>97.821948909759527</v>
      </c>
      <c r="Y9" s="122">
        <f t="shared" si="0"/>
        <v>25</v>
      </c>
      <c r="Z9" s="122">
        <f t="shared" si="1"/>
        <v>97.821948909759527</v>
      </c>
    </row>
    <row r="10" spans="1:26">
      <c r="A10" s="121" t="str">
        <f>Technologies!B178</f>
        <v>* Not Available</v>
      </c>
      <c r="B10" s="121" t="str">
        <f>Technologies!$C178</f>
        <v>IMPELCBC2</v>
      </c>
      <c r="C10" s="121" t="str">
        <f>Technologies!$D178</f>
        <v>Imported Electricity Price Step 2 - BC</v>
      </c>
      <c r="D10" s="106" t="s">
        <v>62</v>
      </c>
      <c r="E10" s="106" t="str">
        <f>Commodities!$C$20</f>
        <v>ELCBC</v>
      </c>
      <c r="F10" s="106">
        <v>1</v>
      </c>
      <c r="G10" s="122">
        <f>International!F107</f>
        <v>0</v>
      </c>
      <c r="H10" s="122">
        <f>International!R107</f>
        <v>0</v>
      </c>
      <c r="I10" s="122">
        <f>International!G107</f>
        <v>0</v>
      </c>
      <c r="J10" s="122">
        <f>International!S107</f>
        <v>0</v>
      </c>
      <c r="K10" s="122">
        <f>International!H107</f>
        <v>0</v>
      </c>
      <c r="L10" s="122">
        <f>International!T107</f>
        <v>0</v>
      </c>
      <c r="M10" s="122">
        <f>International!I107</f>
        <v>0</v>
      </c>
      <c r="N10" s="122">
        <f>International!U107</f>
        <v>0</v>
      </c>
      <c r="O10" s="122">
        <f>International!J107</f>
        <v>0</v>
      </c>
      <c r="P10" s="122">
        <f>International!V107</f>
        <v>0</v>
      </c>
      <c r="Q10" s="122">
        <f>International!K107</f>
        <v>0</v>
      </c>
      <c r="R10" s="122">
        <f>International!W107</f>
        <v>0</v>
      </c>
      <c r="S10" s="122">
        <f>International!L107</f>
        <v>0</v>
      </c>
      <c r="T10" s="122">
        <f>International!X107</f>
        <v>0</v>
      </c>
      <c r="U10" s="122">
        <f>International!M107</f>
        <v>0</v>
      </c>
      <c r="V10" s="122">
        <f>International!Y107</f>
        <v>0</v>
      </c>
      <c r="W10" s="122">
        <f>International!N107</f>
        <v>0</v>
      </c>
      <c r="X10" s="122">
        <f>International!Z107</f>
        <v>0</v>
      </c>
      <c r="Y10" s="122">
        <f t="shared" si="0"/>
        <v>0</v>
      </c>
      <c r="Z10" s="122">
        <f t="shared" si="1"/>
        <v>0</v>
      </c>
    </row>
    <row r="11" spans="1:26">
      <c r="A11" s="121" t="str">
        <f>Technologies!B179</f>
        <v>* Not Available</v>
      </c>
      <c r="B11" s="121" t="str">
        <f>Technologies!$C179</f>
        <v>IMPELCBC3</v>
      </c>
      <c r="C11" s="121" t="str">
        <f>Technologies!$D179</f>
        <v>Imported Electricity Price Step 3 - BC</v>
      </c>
      <c r="D11" s="106" t="s">
        <v>62</v>
      </c>
      <c r="E11" s="106" t="str">
        <f>Commodities!$C$20</f>
        <v>ELCBC</v>
      </c>
      <c r="F11" s="106">
        <v>1</v>
      </c>
      <c r="G11" s="122">
        <f>International!F108</f>
        <v>0</v>
      </c>
      <c r="H11" s="122">
        <f>International!R108</f>
        <v>0</v>
      </c>
      <c r="I11" s="122">
        <f>International!G108</f>
        <v>0</v>
      </c>
      <c r="J11" s="122">
        <f>International!S108</f>
        <v>0</v>
      </c>
      <c r="K11" s="122">
        <f>International!H108</f>
        <v>0</v>
      </c>
      <c r="L11" s="122">
        <f>International!T108</f>
        <v>0</v>
      </c>
      <c r="M11" s="122">
        <f>International!I108</f>
        <v>0</v>
      </c>
      <c r="N11" s="122">
        <f>International!U108</f>
        <v>0</v>
      </c>
      <c r="O11" s="122">
        <f>International!J108</f>
        <v>0</v>
      </c>
      <c r="P11" s="122">
        <f>International!V108</f>
        <v>0</v>
      </c>
      <c r="Q11" s="122">
        <f>International!K108</f>
        <v>0</v>
      </c>
      <c r="R11" s="122">
        <f>International!W108</f>
        <v>0</v>
      </c>
      <c r="S11" s="122">
        <f>International!L108</f>
        <v>0</v>
      </c>
      <c r="T11" s="122">
        <f>International!X108</f>
        <v>0</v>
      </c>
      <c r="U11" s="122">
        <f>International!M108</f>
        <v>0</v>
      </c>
      <c r="V11" s="122">
        <f>International!Y108</f>
        <v>0</v>
      </c>
      <c r="W11" s="122">
        <f>International!N108</f>
        <v>0</v>
      </c>
      <c r="X11" s="122">
        <f>International!Z108</f>
        <v>0</v>
      </c>
      <c r="Y11" s="122">
        <f t="shared" si="0"/>
        <v>0</v>
      </c>
      <c r="Z11" s="122">
        <f t="shared" si="1"/>
        <v>0</v>
      </c>
    </row>
    <row r="12" spans="1:26">
      <c r="A12" s="121" t="str">
        <f>Technologies!B180</f>
        <v>* Not Available</v>
      </c>
      <c r="B12" s="121" t="str">
        <f>Technologies!$C180</f>
        <v>IMPELCMA1</v>
      </c>
      <c r="C12" s="121" t="str">
        <f>Technologies!$D180</f>
        <v>Imported Electricity Price Step 1 - MA</v>
      </c>
      <c r="D12" s="106" t="s">
        <v>62</v>
      </c>
      <c r="E12" s="106" t="str">
        <f>Commodities!$C$21</f>
        <v>ELCMA</v>
      </c>
      <c r="F12" s="106">
        <v>1</v>
      </c>
      <c r="G12" s="122">
        <f>International!F109</f>
        <v>25</v>
      </c>
      <c r="H12" s="122">
        <f>International!R109</f>
        <v>31.174438533782958</v>
      </c>
      <c r="I12" s="122">
        <f>International!G109</f>
        <v>25</v>
      </c>
      <c r="J12" s="122">
        <f>International!S109</f>
        <v>31.174438533782958</v>
      </c>
      <c r="K12" s="122">
        <f>International!H109</f>
        <v>25</v>
      </c>
      <c r="L12" s="122">
        <f>International!T109</f>
        <v>31.174438533782958</v>
      </c>
      <c r="M12" s="122">
        <f>International!I109</f>
        <v>25</v>
      </c>
      <c r="N12" s="122">
        <f>International!U109</f>
        <v>31.174438533782958</v>
      </c>
      <c r="O12" s="122">
        <f>International!J109</f>
        <v>25</v>
      </c>
      <c r="P12" s="122">
        <f>International!V109</f>
        <v>31.174438533782958</v>
      </c>
      <c r="Q12" s="122">
        <f>International!K109</f>
        <v>25</v>
      </c>
      <c r="R12" s="122">
        <f>International!W109</f>
        <v>31.174438533782958</v>
      </c>
      <c r="S12" s="122">
        <f>International!L109</f>
        <v>25</v>
      </c>
      <c r="T12" s="122">
        <f>International!X109</f>
        <v>31.174438533782958</v>
      </c>
      <c r="U12" s="122">
        <f>International!M109</f>
        <v>25</v>
      </c>
      <c r="V12" s="122">
        <f>International!Y109</f>
        <v>31.174438533782958</v>
      </c>
      <c r="W12" s="122">
        <f>International!N109</f>
        <v>25</v>
      </c>
      <c r="X12" s="122">
        <f>International!Z109</f>
        <v>31.174438533782958</v>
      </c>
      <c r="Y12" s="122">
        <f t="shared" si="0"/>
        <v>25</v>
      </c>
      <c r="Z12" s="122">
        <f t="shared" si="1"/>
        <v>31.174438533782958</v>
      </c>
    </row>
    <row r="13" spans="1:26">
      <c r="A13" s="121" t="str">
        <f>Technologies!B181</f>
        <v>* Not Available</v>
      </c>
      <c r="B13" s="121" t="str">
        <f>Technologies!$C181</f>
        <v>IMPELCMA2</v>
      </c>
      <c r="C13" s="121" t="str">
        <f>Technologies!$D181</f>
        <v>Imported Electricity Price Step 2 - MA</v>
      </c>
      <c r="D13" s="106" t="s">
        <v>62</v>
      </c>
      <c r="E13" s="106" t="str">
        <f>Commodities!$C$21</f>
        <v>ELCMA</v>
      </c>
      <c r="F13" s="106">
        <v>1</v>
      </c>
      <c r="G13" s="122">
        <f>International!F110</f>
        <v>0</v>
      </c>
      <c r="H13" s="122">
        <f>International!R110</f>
        <v>0</v>
      </c>
      <c r="I13" s="122">
        <f>International!G110</f>
        <v>0</v>
      </c>
      <c r="J13" s="122">
        <f>International!S110</f>
        <v>0</v>
      </c>
      <c r="K13" s="122">
        <f>International!H110</f>
        <v>0</v>
      </c>
      <c r="L13" s="122">
        <f>International!T110</f>
        <v>0</v>
      </c>
      <c r="M13" s="122">
        <f>International!I110</f>
        <v>0</v>
      </c>
      <c r="N13" s="122">
        <f>International!U110</f>
        <v>0</v>
      </c>
      <c r="O13" s="122">
        <f>International!J110</f>
        <v>0</v>
      </c>
      <c r="P13" s="122">
        <f>International!V110</f>
        <v>0</v>
      </c>
      <c r="Q13" s="122">
        <f>International!K110</f>
        <v>0</v>
      </c>
      <c r="R13" s="122">
        <f>International!W110</f>
        <v>0</v>
      </c>
      <c r="S13" s="122">
        <f>International!L110</f>
        <v>0</v>
      </c>
      <c r="T13" s="122">
        <f>International!X110</f>
        <v>0</v>
      </c>
      <c r="U13" s="122">
        <f>International!M110</f>
        <v>0</v>
      </c>
      <c r="V13" s="122">
        <f>International!Y110</f>
        <v>0</v>
      </c>
      <c r="W13" s="122">
        <f>International!N110</f>
        <v>0</v>
      </c>
      <c r="X13" s="122">
        <f>International!Z110</f>
        <v>0</v>
      </c>
      <c r="Y13" s="122">
        <f t="shared" si="0"/>
        <v>0</v>
      </c>
      <c r="Z13" s="122">
        <f t="shared" si="1"/>
        <v>0</v>
      </c>
    </row>
    <row r="14" spans="1:26">
      <c r="A14" s="121" t="str">
        <f>Technologies!B182</f>
        <v>* Not Available</v>
      </c>
      <c r="B14" s="121" t="str">
        <f>Technologies!$C182</f>
        <v>IMPELCMA3</v>
      </c>
      <c r="C14" s="121" t="str">
        <f>Technologies!$D182</f>
        <v>Imported Electricity Price Step 3 - MA</v>
      </c>
      <c r="D14" s="106" t="s">
        <v>62</v>
      </c>
      <c r="E14" s="106" t="str">
        <f>Commodities!$C$21</f>
        <v>ELCMA</v>
      </c>
      <c r="F14" s="106">
        <v>1</v>
      </c>
      <c r="G14" s="122">
        <f>International!F111</f>
        <v>0</v>
      </c>
      <c r="H14" s="122">
        <f>International!R111</f>
        <v>0</v>
      </c>
      <c r="I14" s="122">
        <f>International!G111</f>
        <v>0</v>
      </c>
      <c r="J14" s="122">
        <f>International!S111</f>
        <v>0</v>
      </c>
      <c r="K14" s="122">
        <f>International!H111</f>
        <v>0</v>
      </c>
      <c r="L14" s="122">
        <f>International!T111</f>
        <v>0</v>
      </c>
      <c r="M14" s="122">
        <f>International!I111</f>
        <v>0</v>
      </c>
      <c r="N14" s="122">
        <f>International!U111</f>
        <v>0</v>
      </c>
      <c r="O14" s="122">
        <f>International!J111</f>
        <v>0</v>
      </c>
      <c r="P14" s="122">
        <f>International!V111</f>
        <v>0</v>
      </c>
      <c r="Q14" s="122">
        <f>International!K111</f>
        <v>0</v>
      </c>
      <c r="R14" s="122">
        <f>International!W111</f>
        <v>0</v>
      </c>
      <c r="S14" s="122">
        <f>International!L111</f>
        <v>0</v>
      </c>
      <c r="T14" s="122">
        <f>International!X111</f>
        <v>0</v>
      </c>
      <c r="U14" s="122">
        <f>International!M111</f>
        <v>0</v>
      </c>
      <c r="V14" s="122">
        <f>International!Y111</f>
        <v>0</v>
      </c>
      <c r="W14" s="122">
        <f>International!N111</f>
        <v>0</v>
      </c>
      <c r="X14" s="122">
        <f>International!Z111</f>
        <v>0</v>
      </c>
      <c r="Y14" s="122">
        <f t="shared" si="0"/>
        <v>0</v>
      </c>
      <c r="Z14" s="122">
        <f t="shared" si="1"/>
        <v>0</v>
      </c>
    </row>
    <row r="15" spans="1:26">
      <c r="A15" s="121" t="str">
        <f>Technologies!B183</f>
        <v>R0</v>
      </c>
      <c r="B15" s="121" t="str">
        <f>Technologies!$C183</f>
        <v>IMPELCON1</v>
      </c>
      <c r="C15" s="121" t="str">
        <f>Technologies!$D183</f>
        <v>Imported Electricity Price Step 1 - ON</v>
      </c>
      <c r="D15" s="106" t="s">
        <v>62</v>
      </c>
      <c r="E15" s="106" t="str">
        <f>Commodities!$C$22</f>
        <v>ELCON</v>
      </c>
      <c r="F15" s="106">
        <v>1</v>
      </c>
      <c r="G15" s="122">
        <f>International!F112</f>
        <v>25</v>
      </c>
      <c r="H15" s="122">
        <f>International!R112</f>
        <v>179.73366016387939</v>
      </c>
      <c r="I15" s="122">
        <f>International!G112</f>
        <v>25</v>
      </c>
      <c r="J15" s="122">
        <f>International!S112</f>
        <v>179.73366016387939</v>
      </c>
      <c r="K15" s="122">
        <f>International!H112</f>
        <v>25</v>
      </c>
      <c r="L15" s="122">
        <f>International!T112</f>
        <v>179.73366016387939</v>
      </c>
      <c r="M15" s="122">
        <f>International!I112</f>
        <v>25</v>
      </c>
      <c r="N15" s="122">
        <f>International!U112</f>
        <v>179.73366016387939</v>
      </c>
      <c r="O15" s="122">
        <f>International!J112</f>
        <v>25</v>
      </c>
      <c r="P15" s="122">
        <f>International!V112</f>
        <v>179.73366016387939</v>
      </c>
      <c r="Q15" s="122">
        <f>International!K112</f>
        <v>25</v>
      </c>
      <c r="R15" s="122">
        <f>International!W112</f>
        <v>179.73366016387939</v>
      </c>
      <c r="S15" s="122">
        <f>International!L112</f>
        <v>25</v>
      </c>
      <c r="T15" s="122">
        <f>International!X112</f>
        <v>179.73366016387939</v>
      </c>
      <c r="U15" s="122">
        <f>International!M112</f>
        <v>25</v>
      </c>
      <c r="V15" s="122">
        <f>International!Y112</f>
        <v>179.73366016387939</v>
      </c>
      <c r="W15" s="122">
        <f>International!N112</f>
        <v>25</v>
      </c>
      <c r="X15" s="122">
        <f>International!Z112</f>
        <v>179.73366016387939</v>
      </c>
      <c r="Y15" s="122">
        <f t="shared" si="0"/>
        <v>25</v>
      </c>
      <c r="Z15" s="122">
        <f t="shared" si="1"/>
        <v>179.73366016387939</v>
      </c>
    </row>
    <row r="16" spans="1:26">
      <c r="A16" s="121" t="str">
        <f>Technologies!B184</f>
        <v>* Not Available</v>
      </c>
      <c r="B16" s="121" t="str">
        <f>Technologies!$C184</f>
        <v>IMPELCON2</v>
      </c>
      <c r="C16" s="121" t="str">
        <f>Technologies!$D184</f>
        <v>Imported Electricity Price Step 2 - ON</v>
      </c>
      <c r="D16" s="106" t="s">
        <v>62</v>
      </c>
      <c r="E16" s="106" t="str">
        <f>Commodities!$C$22</f>
        <v>ELCON</v>
      </c>
      <c r="F16" s="106">
        <v>1</v>
      </c>
      <c r="G16" s="122">
        <f>International!F113</f>
        <v>0</v>
      </c>
      <c r="H16" s="122">
        <f>International!R113</f>
        <v>0</v>
      </c>
      <c r="I16" s="122">
        <f>International!G113</f>
        <v>0</v>
      </c>
      <c r="J16" s="122">
        <f>International!S113</f>
        <v>0</v>
      </c>
      <c r="K16" s="122">
        <f>International!H113</f>
        <v>0</v>
      </c>
      <c r="L16" s="122">
        <f>International!T113</f>
        <v>0</v>
      </c>
      <c r="M16" s="122">
        <f>International!I113</f>
        <v>0</v>
      </c>
      <c r="N16" s="122">
        <f>International!U113</f>
        <v>0</v>
      </c>
      <c r="O16" s="122">
        <f>International!J113</f>
        <v>0</v>
      </c>
      <c r="P16" s="122">
        <f>International!V113</f>
        <v>0</v>
      </c>
      <c r="Q16" s="122">
        <f>International!K113</f>
        <v>0</v>
      </c>
      <c r="R16" s="122">
        <f>International!W113</f>
        <v>0</v>
      </c>
      <c r="S16" s="122">
        <f>International!L113</f>
        <v>0</v>
      </c>
      <c r="T16" s="122">
        <f>International!X113</f>
        <v>0</v>
      </c>
      <c r="U16" s="122">
        <f>International!M113</f>
        <v>0</v>
      </c>
      <c r="V16" s="122">
        <f>International!Y113</f>
        <v>0</v>
      </c>
      <c r="W16" s="122">
        <f>International!N113</f>
        <v>0</v>
      </c>
      <c r="X16" s="122">
        <f>International!Z113</f>
        <v>0</v>
      </c>
      <c r="Y16" s="122">
        <f t="shared" si="0"/>
        <v>0</v>
      </c>
      <c r="Z16" s="122">
        <f t="shared" si="1"/>
        <v>0</v>
      </c>
    </row>
    <row r="17" spans="1:26">
      <c r="A17" s="121" t="str">
        <f>Technologies!B185</f>
        <v>* Not Available</v>
      </c>
      <c r="B17" s="121" t="str">
        <f>Technologies!$C185</f>
        <v>IMPELCON3</v>
      </c>
      <c r="C17" s="121" t="str">
        <f>Technologies!$D185</f>
        <v>Imported Electricity Price Step 3 - ON</v>
      </c>
      <c r="D17" s="106" t="s">
        <v>62</v>
      </c>
      <c r="E17" s="106" t="str">
        <f>Commodities!$C$22</f>
        <v>ELCON</v>
      </c>
      <c r="F17" s="106">
        <v>1</v>
      </c>
      <c r="G17" s="122">
        <f>International!F114</f>
        <v>0</v>
      </c>
      <c r="H17" s="122">
        <f>International!R114</f>
        <v>0</v>
      </c>
      <c r="I17" s="122">
        <f>International!G114</f>
        <v>0</v>
      </c>
      <c r="J17" s="122">
        <f>International!S114</f>
        <v>0</v>
      </c>
      <c r="K17" s="122">
        <f>International!H114</f>
        <v>0</v>
      </c>
      <c r="L17" s="122">
        <f>International!T114</f>
        <v>0</v>
      </c>
      <c r="M17" s="122">
        <f>International!I114</f>
        <v>0</v>
      </c>
      <c r="N17" s="122">
        <f>International!U114</f>
        <v>0</v>
      </c>
      <c r="O17" s="122">
        <f>International!J114</f>
        <v>0</v>
      </c>
      <c r="P17" s="122">
        <f>International!V114</f>
        <v>0</v>
      </c>
      <c r="Q17" s="122">
        <f>International!K114</f>
        <v>0</v>
      </c>
      <c r="R17" s="122">
        <f>International!W114</f>
        <v>0</v>
      </c>
      <c r="S17" s="122">
        <f>International!L114</f>
        <v>0</v>
      </c>
      <c r="T17" s="122">
        <f>International!X114</f>
        <v>0</v>
      </c>
      <c r="U17" s="122">
        <f>International!M114</f>
        <v>0</v>
      </c>
      <c r="V17" s="122">
        <f>International!Y114</f>
        <v>0</v>
      </c>
      <c r="W17" s="122">
        <f>International!N114</f>
        <v>0</v>
      </c>
      <c r="X17" s="122">
        <f>International!Z114</f>
        <v>0</v>
      </c>
      <c r="Y17" s="122">
        <f t="shared" si="0"/>
        <v>0</v>
      </c>
      <c r="Z17" s="122">
        <f t="shared" si="1"/>
        <v>0</v>
      </c>
    </row>
    <row r="18" spans="1:26">
      <c r="A18" s="121" t="str">
        <f>Technologies!B186</f>
        <v>R0</v>
      </c>
      <c r="B18" s="121" t="str">
        <f>Technologies!$C186</f>
        <v>IMPELCQU1</v>
      </c>
      <c r="C18" s="121" t="str">
        <f>Technologies!$D186</f>
        <v>Imported Electricity Price Step 1 - QU</v>
      </c>
      <c r="D18" s="106" t="s">
        <v>62</v>
      </c>
      <c r="E18" s="106" t="str">
        <f>Commodities!$C$23</f>
        <v>ELCQU</v>
      </c>
      <c r="F18" s="106">
        <v>1</v>
      </c>
      <c r="G18" s="122">
        <f>International!F115</f>
        <v>25</v>
      </c>
      <c r="H18" s="122">
        <f>International!R115</f>
        <v>161.72549100494385</v>
      </c>
      <c r="I18" s="122">
        <f>International!G115</f>
        <v>25</v>
      </c>
      <c r="J18" s="122">
        <f>International!S115</f>
        <v>161.72549100494385</v>
      </c>
      <c r="K18" s="122">
        <f>International!H115</f>
        <v>25</v>
      </c>
      <c r="L18" s="122">
        <f>International!T115</f>
        <v>161.72549100494385</v>
      </c>
      <c r="M18" s="122">
        <f>International!I115</f>
        <v>25</v>
      </c>
      <c r="N18" s="122">
        <f>International!U115</f>
        <v>161.72549100494385</v>
      </c>
      <c r="O18" s="122">
        <f>International!J115</f>
        <v>25</v>
      </c>
      <c r="P18" s="122">
        <f>International!V115</f>
        <v>161.72549100494385</v>
      </c>
      <c r="Q18" s="122">
        <f>International!K115</f>
        <v>25</v>
      </c>
      <c r="R18" s="122">
        <f>International!W115</f>
        <v>161.72549100494385</v>
      </c>
      <c r="S18" s="122">
        <f>International!L115</f>
        <v>25</v>
      </c>
      <c r="T18" s="122">
        <f>International!X115</f>
        <v>161.72549100494385</v>
      </c>
      <c r="U18" s="122">
        <f>International!M115</f>
        <v>25</v>
      </c>
      <c r="V18" s="122">
        <f>International!Y115</f>
        <v>161.72549100494385</v>
      </c>
      <c r="W18" s="122">
        <f>International!N115</f>
        <v>25</v>
      </c>
      <c r="X18" s="122">
        <f>International!Z115</f>
        <v>161.72549100494385</v>
      </c>
      <c r="Y18" s="122">
        <f t="shared" si="0"/>
        <v>25</v>
      </c>
      <c r="Z18" s="122">
        <f t="shared" si="1"/>
        <v>161.72549100494385</v>
      </c>
    </row>
    <row r="19" spans="1:26">
      <c r="A19" s="121" t="str">
        <f>Technologies!B187</f>
        <v>* Not Available</v>
      </c>
      <c r="B19" s="121" t="str">
        <f>Technologies!$C187</f>
        <v>IMPELCQU2</v>
      </c>
      <c r="C19" s="121" t="str">
        <f>Technologies!$D187</f>
        <v>Imported Electricity Price Step 2 - QU</v>
      </c>
      <c r="D19" s="106" t="s">
        <v>62</v>
      </c>
      <c r="E19" s="106" t="str">
        <f>Commodities!$C$23</f>
        <v>ELCQU</v>
      </c>
      <c r="F19" s="106">
        <v>1</v>
      </c>
      <c r="G19" s="122">
        <f>International!F116</f>
        <v>0</v>
      </c>
      <c r="H19" s="122">
        <f>International!R116</f>
        <v>0</v>
      </c>
      <c r="I19" s="122">
        <f>International!G116</f>
        <v>0</v>
      </c>
      <c r="J19" s="122">
        <f>International!S116</f>
        <v>0</v>
      </c>
      <c r="K19" s="122">
        <f>International!H116</f>
        <v>0</v>
      </c>
      <c r="L19" s="122">
        <f>International!T116</f>
        <v>0</v>
      </c>
      <c r="M19" s="122">
        <f>International!I116</f>
        <v>0</v>
      </c>
      <c r="N19" s="122">
        <f>International!U116</f>
        <v>0</v>
      </c>
      <c r="O19" s="122">
        <f>International!J116</f>
        <v>0</v>
      </c>
      <c r="P19" s="122">
        <f>International!V116</f>
        <v>0</v>
      </c>
      <c r="Q19" s="122">
        <f>International!K116</f>
        <v>0</v>
      </c>
      <c r="R19" s="122">
        <f>International!W116</f>
        <v>0</v>
      </c>
      <c r="S19" s="122">
        <f>International!L116</f>
        <v>0</v>
      </c>
      <c r="T19" s="122">
        <f>International!X116</f>
        <v>0</v>
      </c>
      <c r="U19" s="122">
        <f>International!M116</f>
        <v>0</v>
      </c>
      <c r="V19" s="122">
        <f>International!Y116</f>
        <v>0</v>
      </c>
      <c r="W19" s="122">
        <f>International!N116</f>
        <v>0</v>
      </c>
      <c r="X19" s="122">
        <f>International!Z116</f>
        <v>0</v>
      </c>
      <c r="Y19" s="122">
        <f t="shared" si="0"/>
        <v>0</v>
      </c>
      <c r="Z19" s="122">
        <f t="shared" si="1"/>
        <v>0</v>
      </c>
    </row>
    <row r="20" spans="1:26">
      <c r="A20" s="121" t="str">
        <f>Technologies!B188</f>
        <v>* Not Available</v>
      </c>
      <c r="B20" s="121" t="str">
        <f>Technologies!$C188</f>
        <v>IMPELCQU3</v>
      </c>
      <c r="C20" s="121" t="str">
        <f>Technologies!$D188</f>
        <v>Imported Electricity Price Step 3 - QU</v>
      </c>
      <c r="D20" s="106" t="s">
        <v>62</v>
      </c>
      <c r="E20" s="106" t="str">
        <f>Commodities!$C$23</f>
        <v>ELCQU</v>
      </c>
      <c r="F20" s="106">
        <v>1</v>
      </c>
      <c r="G20" s="122">
        <f>International!F117</f>
        <v>0</v>
      </c>
      <c r="H20" s="122">
        <f>International!R117</f>
        <v>0</v>
      </c>
      <c r="I20" s="122">
        <f>International!G117</f>
        <v>0</v>
      </c>
      <c r="J20" s="122">
        <f>International!S117</f>
        <v>0</v>
      </c>
      <c r="K20" s="122">
        <f>International!H117</f>
        <v>0</v>
      </c>
      <c r="L20" s="122">
        <f>International!T117</f>
        <v>0</v>
      </c>
      <c r="M20" s="122">
        <f>International!I117</f>
        <v>0</v>
      </c>
      <c r="N20" s="122">
        <f>International!U117</f>
        <v>0</v>
      </c>
      <c r="O20" s="122">
        <f>International!J117</f>
        <v>0</v>
      </c>
      <c r="P20" s="122">
        <f>International!V117</f>
        <v>0</v>
      </c>
      <c r="Q20" s="122">
        <f>International!K117</f>
        <v>0</v>
      </c>
      <c r="R20" s="122">
        <f>International!W117</f>
        <v>0</v>
      </c>
      <c r="S20" s="122">
        <f>International!L117</f>
        <v>0</v>
      </c>
      <c r="T20" s="122">
        <f>International!X117</f>
        <v>0</v>
      </c>
      <c r="U20" s="122">
        <f>International!M117</f>
        <v>0</v>
      </c>
      <c r="V20" s="122">
        <f>International!Y117</f>
        <v>0</v>
      </c>
      <c r="W20" s="122">
        <f>International!N117</f>
        <v>0</v>
      </c>
      <c r="X20" s="122">
        <f>International!Z117</f>
        <v>0</v>
      </c>
      <c r="Y20" s="122">
        <f t="shared" si="0"/>
        <v>0</v>
      </c>
      <c r="Z20" s="122">
        <f t="shared" si="1"/>
        <v>0</v>
      </c>
    </row>
    <row r="21" spans="1:26">
      <c r="A21" s="121" t="str">
        <f>Technologies!B189</f>
        <v>R0</v>
      </c>
      <c r="B21" s="121" t="str">
        <f>Technologies!$C189</f>
        <v>IMPELCNB1</v>
      </c>
      <c r="C21" s="121" t="str">
        <f>Technologies!$D189</f>
        <v>Imported Electricity Price Step 1 - NB</v>
      </c>
      <c r="D21" s="106" t="s">
        <v>62</v>
      </c>
      <c r="E21" s="106" t="str">
        <f>Commodities!$C$24</f>
        <v>ELCNB</v>
      </c>
      <c r="F21" s="106">
        <v>1</v>
      </c>
      <c r="G21" s="122">
        <f>International!F118</f>
        <v>25</v>
      </c>
      <c r="H21" s="122">
        <f>International!R118</f>
        <v>30.44077754974365</v>
      </c>
      <c r="I21" s="122">
        <f>International!G118</f>
        <v>25</v>
      </c>
      <c r="J21" s="122">
        <f>International!S118</f>
        <v>30.44077754974365</v>
      </c>
      <c r="K21" s="122">
        <f>International!H118</f>
        <v>25</v>
      </c>
      <c r="L21" s="122">
        <f>International!T118</f>
        <v>30.44077754974365</v>
      </c>
      <c r="M21" s="122">
        <f>International!I118</f>
        <v>25</v>
      </c>
      <c r="N21" s="122">
        <f>International!U118</f>
        <v>30.44077754974365</v>
      </c>
      <c r="O21" s="122">
        <f>International!J118</f>
        <v>25</v>
      </c>
      <c r="P21" s="122">
        <f>International!V118</f>
        <v>30.44077754974365</v>
      </c>
      <c r="Q21" s="122">
        <f>International!K118</f>
        <v>25</v>
      </c>
      <c r="R21" s="122">
        <f>International!W118</f>
        <v>30.44077754974365</v>
      </c>
      <c r="S21" s="122">
        <f>International!L118</f>
        <v>25</v>
      </c>
      <c r="T21" s="122">
        <f>International!X118</f>
        <v>30.44077754974365</v>
      </c>
      <c r="U21" s="122">
        <f>International!M118</f>
        <v>25</v>
      </c>
      <c r="V21" s="122">
        <f>International!Y118</f>
        <v>30.44077754974365</v>
      </c>
      <c r="W21" s="122">
        <f>International!N118</f>
        <v>25</v>
      </c>
      <c r="X21" s="122">
        <f>International!Z118</f>
        <v>30.44077754974365</v>
      </c>
      <c r="Y21" s="122">
        <f t="shared" si="0"/>
        <v>25</v>
      </c>
      <c r="Z21" s="122">
        <f t="shared" si="1"/>
        <v>30.44077754974365</v>
      </c>
    </row>
    <row r="22" spans="1:26">
      <c r="A22" s="121" t="str">
        <f>Technologies!B190</f>
        <v>* Not Available</v>
      </c>
      <c r="B22" s="121" t="str">
        <f>Technologies!$C190</f>
        <v>IMPELCNB2</v>
      </c>
      <c r="C22" s="121" t="str">
        <f>Technologies!$D190</f>
        <v>Imported Electricity Price Step 2 - NB</v>
      </c>
      <c r="D22" s="106" t="s">
        <v>62</v>
      </c>
      <c r="E22" s="106" t="str">
        <f>Commodities!$C$24</f>
        <v>ELCNB</v>
      </c>
      <c r="F22" s="106">
        <v>1</v>
      </c>
      <c r="G22" s="122">
        <f>International!F119</f>
        <v>0</v>
      </c>
      <c r="H22" s="122">
        <f>International!R119</f>
        <v>0</v>
      </c>
      <c r="I22" s="122">
        <f>International!G119</f>
        <v>0</v>
      </c>
      <c r="J22" s="122">
        <f>International!S119</f>
        <v>0</v>
      </c>
      <c r="K22" s="122">
        <f>International!H119</f>
        <v>0</v>
      </c>
      <c r="L22" s="122">
        <f>International!T119</f>
        <v>0</v>
      </c>
      <c r="M22" s="122">
        <f>International!I119</f>
        <v>0</v>
      </c>
      <c r="N22" s="122">
        <f>International!U119</f>
        <v>0</v>
      </c>
      <c r="O22" s="122">
        <f>International!J119</f>
        <v>0</v>
      </c>
      <c r="P22" s="122">
        <f>International!V119</f>
        <v>0</v>
      </c>
      <c r="Q22" s="122">
        <f>International!K119</f>
        <v>0</v>
      </c>
      <c r="R22" s="122">
        <f>International!W119</f>
        <v>0</v>
      </c>
      <c r="S22" s="122">
        <f>International!L119</f>
        <v>0</v>
      </c>
      <c r="T22" s="122">
        <f>International!X119</f>
        <v>0</v>
      </c>
      <c r="U22" s="122">
        <f>International!M119</f>
        <v>0</v>
      </c>
      <c r="V22" s="122">
        <f>International!Y119</f>
        <v>0</v>
      </c>
      <c r="W22" s="122">
        <f>International!N119</f>
        <v>0</v>
      </c>
      <c r="X22" s="122">
        <f>International!Z119</f>
        <v>0</v>
      </c>
      <c r="Y22" s="122">
        <f t="shared" si="0"/>
        <v>0</v>
      </c>
      <c r="Z22" s="122">
        <f t="shared" si="1"/>
        <v>0</v>
      </c>
    </row>
    <row r="23" spans="1:26">
      <c r="A23" s="121" t="str">
        <f>Technologies!B191</f>
        <v>* Not Available</v>
      </c>
      <c r="B23" s="121" t="str">
        <f>Technologies!$C191</f>
        <v>IMPELCNB3</v>
      </c>
      <c r="C23" s="121" t="str">
        <f>Technologies!$D191</f>
        <v>Imported Electricity Price Step 3 - NB</v>
      </c>
      <c r="D23" s="106" t="s">
        <v>62</v>
      </c>
      <c r="E23" s="106" t="str">
        <f>Commodities!$C$24</f>
        <v>ELCNB</v>
      </c>
      <c r="F23" s="106">
        <v>1</v>
      </c>
      <c r="G23" s="122">
        <f>International!F120</f>
        <v>0</v>
      </c>
      <c r="H23" s="122">
        <f>International!R120</f>
        <v>0</v>
      </c>
      <c r="I23" s="122">
        <f>International!G120</f>
        <v>0</v>
      </c>
      <c r="J23" s="122">
        <f>International!S120</f>
        <v>0</v>
      </c>
      <c r="K23" s="122">
        <f>International!H120</f>
        <v>0</v>
      </c>
      <c r="L23" s="122">
        <f>International!T120</f>
        <v>0</v>
      </c>
      <c r="M23" s="122">
        <f>International!I120</f>
        <v>0</v>
      </c>
      <c r="N23" s="122">
        <f>International!U120</f>
        <v>0</v>
      </c>
      <c r="O23" s="122">
        <f>International!J120</f>
        <v>0</v>
      </c>
      <c r="P23" s="122">
        <f>International!V120</f>
        <v>0</v>
      </c>
      <c r="Q23" s="122">
        <f>International!K120</f>
        <v>0</v>
      </c>
      <c r="R23" s="122">
        <f>International!W120</f>
        <v>0</v>
      </c>
      <c r="S23" s="122">
        <f>International!L120</f>
        <v>0</v>
      </c>
      <c r="T23" s="122">
        <f>International!X120</f>
        <v>0</v>
      </c>
      <c r="U23" s="122">
        <f>International!M120</f>
        <v>0</v>
      </c>
      <c r="V23" s="122">
        <f>International!Y120</f>
        <v>0</v>
      </c>
      <c r="W23" s="122">
        <f>International!N120</f>
        <v>0</v>
      </c>
      <c r="X23" s="122">
        <f>International!Z120</f>
        <v>0</v>
      </c>
      <c r="Y23" s="122">
        <f t="shared" si="0"/>
        <v>0</v>
      </c>
      <c r="Z23" s="122">
        <f t="shared" si="1"/>
        <v>0</v>
      </c>
    </row>
    <row r="24" spans="1:26">
      <c r="A24" s="121"/>
      <c r="B24" s="121"/>
      <c r="C24" s="121"/>
      <c r="D24" s="106"/>
      <c r="E24" s="106"/>
      <c r="F24" s="106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1"/>
      <c r="Z24" s="121"/>
    </row>
    <row r="25" spans="1:26">
      <c r="D25" s="1"/>
      <c r="E25" s="1"/>
      <c r="F25" s="1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</row>
    <row r="26" spans="1:26">
      <c r="D26" s="1"/>
      <c r="E26" s="1"/>
      <c r="F26" s="1"/>
      <c r="G26" s="1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</row>
    <row r="27" spans="1:26">
      <c r="D27" s="1"/>
      <c r="E27" s="1"/>
      <c r="F27" s="1"/>
      <c r="G27" s="1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</row>
    <row r="28" spans="1:26">
      <c r="E28" s="115"/>
    </row>
    <row r="29" spans="1:26" ht="15.75" customHeight="1">
      <c r="A29" s="98" t="s">
        <v>139</v>
      </c>
      <c r="B29" s="98" t="s">
        <v>7</v>
      </c>
      <c r="C29" s="98" t="s">
        <v>8</v>
      </c>
      <c r="D29" s="98" t="s">
        <v>9</v>
      </c>
      <c r="E29" s="98" t="s">
        <v>10</v>
      </c>
      <c r="F29" s="98" t="s">
        <v>300</v>
      </c>
      <c r="G29" s="98" t="s">
        <v>302</v>
      </c>
      <c r="H29" s="98" t="s">
        <v>296</v>
      </c>
      <c r="I29" s="98" t="s">
        <v>304</v>
      </c>
      <c r="J29" s="98" t="s">
        <v>303</v>
      </c>
      <c r="K29" s="98" t="s">
        <v>311</v>
      </c>
      <c r="L29" s="98" t="s">
        <v>305</v>
      </c>
      <c r="M29" s="98" t="s">
        <v>312</v>
      </c>
      <c r="N29" s="98" t="s">
        <v>306</v>
      </c>
      <c r="O29" s="98" t="s">
        <v>313</v>
      </c>
      <c r="P29" s="98" t="s">
        <v>307</v>
      </c>
      <c r="Q29" s="98" t="s">
        <v>314</v>
      </c>
      <c r="R29" s="98" t="s">
        <v>308</v>
      </c>
      <c r="S29" s="98" t="s">
        <v>315</v>
      </c>
      <c r="T29" s="98" t="s">
        <v>309</v>
      </c>
      <c r="U29" s="98" t="s">
        <v>316</v>
      </c>
      <c r="V29" s="98" t="s">
        <v>310</v>
      </c>
      <c r="W29" s="98" t="s">
        <v>317</v>
      </c>
      <c r="X29" s="98" t="s">
        <v>318</v>
      </c>
      <c r="Y29" s="98" t="s">
        <v>319</v>
      </c>
      <c r="Z29" s="98" t="s">
        <v>297</v>
      </c>
    </row>
    <row r="30" spans="1:26">
      <c r="A30" s="125" t="s">
        <v>81</v>
      </c>
      <c r="B30" s="125"/>
      <c r="C30" s="125"/>
      <c r="D30" s="126"/>
      <c r="E30" s="126"/>
      <c r="F30" s="126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5">
        <f t="shared" si="0"/>
        <v>0</v>
      </c>
      <c r="Z30" s="125">
        <f t="shared" si="1"/>
        <v>0</v>
      </c>
    </row>
    <row r="31" spans="1:26">
      <c r="A31" s="121" t="str">
        <f>Technologies!B193</f>
        <v>R1</v>
      </c>
      <c r="B31" s="121" t="str">
        <f>Technologies!$C193</f>
        <v>EXPELC0</v>
      </c>
      <c r="C31" s="121" t="str">
        <f>Technologies!$D193</f>
        <v>Exported Electricity International - R1</v>
      </c>
      <c r="D31" s="106" t="s">
        <v>62</v>
      </c>
      <c r="E31" s="106" t="str">
        <f>Commodities!$C$28</f>
        <v>ELC</v>
      </c>
      <c r="F31" s="106">
        <v>1</v>
      </c>
      <c r="G31" s="121">
        <v>1E-3</v>
      </c>
      <c r="H31" s="121">
        <f>International!I131</f>
        <v>1.8145800590515138</v>
      </c>
      <c r="I31" s="121">
        <v>1E-3</v>
      </c>
      <c r="J31" s="121">
        <f>International!J131</f>
        <v>1.7782884836196899</v>
      </c>
      <c r="K31" s="121">
        <v>1E-3</v>
      </c>
      <c r="L31" s="121">
        <f>International!K131</f>
        <v>1.7782884836196899</v>
      </c>
      <c r="M31" s="121">
        <v>1E-3</v>
      </c>
      <c r="N31" s="121">
        <f>International!L131</f>
        <v>1.7782884836196899</v>
      </c>
      <c r="O31" s="121">
        <v>1E-3</v>
      </c>
      <c r="P31" s="121">
        <f>International!M131</f>
        <v>1.7782884836196899</v>
      </c>
      <c r="Q31" s="121">
        <v>1E-3</v>
      </c>
      <c r="R31" s="121">
        <f>International!N131</f>
        <v>1.7782884836196899</v>
      </c>
      <c r="S31" s="121">
        <v>1E-3</v>
      </c>
      <c r="T31" s="121">
        <f>International!O131</f>
        <v>1.7782884836196899</v>
      </c>
      <c r="U31" s="121">
        <v>1E-3</v>
      </c>
      <c r="V31" s="121">
        <f>International!P131</f>
        <v>1.7782884836196899</v>
      </c>
      <c r="W31" s="121">
        <v>1E-3</v>
      </c>
      <c r="X31" s="121">
        <f>International!Q131</f>
        <v>1.7782884836196899</v>
      </c>
      <c r="Y31" s="121">
        <f t="shared" si="0"/>
        <v>1E-3</v>
      </c>
      <c r="Z31" s="121">
        <f t="shared" si="1"/>
        <v>1.7782884836196899</v>
      </c>
    </row>
    <row r="32" spans="1:26">
      <c r="A32" s="121" t="str">
        <f>Technologies!B194</f>
        <v>*</v>
      </c>
      <c r="B32" s="121" t="str">
        <f>Technologies!$C194</f>
        <v>EXPELC0</v>
      </c>
      <c r="C32" s="121" t="str">
        <f>Technologies!$D194</f>
        <v>Exported Electricity International - R2</v>
      </c>
      <c r="D32" s="106" t="s">
        <v>62</v>
      </c>
      <c r="E32" s="106" t="str">
        <f>Commodities!$C$28</f>
        <v>ELC</v>
      </c>
      <c r="F32" s="106">
        <v>1</v>
      </c>
      <c r="G32" s="121">
        <v>1E-3</v>
      </c>
      <c r="H32" s="121">
        <f>International!I137</f>
        <v>12.17358798980713</v>
      </c>
      <c r="I32" s="121">
        <v>1E-3</v>
      </c>
      <c r="J32" s="121">
        <f>International!J137</f>
        <v>7.8371735572814947</v>
      </c>
      <c r="K32" s="121">
        <v>1E-3</v>
      </c>
      <c r="L32" s="121">
        <f>International!K137</f>
        <v>4.0632350921630858</v>
      </c>
      <c r="M32" s="121">
        <v>1E-3</v>
      </c>
      <c r="N32" s="121">
        <f>International!L137</f>
        <v>1.7866332650184631</v>
      </c>
      <c r="O32" s="121">
        <v>1E-3</v>
      </c>
      <c r="P32" s="121">
        <f>International!M137</f>
        <v>1.7866332650184631</v>
      </c>
      <c r="Q32" s="121">
        <v>1E-3</v>
      </c>
      <c r="R32" s="121">
        <f>International!N137</f>
        <v>1.7866332650184631</v>
      </c>
      <c r="S32" s="121">
        <v>1E-3</v>
      </c>
      <c r="T32" s="121">
        <f>International!O137</f>
        <v>1.7866332650184631</v>
      </c>
      <c r="U32" s="121">
        <v>1E-3</v>
      </c>
      <c r="V32" s="121">
        <f>International!P137</f>
        <v>1.7866332650184631</v>
      </c>
      <c r="W32" s="121">
        <v>1E-3</v>
      </c>
      <c r="X32" s="121">
        <f>International!Q137</f>
        <v>1.7866332650184631</v>
      </c>
      <c r="Y32" s="121">
        <f t="shared" si="0"/>
        <v>1E-3</v>
      </c>
      <c r="Z32" s="121">
        <f t="shared" si="1"/>
        <v>1.7866332650184631</v>
      </c>
    </row>
    <row r="33" spans="1:26">
      <c r="A33" s="121" t="str">
        <f>Technologies!B195</f>
        <v>* Not Available</v>
      </c>
      <c r="B33" s="121" t="str">
        <f>Technologies!$C195</f>
        <v>EXPELC0</v>
      </c>
      <c r="C33" s="121" t="str">
        <f>Technologies!$D195</f>
        <v>Exported Electricity International - R3</v>
      </c>
      <c r="D33" s="106" t="s">
        <v>62</v>
      </c>
      <c r="E33" s="106" t="str">
        <f>Commodities!$C$28</f>
        <v>ELC</v>
      </c>
      <c r="F33" s="106">
        <v>1</v>
      </c>
      <c r="G33" s="121">
        <v>1E-3</v>
      </c>
      <c r="H33" s="121">
        <f>International!I143</f>
        <v>12.118626308441163</v>
      </c>
      <c r="I33" s="121">
        <v>1E-3</v>
      </c>
      <c r="J33" s="121">
        <f>International!J143</f>
        <v>10.954278087615966</v>
      </c>
      <c r="K33" s="121">
        <v>1E-3</v>
      </c>
      <c r="L33" s="121">
        <f>International!K143</f>
        <v>9.9018007278442379</v>
      </c>
      <c r="M33" s="121">
        <v>1E-3</v>
      </c>
      <c r="N33" s="121">
        <f>International!L143</f>
        <v>8.9504422187805179</v>
      </c>
      <c r="O33" s="121">
        <v>1E-3</v>
      </c>
      <c r="P33" s="121">
        <f>International!M143</f>
        <v>8.9504422187805179</v>
      </c>
      <c r="Q33" s="121">
        <v>1E-3</v>
      </c>
      <c r="R33" s="121">
        <f>International!N143</f>
        <v>8.9504422187805179</v>
      </c>
      <c r="S33" s="121">
        <v>1E-3</v>
      </c>
      <c r="T33" s="121">
        <f>International!O143</f>
        <v>8.9504422187805179</v>
      </c>
      <c r="U33" s="121">
        <v>1E-3</v>
      </c>
      <c r="V33" s="121">
        <f>International!P143</f>
        <v>8.9504422187805179</v>
      </c>
      <c r="W33" s="121">
        <v>1E-3</v>
      </c>
      <c r="X33" s="121">
        <f>International!Q143</f>
        <v>8.9504422187805179</v>
      </c>
      <c r="Y33" s="121">
        <f t="shared" si="0"/>
        <v>1E-3</v>
      </c>
      <c r="Z33" s="121">
        <f t="shared" si="1"/>
        <v>8.9504422187805179</v>
      </c>
    </row>
    <row r="34" spans="1:26">
      <c r="A34" s="121" t="str">
        <f>Technologies!B196</f>
        <v>* Not Available</v>
      </c>
      <c r="B34" s="121" t="str">
        <f>Technologies!$C196</f>
        <v>EXPELC0</v>
      </c>
      <c r="C34" s="121" t="str">
        <f>Technologies!$D196</f>
        <v>Exported Electricity International - R4</v>
      </c>
      <c r="D34" s="106" t="s">
        <v>62</v>
      </c>
      <c r="E34" s="106" t="str">
        <f>Commodities!$C$28</f>
        <v>ELC</v>
      </c>
      <c r="F34" s="106">
        <v>1</v>
      </c>
      <c r="G34" s="121">
        <v>1E-3</v>
      </c>
      <c r="H34" s="121">
        <f>International!I149</f>
        <v>21.427190208435061</v>
      </c>
      <c r="I34" s="121">
        <v>1E-3</v>
      </c>
      <c r="J34" s="121">
        <f>International!J149</f>
        <v>18.362741088867189</v>
      </c>
      <c r="K34" s="121">
        <v>1E-3</v>
      </c>
      <c r="L34" s="121">
        <f>International!K149</f>
        <v>14.208740043640137</v>
      </c>
      <c r="M34" s="121">
        <v>1E-3</v>
      </c>
      <c r="N34" s="121">
        <f>International!L149</f>
        <v>10.994450283050538</v>
      </c>
      <c r="O34" s="121">
        <v>1E-3</v>
      </c>
      <c r="P34" s="121">
        <f>International!M149</f>
        <v>10.994450283050538</v>
      </c>
      <c r="Q34" s="121">
        <v>1E-3</v>
      </c>
      <c r="R34" s="121">
        <f>International!N149</f>
        <v>10.994450283050538</v>
      </c>
      <c r="S34" s="121">
        <v>1E-3</v>
      </c>
      <c r="T34" s="121">
        <f>International!O149</f>
        <v>10.994450283050538</v>
      </c>
      <c r="U34" s="121">
        <v>1E-3</v>
      </c>
      <c r="V34" s="121">
        <f>International!P149</f>
        <v>10.994450283050538</v>
      </c>
      <c r="W34" s="121">
        <v>1E-3</v>
      </c>
      <c r="X34" s="121">
        <f>International!Q149</f>
        <v>10.994450283050538</v>
      </c>
      <c r="Y34" s="121">
        <f t="shared" si="0"/>
        <v>1E-3</v>
      </c>
      <c r="Z34" s="121">
        <f t="shared" si="1"/>
        <v>10.994450283050538</v>
      </c>
    </row>
    <row r="35" spans="1:26">
      <c r="A35" s="121" t="str">
        <f>Technologies!B197</f>
        <v>* Not Available</v>
      </c>
      <c r="B35" s="121" t="str">
        <f>Technologies!$C197</f>
        <v>EXPELC0</v>
      </c>
      <c r="C35" s="121" t="str">
        <f>Technologies!$D197</f>
        <v>Exported Electricity International - R5</v>
      </c>
      <c r="D35" s="106" t="s">
        <v>62</v>
      </c>
      <c r="E35" s="106" t="str">
        <f>Commodities!$C$28</f>
        <v>ELC</v>
      </c>
      <c r="F35" s="106">
        <v>1</v>
      </c>
      <c r="G35" s="121">
        <v>1E-3</v>
      </c>
      <c r="H35" s="123">
        <f>International!I155</f>
        <v>0</v>
      </c>
      <c r="I35" s="121">
        <v>1E-3</v>
      </c>
      <c r="J35" s="123">
        <f>International!J155</f>
        <v>0</v>
      </c>
      <c r="K35" s="121">
        <v>1E-3</v>
      </c>
      <c r="L35" s="123">
        <f>International!K155</f>
        <v>0</v>
      </c>
      <c r="M35" s="121">
        <v>1E-3</v>
      </c>
      <c r="N35" s="123">
        <f>International!L155</f>
        <v>0</v>
      </c>
      <c r="O35" s="121">
        <v>1E-3</v>
      </c>
      <c r="P35" s="123">
        <f>International!M155</f>
        <v>0</v>
      </c>
      <c r="Q35" s="121">
        <v>1E-3</v>
      </c>
      <c r="R35" s="123">
        <f>International!N155</f>
        <v>0</v>
      </c>
      <c r="S35" s="121">
        <v>1E-3</v>
      </c>
      <c r="T35" s="123">
        <f>International!O155</f>
        <v>0</v>
      </c>
      <c r="U35" s="121">
        <v>1E-3</v>
      </c>
      <c r="V35" s="123">
        <f>International!P155</f>
        <v>0</v>
      </c>
      <c r="W35" s="121">
        <v>1E-3</v>
      </c>
      <c r="X35" s="123">
        <f>International!Q155</f>
        <v>0</v>
      </c>
      <c r="Y35" s="121">
        <f t="shared" si="0"/>
        <v>1E-3</v>
      </c>
      <c r="Z35" s="121">
        <f t="shared" si="1"/>
        <v>0</v>
      </c>
    </row>
    <row r="36" spans="1:26">
      <c r="A36" s="121" t="str">
        <f>Technologies!B198</f>
        <v>* Not Available</v>
      </c>
      <c r="B36" s="121" t="str">
        <f>Technologies!$C198</f>
        <v>EXPELC0</v>
      </c>
      <c r="C36" s="121" t="str">
        <f>Technologies!$D198</f>
        <v>Exported Electricity International - R6</v>
      </c>
      <c r="D36" s="106" t="s">
        <v>62</v>
      </c>
      <c r="E36" s="106" t="str">
        <f>Commodities!$C$28</f>
        <v>ELC</v>
      </c>
      <c r="F36" s="106">
        <v>1</v>
      </c>
      <c r="G36" s="121">
        <v>1E-3</v>
      </c>
      <c r="H36" s="123">
        <f>International!I161</f>
        <v>0</v>
      </c>
      <c r="I36" s="121">
        <v>1E-3</v>
      </c>
      <c r="J36" s="123">
        <f>International!J161</f>
        <v>0</v>
      </c>
      <c r="K36" s="121">
        <v>1E-3</v>
      </c>
      <c r="L36" s="123">
        <f>International!K161</f>
        <v>0</v>
      </c>
      <c r="M36" s="121">
        <v>1E-3</v>
      </c>
      <c r="N36" s="123">
        <f>International!L161</f>
        <v>0</v>
      </c>
      <c r="O36" s="121">
        <v>1E-3</v>
      </c>
      <c r="P36" s="123">
        <f>International!M161</f>
        <v>0</v>
      </c>
      <c r="Q36" s="121">
        <v>1E-3</v>
      </c>
      <c r="R36" s="123">
        <f>International!N161</f>
        <v>0</v>
      </c>
      <c r="S36" s="121">
        <v>1E-3</v>
      </c>
      <c r="T36" s="123">
        <f>International!O161</f>
        <v>0</v>
      </c>
      <c r="U36" s="121">
        <v>1E-3</v>
      </c>
      <c r="V36" s="123">
        <f>International!P161</f>
        <v>0</v>
      </c>
      <c r="W36" s="121">
        <v>1E-3</v>
      </c>
      <c r="X36" s="123">
        <f>International!Q161</f>
        <v>0</v>
      </c>
      <c r="Y36" s="121">
        <f t="shared" si="0"/>
        <v>1E-3</v>
      </c>
      <c r="Z36" s="121">
        <f t="shared" si="1"/>
        <v>0</v>
      </c>
    </row>
    <row r="37" spans="1:26">
      <c r="A37" s="121" t="str">
        <f>Technologies!B199</f>
        <v>* Not Available</v>
      </c>
      <c r="B37" s="121" t="str">
        <f>Technologies!$C199</f>
        <v>EXPELC0</v>
      </c>
      <c r="C37" s="121" t="str">
        <f>Technologies!$D199</f>
        <v>Exported Electricity International - R7</v>
      </c>
      <c r="D37" s="106" t="s">
        <v>62</v>
      </c>
      <c r="E37" s="106" t="str">
        <f>Commodities!$C$28</f>
        <v>ELC</v>
      </c>
      <c r="F37" s="106">
        <v>1</v>
      </c>
      <c r="G37" s="121">
        <v>1E-3</v>
      </c>
      <c r="H37" s="121">
        <f>International!I167</f>
        <v>0.14745600968599321</v>
      </c>
      <c r="I37" s="121">
        <v>1E-3</v>
      </c>
      <c r="J37" s="121">
        <f>International!J167</f>
        <v>0.14745600968599321</v>
      </c>
      <c r="K37" s="121">
        <v>1E-3</v>
      </c>
      <c r="L37" s="121">
        <f>International!K167</f>
        <v>0.14745600968599321</v>
      </c>
      <c r="M37" s="121">
        <v>1E-3</v>
      </c>
      <c r="N37" s="121">
        <f>International!L167</f>
        <v>0.14745600968599321</v>
      </c>
      <c r="O37" s="121">
        <v>1E-3</v>
      </c>
      <c r="P37" s="121">
        <f>International!M167</f>
        <v>0.14745600968599321</v>
      </c>
      <c r="Q37" s="121">
        <v>1E-3</v>
      </c>
      <c r="R37" s="121">
        <f>International!N167</f>
        <v>0.14745600968599321</v>
      </c>
      <c r="S37" s="121">
        <v>1E-3</v>
      </c>
      <c r="T37" s="121">
        <f>International!O167</f>
        <v>0.14745600968599321</v>
      </c>
      <c r="U37" s="121">
        <v>1E-3</v>
      </c>
      <c r="V37" s="121">
        <f>International!P167</f>
        <v>0.14745600968599321</v>
      </c>
      <c r="W37" s="121">
        <v>1E-3</v>
      </c>
      <c r="X37" s="121">
        <f>International!Q167</f>
        <v>0.14745600968599321</v>
      </c>
      <c r="Y37" s="121">
        <f t="shared" si="0"/>
        <v>1E-3</v>
      </c>
      <c r="Z37" s="121">
        <f t="shared" si="1"/>
        <v>0.14745600968599321</v>
      </c>
    </row>
    <row r="38" spans="1:26">
      <c r="A38" s="121" t="str">
        <f>Technologies!B200</f>
        <v>* Not Available</v>
      </c>
      <c r="B38" s="121" t="str">
        <f>Technologies!$C200</f>
        <v>EXPELC0</v>
      </c>
      <c r="C38" s="121" t="str">
        <f>Technologies!$D200</f>
        <v>Exported Electricity International - R8</v>
      </c>
      <c r="D38" s="106" t="s">
        <v>62</v>
      </c>
      <c r="E38" s="106" t="str">
        <f>Commodities!$C$28</f>
        <v>ELC</v>
      </c>
      <c r="F38" s="106">
        <v>1</v>
      </c>
      <c r="G38" s="121">
        <v>1E-3</v>
      </c>
      <c r="H38" s="123">
        <f>International!I173</f>
        <v>0</v>
      </c>
      <c r="I38" s="121">
        <v>1E-3</v>
      </c>
      <c r="J38" s="123">
        <f>International!J173</f>
        <v>0</v>
      </c>
      <c r="K38" s="121">
        <v>1E-3</v>
      </c>
      <c r="L38" s="123">
        <f>International!K173</f>
        <v>0</v>
      </c>
      <c r="M38" s="121">
        <v>1E-3</v>
      </c>
      <c r="N38" s="123">
        <f>International!L173</f>
        <v>0</v>
      </c>
      <c r="O38" s="121">
        <v>1E-3</v>
      </c>
      <c r="P38" s="123">
        <f>International!M173</f>
        <v>0</v>
      </c>
      <c r="Q38" s="121">
        <v>1E-3</v>
      </c>
      <c r="R38" s="123">
        <f>International!N173</f>
        <v>0</v>
      </c>
      <c r="S38" s="121">
        <v>1E-3</v>
      </c>
      <c r="T38" s="123">
        <f>International!O173</f>
        <v>0</v>
      </c>
      <c r="U38" s="121">
        <v>1E-3</v>
      </c>
      <c r="V38" s="123">
        <f>International!P173</f>
        <v>0</v>
      </c>
      <c r="W38" s="121">
        <v>1E-3</v>
      </c>
      <c r="X38" s="123">
        <f>International!Q173</f>
        <v>0</v>
      </c>
      <c r="Y38" s="121">
        <f t="shared" si="0"/>
        <v>1E-3</v>
      </c>
      <c r="Z38" s="121">
        <f t="shared" si="1"/>
        <v>0</v>
      </c>
    </row>
    <row r="39" spans="1:26">
      <c r="A39" s="121" t="str">
        <f>Technologies!B201</f>
        <v>* Not Available</v>
      </c>
      <c r="B39" s="121" t="str">
        <f>Technologies!$C201</f>
        <v>EXPELC0</v>
      </c>
      <c r="C39" s="121" t="str">
        <f>Technologies!$D201</f>
        <v>Exported Electricity International - R9</v>
      </c>
      <c r="D39" s="106" t="s">
        <v>62</v>
      </c>
      <c r="E39" s="106" t="str">
        <f>Commodities!$C$28</f>
        <v>ELC</v>
      </c>
      <c r="F39" s="106"/>
      <c r="G39" s="121">
        <v>1E-3</v>
      </c>
      <c r="H39" s="121">
        <f>International!I179</f>
        <v>26.332320284843444</v>
      </c>
      <c r="I39" s="121">
        <v>1E-3</v>
      </c>
      <c r="J39" s="121">
        <f>International!J179</f>
        <v>25.13387496471405</v>
      </c>
      <c r="K39" s="121">
        <v>1E-3</v>
      </c>
      <c r="L39" s="121">
        <f>International!K179</f>
        <v>23.994163584709167</v>
      </c>
      <c r="M39" s="121">
        <v>1E-3</v>
      </c>
      <c r="N39" s="121">
        <f>International!L179</f>
        <v>22.910310816764831</v>
      </c>
      <c r="O39" s="121">
        <v>1E-3</v>
      </c>
      <c r="P39" s="121">
        <f>International!M179</f>
        <v>22.910310816764831</v>
      </c>
      <c r="Q39" s="121">
        <v>1E-3</v>
      </c>
      <c r="R39" s="121">
        <f>International!N179</f>
        <v>22.910310816764831</v>
      </c>
      <c r="S39" s="121">
        <v>1E-3</v>
      </c>
      <c r="T39" s="121">
        <f>International!O179</f>
        <v>22.910310816764831</v>
      </c>
      <c r="U39" s="121">
        <v>1E-3</v>
      </c>
      <c r="V39" s="121">
        <f>International!P179</f>
        <v>22.910310816764831</v>
      </c>
      <c r="W39" s="121">
        <v>1E-3</v>
      </c>
      <c r="X39" s="121">
        <f>International!Q179</f>
        <v>22.910310816764831</v>
      </c>
      <c r="Y39" s="121">
        <f t="shared" si="0"/>
        <v>1E-3</v>
      </c>
      <c r="Z39" s="121">
        <f t="shared" si="1"/>
        <v>22.910310816764831</v>
      </c>
    </row>
    <row r="40" spans="1:26">
      <c r="D40" s="1"/>
      <c r="E40" s="1"/>
      <c r="F40" s="1"/>
    </row>
    <row r="41" spans="1:26">
      <c r="D41" s="1"/>
      <c r="E41" s="1"/>
      <c r="F41" s="1"/>
      <c r="G41" s="1"/>
    </row>
    <row r="42" spans="1:26">
      <c r="D42" s="1"/>
      <c r="E42" s="1"/>
      <c r="F42" s="1"/>
      <c r="G42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3.2"/>
  <cols>
    <col min="1" max="1" width="10.44140625" customWidth="1"/>
    <col min="2" max="2" width="11.5546875" customWidth="1"/>
    <col min="3" max="3" width="17.5546875" customWidth="1"/>
    <col min="4" max="4" width="5.88671875" customWidth="1"/>
    <col min="5" max="5" width="10.109375" customWidth="1"/>
  </cols>
  <sheetData>
    <row r="1" spans="1:5">
      <c r="A1" s="1" t="s">
        <v>19</v>
      </c>
      <c r="B1" s="2"/>
    </row>
    <row r="4" spans="1:5" ht="17.25" customHeight="1"/>
    <row r="5" spans="1:5" ht="18" customHeight="1"/>
    <row r="6" spans="1:5" ht="17.25" customHeight="1"/>
    <row r="7" spans="1:5" ht="15.75" customHeight="1">
      <c r="B7" s="1" t="s">
        <v>12</v>
      </c>
      <c r="C7" s="1" t="s">
        <v>13</v>
      </c>
      <c r="D7" s="1" t="s">
        <v>9</v>
      </c>
      <c r="E7" s="1" t="s">
        <v>7</v>
      </c>
    </row>
    <row r="8" spans="1:5">
      <c r="B8" s="3"/>
      <c r="E8" s="3"/>
    </row>
    <row r="9" spans="1:5">
      <c r="B9" s="8"/>
      <c r="E9" s="3"/>
    </row>
    <row r="10" spans="1:5">
      <c r="B10" s="8"/>
      <c r="E10" s="3"/>
    </row>
    <row r="11" spans="1:5">
      <c r="B11" s="8"/>
      <c r="E11" s="3"/>
    </row>
    <row r="14" spans="1:5">
      <c r="A14" s="1"/>
    </row>
    <row r="18" spans="1:5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9633" r:id="rId4" name="cmdConstrNameAndDesc">
          <controlPr defaultSize="0" autoLine="0" autoPict="0" r:id="rId5">
            <anchor moveWithCells="1">
              <from>
                <xdr:col>1</xdr:col>
                <xdr:colOff>22860</xdr:colOff>
                <xdr:row>3</xdr:row>
                <xdr:rowOff>0</xdr:rowOff>
              </from>
              <to>
                <xdr:col>2</xdr:col>
                <xdr:colOff>998220</xdr:colOff>
                <xdr:row>4</xdr:row>
                <xdr:rowOff>22860</xdr:rowOff>
              </to>
            </anchor>
          </controlPr>
        </control>
      </mc:Choice>
      <mc:Fallback>
        <control shapeId="69633" r:id="rId4" name="cmdConstrNameAndDesc"/>
      </mc:Fallback>
    </mc:AlternateContent>
    <mc:AlternateContent xmlns:mc="http://schemas.openxmlformats.org/markup-compatibility/2006">
      <mc:Choice Requires="x14">
        <control shapeId="69634" r:id="rId6" name="cmdTechName">
          <controlPr defaultSize="0" autoLine="0" r:id="rId7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655320</xdr:colOff>
                <xdr:row>4</xdr:row>
                <xdr:rowOff>22860</xdr:rowOff>
              </to>
            </anchor>
          </controlPr>
        </control>
      </mc:Choice>
      <mc:Fallback>
        <control shapeId="69634" r:id="rId6" name="cmdTechName"/>
      </mc:Fallback>
    </mc:AlternateContent>
    <mc:AlternateContent xmlns:mc="http://schemas.openxmlformats.org/markup-compatibility/2006">
      <mc:Choice Requires="x14">
        <control shapeId="69635" r:id="rId8" name="cmdAddParameter">
          <controlPr defaultSize="0" autoLine="0" r:id="rId9">
            <anchor moveWithCells="1">
              <from>
                <xdr:col>0</xdr:col>
                <xdr:colOff>7620</xdr:colOff>
                <xdr:row>4</xdr:row>
                <xdr:rowOff>0</xdr:rowOff>
              </from>
              <to>
                <xdr:col>0</xdr:col>
                <xdr:colOff>693420</xdr:colOff>
                <xdr:row>5</xdr:row>
                <xdr:rowOff>7620</xdr:rowOff>
              </to>
            </anchor>
          </controlPr>
        </control>
      </mc:Choice>
      <mc:Fallback>
        <control shapeId="69635" r:id="rId8" name="cmdAddParameter"/>
      </mc:Fallback>
    </mc:AlternateContent>
    <mc:AlternateContent xmlns:mc="http://schemas.openxmlformats.org/markup-compatibility/2006">
      <mc:Choice Requires="x14">
        <control shapeId="69636" r:id="rId10" name="cmdCheckConstrDataSheet">
          <controlPr defaultSize="0" autoLine="0" autoPict="0" r:id="rId11">
            <anchor moveWithCells="1">
              <from>
                <xdr:col>0</xdr:col>
                <xdr:colOff>7620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7620</xdr:rowOff>
              </to>
            </anchor>
          </controlPr>
        </control>
      </mc:Choice>
      <mc:Fallback>
        <control shapeId="69636" r:id="rId10" name="cmdCheckConstrDataSheet"/>
      </mc:Fallback>
    </mc:AlternateContent>
    <mc:AlternateContent xmlns:mc="http://schemas.openxmlformats.org/markup-compatibility/2006">
      <mc:Choice Requires="x14">
        <control shapeId="69637" r:id="rId12" name="cmdAddParamQualifier">
          <controlPr defaultSize="0" autoLine="0" r:id="rId13">
            <anchor moveWithCells="1">
              <from>
                <xdr:col>0</xdr:col>
                <xdr:colOff>7620</xdr:colOff>
                <xdr:row>5</xdr:row>
                <xdr:rowOff>0</xdr:rowOff>
              </from>
              <to>
                <xdr:col>0</xdr:col>
                <xdr:colOff>693420</xdr:colOff>
                <xdr:row>6</xdr:row>
                <xdr:rowOff>22860</xdr:rowOff>
              </to>
            </anchor>
          </controlPr>
        </control>
      </mc:Choice>
      <mc:Fallback>
        <control shapeId="69637" r:id="rId12" name="cmdAddParamQualifier"/>
      </mc:Fallback>
    </mc:AlternateContent>
    <mc:AlternateContent xmlns:mc="http://schemas.openxmlformats.org/markup-compatibility/2006">
      <mc:Choice Requires="x14">
        <control shapeId="69638" r:id="rId14" name="cmdRefreshUnits">
          <controlPr defaultSize="0" autoLine="0" r:id="rId15">
            <anchor moveWithCells="1">
              <from>
                <xdr:col>2</xdr:col>
                <xdr:colOff>1013460</xdr:colOff>
                <xdr:row>2</xdr:row>
                <xdr:rowOff>30480</xdr:rowOff>
              </from>
              <to>
                <xdr:col>3</xdr:col>
                <xdr:colOff>365760</xdr:colOff>
                <xdr:row>4</xdr:row>
                <xdr:rowOff>22860</xdr:rowOff>
              </to>
            </anchor>
          </controlPr>
        </control>
      </mc:Choice>
      <mc:Fallback>
        <control shapeId="69638" r:id="rId14" name="cmdRefreshUnits"/>
      </mc:Fallback>
    </mc:AlternateContent>
  </control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3.2"/>
  <cols>
    <col min="1" max="1" width="10.44140625" customWidth="1"/>
    <col min="2" max="2" width="11.5546875" customWidth="1"/>
    <col min="3" max="3" width="17.5546875" customWidth="1"/>
    <col min="4" max="4" width="5.88671875" customWidth="1"/>
    <col min="5" max="5" width="10.109375" customWidth="1"/>
  </cols>
  <sheetData>
    <row r="1" spans="1:5">
      <c r="A1" s="1" t="s">
        <v>19</v>
      </c>
      <c r="B1" s="2"/>
    </row>
    <row r="4" spans="1:5" ht="17.25" customHeight="1"/>
    <row r="5" spans="1:5" ht="18" customHeight="1"/>
    <row r="6" spans="1:5" ht="17.25" customHeight="1"/>
    <row r="7" spans="1:5" ht="15.75" customHeight="1">
      <c r="B7" s="1" t="s">
        <v>12</v>
      </c>
      <c r="C7" s="1" t="s">
        <v>13</v>
      </c>
      <c r="D7" s="1" t="s">
        <v>9</v>
      </c>
      <c r="E7" s="1" t="s">
        <v>7</v>
      </c>
    </row>
    <row r="8" spans="1:5">
      <c r="B8" s="3"/>
      <c r="E8" s="3"/>
    </row>
    <row r="9" spans="1:5">
      <c r="B9" s="8"/>
      <c r="E9" s="3"/>
    </row>
    <row r="10" spans="1:5">
      <c r="B10" s="8"/>
      <c r="E10" s="3"/>
    </row>
    <row r="11" spans="1:5">
      <c r="B11" s="8"/>
      <c r="E11" s="3"/>
    </row>
    <row r="14" spans="1:5">
      <c r="A14" s="1"/>
    </row>
    <row r="18" spans="1:5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265" r:id="rId4" name="cmdConstrNameAndDesc">
          <controlPr defaultSize="0" autoLine="0" autoPict="0" r:id="rId5">
            <anchor moveWithCells="1">
              <from>
                <xdr:col>1</xdr:col>
                <xdr:colOff>22860</xdr:colOff>
                <xdr:row>3</xdr:row>
                <xdr:rowOff>0</xdr:rowOff>
              </from>
              <to>
                <xdr:col>2</xdr:col>
                <xdr:colOff>998220</xdr:colOff>
                <xdr:row>4</xdr:row>
                <xdr:rowOff>22860</xdr:rowOff>
              </to>
            </anchor>
          </controlPr>
        </control>
      </mc:Choice>
      <mc:Fallback>
        <control shapeId="11265" r:id="rId4" name="cmdConstrNameAndDesc"/>
      </mc:Fallback>
    </mc:AlternateContent>
    <mc:AlternateContent xmlns:mc="http://schemas.openxmlformats.org/markup-compatibility/2006">
      <mc:Choice Requires="x14">
        <control shapeId="11266" r:id="rId6" name="cmdTechName">
          <controlPr defaultSize="0" autoLine="0" r:id="rId7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655320</xdr:colOff>
                <xdr:row>4</xdr:row>
                <xdr:rowOff>22860</xdr:rowOff>
              </to>
            </anchor>
          </controlPr>
        </control>
      </mc:Choice>
      <mc:Fallback>
        <control shapeId="11266" r:id="rId6" name="cmdTechName"/>
      </mc:Fallback>
    </mc:AlternateContent>
    <mc:AlternateContent xmlns:mc="http://schemas.openxmlformats.org/markup-compatibility/2006">
      <mc:Choice Requires="x14">
        <control shapeId="11268" r:id="rId8" name="cmdAddParameter">
          <controlPr defaultSize="0" autoLine="0" r:id="rId9">
            <anchor moveWithCells="1">
              <from>
                <xdr:col>0</xdr:col>
                <xdr:colOff>7620</xdr:colOff>
                <xdr:row>4</xdr:row>
                <xdr:rowOff>0</xdr:rowOff>
              </from>
              <to>
                <xdr:col>0</xdr:col>
                <xdr:colOff>693420</xdr:colOff>
                <xdr:row>5</xdr:row>
                <xdr:rowOff>7620</xdr:rowOff>
              </to>
            </anchor>
          </controlPr>
        </control>
      </mc:Choice>
      <mc:Fallback>
        <control shapeId="11268" r:id="rId8" name="cmdAddParameter"/>
      </mc:Fallback>
    </mc:AlternateContent>
    <mc:AlternateContent xmlns:mc="http://schemas.openxmlformats.org/markup-compatibility/2006">
      <mc:Choice Requires="x14">
        <control shapeId="11271" r:id="rId10" name="cmdCheckConstrDataSheet">
          <controlPr defaultSize="0" autoLine="0" autoPict="0" r:id="rId11">
            <anchor moveWithCells="1">
              <from>
                <xdr:col>0</xdr:col>
                <xdr:colOff>7620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7620</xdr:rowOff>
              </to>
            </anchor>
          </controlPr>
        </control>
      </mc:Choice>
      <mc:Fallback>
        <control shapeId="11271" r:id="rId10" name="cmdCheckConstrDataSheet"/>
      </mc:Fallback>
    </mc:AlternateContent>
    <mc:AlternateContent xmlns:mc="http://schemas.openxmlformats.org/markup-compatibility/2006">
      <mc:Choice Requires="x14">
        <control shapeId="11361" r:id="rId12" name="cmdAddParamQualifier">
          <controlPr defaultSize="0" autoLine="0" r:id="rId13">
            <anchor moveWithCells="1">
              <from>
                <xdr:col>0</xdr:col>
                <xdr:colOff>7620</xdr:colOff>
                <xdr:row>5</xdr:row>
                <xdr:rowOff>0</xdr:rowOff>
              </from>
              <to>
                <xdr:col>0</xdr:col>
                <xdr:colOff>693420</xdr:colOff>
                <xdr:row>6</xdr:row>
                <xdr:rowOff>22860</xdr:rowOff>
              </to>
            </anchor>
          </controlPr>
        </control>
      </mc:Choice>
      <mc:Fallback>
        <control shapeId="11361" r:id="rId12" name="cmdAddParamQualifier"/>
      </mc:Fallback>
    </mc:AlternateContent>
    <mc:AlternateContent xmlns:mc="http://schemas.openxmlformats.org/markup-compatibility/2006">
      <mc:Choice Requires="x14">
        <control shapeId="11374" r:id="rId14" name="cmdRefreshUnits">
          <controlPr defaultSize="0" autoLine="0" r:id="rId15">
            <anchor moveWithCells="1">
              <from>
                <xdr:col>2</xdr:col>
                <xdr:colOff>1013460</xdr:colOff>
                <xdr:row>2</xdr:row>
                <xdr:rowOff>30480</xdr:rowOff>
              </from>
              <to>
                <xdr:col>3</xdr:col>
                <xdr:colOff>365760</xdr:colOff>
                <xdr:row>4</xdr:row>
                <xdr:rowOff>22860</xdr:rowOff>
              </to>
            </anchor>
          </controlPr>
        </control>
      </mc:Choice>
      <mc:Fallback>
        <control shapeId="11374" r:id="rId14" name="cmdRefreshUnits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3.2"/>
  <cols>
    <col min="1" max="1" width="12.5546875" customWidth="1"/>
    <col min="2" max="2" width="12.33203125" customWidth="1"/>
    <col min="3" max="3" width="29.6640625" customWidth="1"/>
    <col min="4" max="4" width="10.33203125" customWidth="1"/>
    <col min="5" max="5" width="29.6640625" customWidth="1"/>
    <col min="6" max="6" width="10.33203125" customWidth="1"/>
  </cols>
  <sheetData>
    <row r="1" spans="1:6">
      <c r="A1" s="1" t="s">
        <v>14</v>
      </c>
      <c r="B1" s="2"/>
    </row>
    <row r="4" spans="1:6" ht="17.25" customHeight="1"/>
    <row r="5" spans="1:6" ht="17.25" customHeight="1">
      <c r="C5" s="3"/>
    </row>
    <row r="6" spans="1:6" ht="15.75" customHeight="1"/>
    <row r="7" spans="1:6">
      <c r="B7" s="4" t="s">
        <v>5</v>
      </c>
      <c r="C7" s="1" t="s">
        <v>6</v>
      </c>
      <c r="D7" s="1" t="s">
        <v>0</v>
      </c>
      <c r="E7" s="1" t="s">
        <v>4</v>
      </c>
      <c r="F7" s="1" t="s">
        <v>1</v>
      </c>
    </row>
    <row r="8" spans="1:6">
      <c r="B8" s="1"/>
      <c r="C8" s="1"/>
      <c r="D8" s="1"/>
      <c r="E8" s="3"/>
      <c r="F8" s="1"/>
    </row>
    <row r="9" spans="1:6">
      <c r="D9" s="3"/>
      <c r="E9" s="3"/>
    </row>
    <row r="11" spans="1:6">
      <c r="B11" s="3"/>
      <c r="C11" s="3"/>
      <c r="D11" s="12"/>
      <c r="E11" s="12"/>
    </row>
    <row r="12" spans="1:6">
      <c r="B12" s="3"/>
      <c r="C12" s="3"/>
      <c r="E12" s="3"/>
    </row>
    <row r="13" spans="1:6">
      <c r="B13" s="3"/>
      <c r="C13" s="3"/>
    </row>
    <row r="14" spans="1:6">
      <c r="B14" s="3"/>
      <c r="C14" s="3"/>
      <c r="D14" s="6"/>
    </row>
    <row r="15" spans="1:6">
      <c r="B15" s="3"/>
      <c r="C15" s="3"/>
      <c r="E15" s="3"/>
    </row>
    <row r="16" spans="1:6">
      <c r="B16" s="3"/>
      <c r="C16" s="3"/>
      <c r="E16" s="3"/>
    </row>
    <row r="17" spans="2:5">
      <c r="B17" s="3"/>
      <c r="C17" s="3"/>
      <c r="E17" s="3"/>
    </row>
    <row r="18" spans="2:5">
      <c r="B18" s="3"/>
      <c r="C18" s="3"/>
      <c r="E18" s="3"/>
    </row>
    <row r="19" spans="2:5">
      <c r="B19" s="3"/>
      <c r="C19" s="3"/>
      <c r="E19" s="3"/>
    </row>
    <row r="20" spans="2:5">
      <c r="D20" s="6"/>
    </row>
    <row r="21" spans="2:5">
      <c r="E21" s="3"/>
    </row>
    <row r="23" spans="2:5">
      <c r="B23" s="3"/>
      <c r="C23" s="3"/>
      <c r="D23" s="3"/>
      <c r="E23" s="3"/>
    </row>
    <row r="24" spans="2:5">
      <c r="B24" s="3"/>
      <c r="C24" s="3"/>
    </row>
    <row r="25" spans="2:5">
      <c r="B25" s="3"/>
      <c r="C25" s="3"/>
      <c r="D25" s="6"/>
      <c r="E25" s="3"/>
    </row>
    <row r="26" spans="2:5">
      <c r="B26" s="4"/>
      <c r="C26" s="3"/>
      <c r="E26" s="3"/>
    </row>
    <row r="27" spans="2:5">
      <c r="E27" s="3"/>
    </row>
    <row r="29" spans="2:5">
      <c r="B29" s="3"/>
      <c r="C29" s="3"/>
      <c r="D29" s="3"/>
      <c r="E29" s="3"/>
    </row>
    <row r="30" spans="2:5">
      <c r="B30" s="3"/>
      <c r="C30" s="3"/>
    </row>
    <row r="31" spans="2:5">
      <c r="B31" s="3"/>
      <c r="C31" s="3"/>
      <c r="E31" s="3"/>
    </row>
    <row r="32" spans="2:5">
      <c r="B32" s="3"/>
      <c r="C32" s="3"/>
      <c r="E32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49" r:id="rId4" name="cmdEnergySets">
          <controlPr defaultSize="0" autoLine="0" r:id="rId5">
            <anchor moveWithCells="1">
              <from>
                <xdr:col>4</xdr:col>
                <xdr:colOff>7620</xdr:colOff>
                <xdr:row>3</xdr:row>
                <xdr:rowOff>99060</xdr:rowOff>
              </from>
              <to>
                <xdr:col>4</xdr:col>
                <xdr:colOff>982980</xdr:colOff>
                <xdr:row>4</xdr:row>
                <xdr:rowOff>121920</xdr:rowOff>
              </to>
            </anchor>
          </controlPr>
        </control>
      </mc:Choice>
      <mc:Fallback>
        <control shapeId="2049" r:id="rId4" name="cmdEnergySets"/>
      </mc:Fallback>
    </mc:AlternateContent>
    <mc:AlternateContent xmlns:mc="http://schemas.openxmlformats.org/markup-compatibility/2006">
      <mc:Choice Requires="x14">
        <control shapeId="2051" r:id="rId6" name="cmdDemandSets">
          <controlPr defaultSize="0" autoLine="0" r:id="rId7">
            <anchor moveWithCells="1">
              <from>
                <xdr:col>4</xdr:col>
                <xdr:colOff>7620</xdr:colOff>
                <xdr:row>4</xdr:row>
                <xdr:rowOff>175260</xdr:rowOff>
              </from>
              <to>
                <xdr:col>4</xdr:col>
                <xdr:colOff>982980</xdr:colOff>
                <xdr:row>6</xdr:row>
                <xdr:rowOff>0</xdr:rowOff>
              </to>
            </anchor>
          </controlPr>
        </control>
      </mc:Choice>
      <mc:Fallback>
        <control shapeId="2051" r:id="rId6" name="cmdDemandSets"/>
      </mc:Fallback>
    </mc:AlternateContent>
    <mc:AlternateContent xmlns:mc="http://schemas.openxmlformats.org/markup-compatibility/2006">
      <mc:Choice Requires="x14">
        <control shapeId="2052" r:id="rId8" name="cmdEmissionSets">
          <controlPr defaultSize="0" autoLine="0" r:id="rId9">
            <anchor moveWithCells="1">
              <from>
                <xdr:col>4</xdr:col>
                <xdr:colOff>998220</xdr:colOff>
                <xdr:row>4</xdr:row>
                <xdr:rowOff>175260</xdr:rowOff>
              </from>
              <to>
                <xdr:col>4</xdr:col>
                <xdr:colOff>1973580</xdr:colOff>
                <xdr:row>6</xdr:row>
                <xdr:rowOff>0</xdr:rowOff>
              </to>
            </anchor>
          </controlPr>
        </control>
      </mc:Choice>
      <mc:Fallback>
        <control shapeId="2052" r:id="rId8" name="cmdEmissionSets"/>
      </mc:Fallback>
    </mc:AlternateContent>
    <mc:AlternateContent xmlns:mc="http://schemas.openxmlformats.org/markup-compatibility/2006">
      <mc:Choice Requires="x14">
        <control shapeId="2053" r:id="rId10" name="cmdMaterialSets">
          <controlPr defaultSize="0" autoLine="0" r:id="rId11">
            <anchor moveWithCells="1">
              <from>
                <xdr:col>4</xdr:col>
                <xdr:colOff>998220</xdr:colOff>
                <xdr:row>3</xdr:row>
                <xdr:rowOff>99060</xdr:rowOff>
              </from>
              <to>
                <xdr:col>4</xdr:col>
                <xdr:colOff>1973580</xdr:colOff>
                <xdr:row>4</xdr:row>
                <xdr:rowOff>121920</xdr:rowOff>
              </to>
            </anchor>
          </controlPr>
        </control>
      </mc:Choice>
      <mc:Fallback>
        <control shapeId="2053" r:id="rId10" name="cmdMaterialSets"/>
      </mc:Fallback>
    </mc:AlternateContent>
    <mc:AlternateContent xmlns:mc="http://schemas.openxmlformats.org/markup-compatibility/2006">
      <mc:Choice Requires="x14">
        <control shapeId="2061" r:id="rId12" name="cmdCheckCommoditiesSheet">
          <controlPr defaultSize="0" autoLine="0" autoPict="0" r:id="rId13">
            <anchor moveWithCells="1">
              <from>
                <xdr:col>0</xdr:col>
                <xdr:colOff>7620</xdr:colOff>
                <xdr:row>2</xdr:row>
                <xdr:rowOff>144780</xdr:rowOff>
              </from>
              <to>
                <xdr:col>0</xdr:col>
                <xdr:colOff>830580</xdr:colOff>
                <xdr:row>4</xdr:row>
                <xdr:rowOff>0</xdr:rowOff>
              </to>
            </anchor>
          </controlPr>
        </control>
      </mc:Choice>
      <mc:Fallback>
        <control shapeId="2061" r:id="rId12" name="cmdCheckCommoditiesSheet"/>
      </mc:Fallback>
    </mc:AlternateContent>
    <mc:AlternateContent xmlns:mc="http://schemas.openxmlformats.org/markup-compatibility/2006">
      <mc:Choice Requires="x14">
        <control shapeId="2063" r:id="rId14" name="cmdCommUnit">
          <controlPr defaultSize="0" autoLine="0" r:id="rId15">
            <anchor moveWithCells="1">
              <from>
                <xdr:col>3</xdr:col>
                <xdr:colOff>7620</xdr:colOff>
                <xdr:row>4</xdr:row>
                <xdr:rowOff>175260</xdr:rowOff>
              </from>
              <to>
                <xdr:col>3</xdr:col>
                <xdr:colOff>670560</xdr:colOff>
                <xdr:row>6</xdr:row>
                <xdr:rowOff>0</xdr:rowOff>
              </to>
            </anchor>
          </controlPr>
        </control>
      </mc:Choice>
      <mc:Fallback>
        <control shapeId="2063" r:id="rId14" name="cmdCommUnit"/>
      </mc:Fallback>
    </mc:AlternateContent>
    <mc:AlternateContent xmlns:mc="http://schemas.openxmlformats.org/markup-compatibility/2006">
      <mc:Choice Requires="x14">
        <control shapeId="2073" r:id="rId16" name="cmdRefreshUnits">
          <controlPr defaultSize="0" autoLine="0" r:id="rId17">
            <anchor moveWithCells="1">
              <from>
                <xdr:col>3</xdr:col>
                <xdr:colOff>68580</xdr:colOff>
                <xdr:row>2</xdr:row>
                <xdr:rowOff>114300</xdr:rowOff>
              </from>
              <to>
                <xdr:col>3</xdr:col>
                <xdr:colOff>624840</xdr:colOff>
                <xdr:row>4</xdr:row>
                <xdr:rowOff>106680</xdr:rowOff>
              </to>
            </anchor>
          </controlPr>
        </control>
      </mc:Choice>
      <mc:Fallback>
        <control shapeId="2073" r:id="rId16" name="cmdRefreshUnits"/>
      </mc:Fallback>
    </mc:AlternateContent>
    <mc:AlternateContent xmlns:mc="http://schemas.openxmlformats.org/markup-compatibility/2006">
      <mc:Choice Requires="x14">
        <control shapeId="2074" r:id="rId18" name="cmdTaxSubSets">
          <controlPr defaultSize="0" autoLine="0" r:id="rId19">
            <anchor moveWithCells="1">
              <from>
                <xdr:col>4</xdr:col>
                <xdr:colOff>541020</xdr:colOff>
                <xdr:row>2</xdr:row>
                <xdr:rowOff>0</xdr:rowOff>
              </from>
              <to>
                <xdr:col>4</xdr:col>
                <xdr:colOff>1516380</xdr:colOff>
                <xdr:row>3</xdr:row>
                <xdr:rowOff>68580</xdr:rowOff>
              </to>
            </anchor>
          </controlPr>
        </control>
      </mc:Choice>
      <mc:Fallback>
        <control shapeId="2074" r:id="rId18" name="cmdTaxSubSets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tabColor rgb="FFFFC000"/>
  </sheetPr>
  <dimension ref="B1:O34"/>
  <sheetViews>
    <sheetView workbookViewId="0">
      <pane xSplit="4" ySplit="7" topLeftCell="E8" activePane="bottomRight" state="frozen"/>
      <selection activeCell="A2" sqref="A2"/>
      <selection pane="topRight" activeCell="A2" sqref="A2"/>
      <selection pane="bottomLeft" activeCell="A2" sqref="A2"/>
      <selection pane="bottomRight" activeCell="D30" sqref="D30"/>
    </sheetView>
  </sheetViews>
  <sheetFormatPr defaultColWidth="9.109375" defaultRowHeight="13.2"/>
  <cols>
    <col min="1" max="1" width="9.109375" style="2"/>
    <col min="2" max="2" width="16.88671875" style="2" customWidth="1"/>
    <col min="3" max="3" width="11.6640625" style="2" customWidth="1"/>
    <col min="4" max="4" width="32.33203125" style="2" bestFit="1" customWidth="1"/>
    <col min="5" max="5" width="10.33203125" style="2" customWidth="1"/>
    <col min="6" max="6" width="29.6640625" style="2" customWidth="1"/>
    <col min="7" max="7" width="10.33203125" style="2" customWidth="1"/>
    <col min="8" max="16384" width="9.109375" style="2"/>
  </cols>
  <sheetData>
    <row r="1" spans="2:15">
      <c r="B1" s="1" t="s">
        <v>21</v>
      </c>
      <c r="C1" s="2" t="s">
        <v>162</v>
      </c>
    </row>
    <row r="4" spans="2:15" ht="17.25" customHeight="1"/>
    <row r="5" spans="2:15" ht="17.25" customHeight="1"/>
    <row r="6" spans="2:15" ht="15.75" customHeight="1"/>
    <row r="7" spans="2:15" customFormat="1" ht="15.75" customHeight="1">
      <c r="B7" s="97" t="s">
        <v>277</v>
      </c>
      <c r="E7" s="109"/>
      <c r="F7" s="109"/>
    </row>
    <row r="8" spans="2:15" customFormat="1">
      <c r="B8" s="98" t="s">
        <v>139</v>
      </c>
      <c r="C8" s="98" t="s">
        <v>5</v>
      </c>
      <c r="D8" s="98" t="s">
        <v>6</v>
      </c>
      <c r="E8" s="98" t="s">
        <v>278</v>
      </c>
      <c r="F8" s="98" t="s">
        <v>279</v>
      </c>
      <c r="G8" s="98" t="s">
        <v>280</v>
      </c>
      <c r="H8" s="98" t="s">
        <v>281</v>
      </c>
      <c r="I8" s="98" t="s">
        <v>282</v>
      </c>
      <c r="J8" s="98" t="s">
        <v>283</v>
      </c>
      <c r="O8" t="s">
        <v>1</v>
      </c>
    </row>
    <row r="9" spans="2:15">
      <c r="B9" s="101" t="s">
        <v>163</v>
      </c>
      <c r="C9" s="101" t="str">
        <f>CONCATENATE("ELC",Domestic!C6)</f>
        <v>ELCR1</v>
      </c>
      <c r="D9" s="101" t="str">
        <f>CONCATENATE("Electricity from ",Domestic!C6, " (",Domestic!B6,")")</f>
        <v>Electricity from R1 (NE)</v>
      </c>
      <c r="E9" s="104" t="s">
        <v>25</v>
      </c>
      <c r="F9" s="104" t="s">
        <v>301</v>
      </c>
      <c r="G9" s="106"/>
      <c r="H9" s="128" t="s">
        <v>353</v>
      </c>
      <c r="I9" s="128" t="s">
        <v>354</v>
      </c>
      <c r="J9" s="128" t="s">
        <v>23</v>
      </c>
    </row>
    <row r="10" spans="2:15">
      <c r="B10" s="101" t="s">
        <v>163</v>
      </c>
      <c r="C10" s="101" t="str">
        <f>CONCATENATE("ELC",Domestic!C7)</f>
        <v>ELCR2</v>
      </c>
      <c r="D10" s="101" t="str">
        <f>CONCATENATE("Electricity from ",Domestic!C7, " (",Domestic!B7,")")</f>
        <v>Electricity from R2 (MA)</v>
      </c>
      <c r="E10" s="104" t="s">
        <v>25</v>
      </c>
      <c r="F10" s="104" t="s">
        <v>301</v>
      </c>
      <c r="G10" s="101"/>
      <c r="H10" s="128" t="s">
        <v>353</v>
      </c>
      <c r="I10" s="128" t="s">
        <v>354</v>
      </c>
      <c r="J10" s="128" t="s">
        <v>23</v>
      </c>
    </row>
    <row r="11" spans="2:15">
      <c r="B11" s="101" t="s">
        <v>163</v>
      </c>
      <c r="C11" s="101" t="str">
        <f>CONCATENATE("ELC",Domestic!C8)</f>
        <v>ELCR3</v>
      </c>
      <c r="D11" s="101" t="str">
        <f>CONCATENATE("Electricity from ",Domestic!C8, " (",Domestic!B8,")")</f>
        <v>Electricity from R3 (ENC)</v>
      </c>
      <c r="E11" s="104" t="s">
        <v>25</v>
      </c>
      <c r="F11" s="104" t="s">
        <v>301</v>
      </c>
      <c r="G11" s="101"/>
      <c r="H11" s="128" t="s">
        <v>353</v>
      </c>
      <c r="I11" s="128" t="s">
        <v>354</v>
      </c>
      <c r="J11" s="128" t="s">
        <v>23</v>
      </c>
    </row>
    <row r="12" spans="2:15">
      <c r="B12" s="101" t="s">
        <v>163</v>
      </c>
      <c r="C12" s="101" t="str">
        <f>CONCATENATE("ELC",Domestic!C9)</f>
        <v>ELCR4</v>
      </c>
      <c r="D12" s="101" t="str">
        <f>CONCATENATE("Electricity from ",Domestic!C9, " (",Domestic!B9,")")</f>
        <v>Electricity from R4 (WNC)</v>
      </c>
      <c r="E12" s="104" t="s">
        <v>25</v>
      </c>
      <c r="F12" s="104" t="s">
        <v>301</v>
      </c>
      <c r="G12" s="101"/>
      <c r="H12" s="128" t="s">
        <v>353</v>
      </c>
      <c r="I12" s="128" t="s">
        <v>354</v>
      </c>
      <c r="J12" s="128" t="s">
        <v>23</v>
      </c>
    </row>
    <row r="13" spans="2:15">
      <c r="B13" s="101" t="s">
        <v>163</v>
      </c>
      <c r="C13" s="101" t="str">
        <f>CONCATENATE("ELC",Domestic!C10)</f>
        <v>ELCR5</v>
      </c>
      <c r="D13" s="101" t="str">
        <f>CONCATENATE("Electricity from ",Domestic!C10, " (",Domestic!B10,")")</f>
        <v>Electricity from R5 (SA)</v>
      </c>
      <c r="E13" s="104" t="s">
        <v>25</v>
      </c>
      <c r="F13" s="104" t="s">
        <v>301</v>
      </c>
      <c r="G13" s="101"/>
      <c r="H13" s="128" t="s">
        <v>353</v>
      </c>
      <c r="I13" s="128" t="s">
        <v>354</v>
      </c>
      <c r="J13" s="128" t="s">
        <v>23</v>
      </c>
    </row>
    <row r="14" spans="2:15">
      <c r="B14" s="101" t="s">
        <v>163</v>
      </c>
      <c r="C14" s="101" t="str">
        <f>CONCATENATE("ELC",Domestic!C11)</f>
        <v>ELCR6</v>
      </c>
      <c r="D14" s="101" t="str">
        <f>CONCATENATE("Electricity from ",Domestic!C11, " (",Domestic!B11,")")</f>
        <v>Electricity from R6 (ESC)</v>
      </c>
      <c r="E14" s="104" t="s">
        <v>25</v>
      </c>
      <c r="F14" s="104" t="s">
        <v>301</v>
      </c>
      <c r="G14" s="101"/>
      <c r="H14" s="128" t="s">
        <v>353</v>
      </c>
      <c r="I14" s="128" t="s">
        <v>354</v>
      </c>
      <c r="J14" s="128" t="s">
        <v>23</v>
      </c>
    </row>
    <row r="15" spans="2:15">
      <c r="B15" s="121" t="s">
        <v>82</v>
      </c>
      <c r="C15" s="101" t="str">
        <f>CONCATENATE("ELC",Domestic!C12)</f>
        <v>ELCR7</v>
      </c>
      <c r="D15" s="101" t="str">
        <f>CONCATENATE("Electricity from ",Domestic!C12, " (",Domestic!B12,")")</f>
        <v>Electricity from R7 (WSC)</v>
      </c>
      <c r="E15" s="104" t="s">
        <v>25</v>
      </c>
      <c r="F15" s="104" t="s">
        <v>301</v>
      </c>
      <c r="G15" s="101"/>
      <c r="H15" s="128" t="s">
        <v>353</v>
      </c>
      <c r="I15" s="128" t="s">
        <v>354</v>
      </c>
      <c r="J15" s="128" t="s">
        <v>23</v>
      </c>
    </row>
    <row r="16" spans="2:15">
      <c r="B16" s="101" t="s">
        <v>164</v>
      </c>
      <c r="C16" s="101" t="str">
        <f>CONCATENATE("ELC",Domestic!C13)</f>
        <v>ELCR8</v>
      </c>
      <c r="D16" s="101" t="str">
        <f>CONCATENATE("Electricity from ",Domestic!C13, " (",Domestic!B13,")")</f>
        <v>Electricity from R8 (MTN)</v>
      </c>
      <c r="E16" s="104" t="s">
        <v>25</v>
      </c>
      <c r="F16" s="104" t="s">
        <v>301</v>
      </c>
      <c r="G16" s="101"/>
      <c r="H16" s="128" t="s">
        <v>353</v>
      </c>
      <c r="I16" s="128" t="s">
        <v>354</v>
      </c>
      <c r="J16" s="128" t="s">
        <v>23</v>
      </c>
    </row>
    <row r="17" spans="2:10">
      <c r="B17" s="101" t="s">
        <v>165</v>
      </c>
      <c r="C17" s="101" t="str">
        <f>CONCATENATE("ELC",Domestic!C14)</f>
        <v>ELCR9</v>
      </c>
      <c r="D17" s="101" t="str">
        <f>CONCATENATE("Electricity from ",Domestic!C14, " (",Domestic!B14,")")</f>
        <v>Electricity from R9 (PAC)</v>
      </c>
      <c r="E17" s="104" t="s">
        <v>25</v>
      </c>
      <c r="F17" s="104" t="s">
        <v>301</v>
      </c>
      <c r="G17" s="101"/>
      <c r="H17" s="128" t="s">
        <v>353</v>
      </c>
      <c r="I17" s="128" t="s">
        <v>354</v>
      </c>
      <c r="J17" s="128" t="s">
        <v>23</v>
      </c>
    </row>
    <row r="18" spans="2:10">
      <c r="B18" s="101" t="s">
        <v>29</v>
      </c>
      <c r="C18" s="101"/>
      <c r="D18" s="101"/>
      <c r="E18" s="104"/>
      <c r="F18" s="104"/>
      <c r="G18" s="101"/>
      <c r="H18" s="128"/>
      <c r="I18" s="128"/>
      <c r="J18" s="128"/>
    </row>
    <row r="19" spans="2:10">
      <c r="B19" s="101" t="s">
        <v>166</v>
      </c>
      <c r="C19" s="101" t="str">
        <f>CONCATENATE("ELC",International!C7)</f>
        <v>ELCMX</v>
      </c>
      <c r="D19" s="101" t="str">
        <f>CONCATENATE("Electricity from R0"," (",International!B7,")")</f>
        <v>Electricity from R0 (Mexico)</v>
      </c>
      <c r="E19" s="104" t="s">
        <v>25</v>
      </c>
      <c r="F19" s="104" t="s">
        <v>301</v>
      </c>
      <c r="G19" s="101"/>
      <c r="H19" s="128" t="s">
        <v>353</v>
      </c>
      <c r="I19" s="128" t="s">
        <v>354</v>
      </c>
      <c r="J19" s="128" t="s">
        <v>23</v>
      </c>
    </row>
    <row r="20" spans="2:10">
      <c r="B20" s="101" t="s">
        <v>166</v>
      </c>
      <c r="C20" s="101" t="str">
        <f>CONCATENATE("ELC",International!C8)</f>
        <v>ELCBC</v>
      </c>
      <c r="D20" s="101" t="str">
        <f>CONCATENATE("Electricity from R0"," (",International!B8,")")</f>
        <v>Electricity from R0 (British Columbia)</v>
      </c>
      <c r="E20" s="104" t="s">
        <v>25</v>
      </c>
      <c r="F20" s="104" t="s">
        <v>301</v>
      </c>
      <c r="G20" s="101"/>
      <c r="H20" s="128" t="s">
        <v>353</v>
      </c>
      <c r="I20" s="128" t="s">
        <v>354</v>
      </c>
      <c r="J20" s="128" t="s">
        <v>23</v>
      </c>
    </row>
    <row r="21" spans="2:10">
      <c r="B21" s="101" t="s">
        <v>167</v>
      </c>
      <c r="C21" s="101" t="str">
        <f>CONCATENATE("ELC",International!C9)</f>
        <v>ELCMA</v>
      </c>
      <c r="D21" s="101" t="str">
        <f>CONCATENATE("Electricity from R0"," (",International!B9,")")</f>
        <v>Electricity from R0 (Manitoba)</v>
      </c>
      <c r="E21" s="104" t="s">
        <v>25</v>
      </c>
      <c r="F21" s="104" t="s">
        <v>301</v>
      </c>
      <c r="G21" s="101"/>
      <c r="H21" s="128" t="s">
        <v>353</v>
      </c>
      <c r="I21" s="128" t="s">
        <v>354</v>
      </c>
      <c r="J21" s="128" t="s">
        <v>23</v>
      </c>
    </row>
    <row r="22" spans="2:10">
      <c r="B22" s="101" t="s">
        <v>168</v>
      </c>
      <c r="C22" s="101" t="str">
        <f>CONCATENATE("ELC",International!C10)</f>
        <v>ELCON</v>
      </c>
      <c r="D22" s="101" t="str">
        <f>CONCATENATE("Electricity from R0"," (",International!B10,")")</f>
        <v>Electricity from R0 (Ontario)</v>
      </c>
      <c r="E22" s="104" t="s">
        <v>25</v>
      </c>
      <c r="F22" s="104" t="s">
        <v>301</v>
      </c>
      <c r="G22" s="101"/>
      <c r="H22" s="128" t="s">
        <v>353</v>
      </c>
      <c r="I22" s="128" t="s">
        <v>354</v>
      </c>
      <c r="J22" s="128" t="s">
        <v>23</v>
      </c>
    </row>
    <row r="23" spans="2:10">
      <c r="B23" s="101" t="s">
        <v>30</v>
      </c>
      <c r="C23" s="101" t="str">
        <f>CONCATENATE("ELC",International!C11)</f>
        <v>ELCQU</v>
      </c>
      <c r="D23" s="101" t="str">
        <f>CONCATENATE("Electricity from R0"," (",International!B11,")")</f>
        <v>Electricity from R0 (Quebec)</v>
      </c>
      <c r="E23" s="104" t="s">
        <v>25</v>
      </c>
      <c r="F23" s="104" t="s">
        <v>301</v>
      </c>
      <c r="G23" s="101"/>
      <c r="H23" s="128" t="s">
        <v>353</v>
      </c>
      <c r="I23" s="128" t="s">
        <v>354</v>
      </c>
      <c r="J23" s="128" t="s">
        <v>23</v>
      </c>
    </row>
    <row r="24" spans="2:10">
      <c r="B24" s="101" t="s">
        <v>31</v>
      </c>
      <c r="C24" s="101" t="str">
        <f>CONCATENATE("ELC",International!C12)</f>
        <v>ELCNB</v>
      </c>
      <c r="D24" s="101" t="str">
        <f>CONCATENATE("Electricity from R0"," (",International!B12,")")</f>
        <v>Electricity from R0 (New Brunswick)</v>
      </c>
      <c r="E24" s="104" t="s">
        <v>25</v>
      </c>
      <c r="F24" s="104" t="s">
        <v>301</v>
      </c>
      <c r="G24" s="101"/>
      <c r="H24" s="128" t="s">
        <v>353</v>
      </c>
      <c r="I24" s="128" t="s">
        <v>354</v>
      </c>
      <c r="J24" s="128" t="s">
        <v>23</v>
      </c>
    </row>
    <row r="26" spans="2:10">
      <c r="E26" s="6"/>
      <c r="F26" s="3"/>
    </row>
    <row r="27" spans="2:10">
      <c r="C27" s="1"/>
      <c r="F27" s="3"/>
    </row>
    <row r="28" spans="2:10">
      <c r="B28" s="101"/>
      <c r="C28" s="101" t="s">
        <v>23</v>
      </c>
      <c r="D28" s="101" t="s">
        <v>24</v>
      </c>
      <c r="E28" s="104" t="s">
        <v>25</v>
      </c>
      <c r="F28" s="104" t="s">
        <v>26</v>
      </c>
      <c r="G28" s="106"/>
      <c r="H28" s="101"/>
      <c r="I28" s="101"/>
      <c r="J28" s="101"/>
    </row>
    <row r="29" spans="2:10">
      <c r="F29" s="3"/>
    </row>
    <row r="31" spans="2:10">
      <c r="E31" s="3"/>
      <c r="F31" s="3"/>
    </row>
    <row r="33" spans="6:6">
      <c r="F33" s="3"/>
    </row>
    <row r="34" spans="6:6">
      <c r="F34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3.2"/>
  <cols>
    <col min="1" max="1" width="12.44140625" customWidth="1"/>
    <col min="2" max="2" width="11.109375" customWidth="1"/>
    <col min="3" max="3" width="27.33203125" customWidth="1"/>
    <col min="4" max="4" width="9.6640625" customWidth="1"/>
    <col min="5" max="5" width="9.88671875" customWidth="1"/>
    <col min="6" max="6" width="30.44140625" customWidth="1"/>
    <col min="7" max="7" width="10.44140625" customWidth="1"/>
  </cols>
  <sheetData>
    <row r="1" spans="1:12">
      <c r="A1" s="1" t="s">
        <v>15</v>
      </c>
      <c r="B1" s="2"/>
    </row>
    <row r="4" spans="1:12" ht="18" customHeight="1"/>
    <row r="7" spans="1:12">
      <c r="B7" s="1" t="s">
        <v>7</v>
      </c>
      <c r="C7" s="1" t="s">
        <v>8</v>
      </c>
      <c r="D7" s="1" t="s">
        <v>2</v>
      </c>
      <c r="E7" s="1" t="s">
        <v>3</v>
      </c>
      <c r="F7" s="1" t="s">
        <v>4</v>
      </c>
      <c r="G7" s="1" t="s">
        <v>1</v>
      </c>
    </row>
    <row r="8" spans="1:12">
      <c r="B8" s="1"/>
      <c r="C8" s="1"/>
      <c r="D8" s="1"/>
      <c r="E8" s="1"/>
      <c r="F8" s="1"/>
      <c r="G8" s="1"/>
    </row>
    <row r="9" spans="1:12">
      <c r="D9" s="3"/>
      <c r="E9" s="3"/>
      <c r="F9" s="3"/>
    </row>
    <row r="10" spans="1:12">
      <c r="F10" s="3"/>
    </row>
    <row r="11" spans="1:12">
      <c r="B11" s="1"/>
      <c r="C11" s="1"/>
      <c r="D11" s="12"/>
      <c r="E11" s="12"/>
    </row>
    <row r="12" spans="1:12">
      <c r="B12" s="8"/>
      <c r="C12" s="3"/>
      <c r="F12" s="12"/>
    </row>
    <row r="13" spans="1:12">
      <c r="B13" s="3"/>
      <c r="C13" s="3"/>
    </row>
    <row r="14" spans="1:12">
      <c r="B14" s="3"/>
      <c r="C14" s="3"/>
      <c r="D14" s="6"/>
      <c r="F14" s="3"/>
      <c r="L14" s="5"/>
    </row>
    <row r="15" spans="1:12">
      <c r="B15" s="3"/>
      <c r="C15" s="3"/>
      <c r="E15" s="6"/>
      <c r="F15" s="3"/>
    </row>
    <row r="16" spans="1:12">
      <c r="B16" s="3"/>
      <c r="C16" s="3"/>
      <c r="F16" s="3"/>
    </row>
    <row r="17" spans="2:6">
      <c r="D17" s="6"/>
    </row>
    <row r="18" spans="2:6">
      <c r="E18" s="6"/>
    </row>
    <row r="20" spans="2:6">
      <c r="B20" s="3"/>
      <c r="C20" s="3"/>
      <c r="F20" s="9"/>
    </row>
    <row r="21" spans="2:6">
      <c r="B21" s="3"/>
      <c r="C21" s="3"/>
    </row>
    <row r="22" spans="2:6">
      <c r="B22" s="3"/>
      <c r="C22" s="3"/>
      <c r="D22" s="3"/>
      <c r="E22" s="3"/>
      <c r="F22" s="3"/>
    </row>
    <row r="23" spans="2:6">
      <c r="B23" s="3"/>
      <c r="C23" s="3"/>
    </row>
    <row r="24" spans="2:6">
      <c r="B24" s="3"/>
      <c r="C24" s="3"/>
    </row>
    <row r="25" spans="2:6">
      <c r="D25" s="6"/>
      <c r="E25" s="6"/>
    </row>
    <row r="26" spans="2:6">
      <c r="F26" s="3"/>
    </row>
    <row r="27" spans="2:6">
      <c r="B27" s="4"/>
      <c r="C27" s="3"/>
      <c r="D27" s="6"/>
      <c r="E27" s="6"/>
    </row>
    <row r="28" spans="2:6">
      <c r="B28" s="3"/>
      <c r="C28" s="3"/>
      <c r="D28" s="9"/>
      <c r="E28" s="3"/>
      <c r="F28" s="3"/>
    </row>
    <row r="29" spans="2:6">
      <c r="B29" s="3"/>
      <c r="C29" s="3"/>
    </row>
    <row r="30" spans="2:6">
      <c r="B30" s="3"/>
      <c r="C30" s="3"/>
    </row>
    <row r="31" spans="2:6">
      <c r="B31" s="3"/>
      <c r="C31" s="3"/>
    </row>
    <row r="32" spans="2:6">
      <c r="B32" s="3"/>
      <c r="C32" s="3"/>
    </row>
    <row r="33" spans="2:6">
      <c r="B33" s="3"/>
      <c r="C33" s="3"/>
    </row>
    <row r="37" spans="2:6">
      <c r="B37" s="3"/>
      <c r="C37" s="3"/>
      <c r="F37" s="3"/>
    </row>
    <row r="38" spans="2:6">
      <c r="B38" s="4"/>
      <c r="C38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7345" r:id="rId4" name="cmdTechnologySets">
          <controlPr defaultSize="0" autoLine="0" r:id="rId5">
            <anchor moveWithCells="1">
              <from>
                <xdr:col>5</xdr:col>
                <xdr:colOff>22860</xdr:colOff>
                <xdr:row>4</xdr:row>
                <xdr:rowOff>22860</xdr:rowOff>
              </from>
              <to>
                <xdr:col>5</xdr:col>
                <xdr:colOff>1821180</xdr:colOff>
                <xdr:row>5</xdr:row>
                <xdr:rowOff>91440</xdr:rowOff>
              </to>
            </anchor>
          </controlPr>
        </control>
      </mc:Choice>
      <mc:Fallback>
        <control shapeId="57345" r:id="rId4" name="cmdTechnologySets"/>
      </mc:Fallback>
    </mc:AlternateContent>
    <mc:AlternateContent xmlns:mc="http://schemas.openxmlformats.org/markup-compatibility/2006">
      <mc:Choice Requires="x14">
        <control shapeId="57346" r:id="rId6" name="cmdCheckTechnologiesSheet">
          <controlPr defaultSize="0" autoLine="0" autoPict="0" r:id="rId7">
            <anchor moveWithCells="1">
              <from>
                <xdr:col>0</xdr:col>
                <xdr:colOff>7620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57346" r:id="rId6" name="cmdCheckTechnologiesSheet"/>
      </mc:Fallback>
    </mc:AlternateContent>
    <mc:AlternateContent xmlns:mc="http://schemas.openxmlformats.org/markup-compatibility/2006">
      <mc:Choice Requires="x14">
        <control shapeId="57347" r:id="rId8" name="cmdTACTUnit">
          <controlPr defaultSize="0" autoLine="0" r:id="rId9">
            <anchor moveWithCells="1">
              <from>
                <xdr:col>3</xdr:col>
                <xdr:colOff>7620</xdr:colOff>
                <xdr:row>4</xdr:row>
                <xdr:rowOff>22860</xdr:rowOff>
              </from>
              <to>
                <xdr:col>3</xdr:col>
                <xdr:colOff>647700</xdr:colOff>
                <xdr:row>5</xdr:row>
                <xdr:rowOff>91440</xdr:rowOff>
              </to>
            </anchor>
          </controlPr>
        </control>
      </mc:Choice>
      <mc:Fallback>
        <control shapeId="57347" r:id="rId8" name="cmdTACTUnit"/>
      </mc:Fallback>
    </mc:AlternateContent>
    <mc:AlternateContent xmlns:mc="http://schemas.openxmlformats.org/markup-compatibility/2006">
      <mc:Choice Requires="x14">
        <control shapeId="57348" r:id="rId10" name="cmdTCAPUnit">
          <controlPr defaultSize="0" autoLine="0" r:id="rId11">
            <anchor moveWithCells="1">
              <from>
                <xdr:col>4</xdr:col>
                <xdr:colOff>7620</xdr:colOff>
                <xdr:row>4</xdr:row>
                <xdr:rowOff>22860</xdr:rowOff>
              </from>
              <to>
                <xdr:col>4</xdr:col>
                <xdr:colOff>647700</xdr:colOff>
                <xdr:row>5</xdr:row>
                <xdr:rowOff>91440</xdr:rowOff>
              </to>
            </anchor>
          </controlPr>
        </control>
      </mc:Choice>
      <mc:Fallback>
        <control shapeId="57348" r:id="rId10" name="cmdTCAPUnit"/>
      </mc:Fallback>
    </mc:AlternateContent>
    <mc:AlternateContent xmlns:mc="http://schemas.openxmlformats.org/markup-compatibility/2006">
      <mc:Choice Requires="x14">
        <control shapeId="57349" r:id="rId12" name="cmdRefreshUnits">
          <controlPr defaultSize="0" autoLine="0" r:id="rId13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274320</xdr:colOff>
                <xdr:row>3</xdr:row>
                <xdr:rowOff>190500</xdr:rowOff>
              </to>
            </anchor>
          </controlPr>
        </control>
      </mc:Choice>
      <mc:Fallback>
        <control shapeId="57349" r:id="rId12" name="cmdRefreshUni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3.2"/>
  <cols>
    <col min="1" max="1" width="12.44140625" customWidth="1"/>
    <col min="2" max="2" width="11.109375" customWidth="1"/>
    <col min="3" max="3" width="27.33203125" customWidth="1"/>
    <col min="4" max="4" width="9.6640625" customWidth="1"/>
    <col min="5" max="5" width="9.88671875" customWidth="1"/>
    <col min="6" max="6" width="30.44140625" customWidth="1"/>
    <col min="7" max="7" width="10.44140625" customWidth="1"/>
  </cols>
  <sheetData>
    <row r="1" spans="1:12">
      <c r="A1" s="1" t="s">
        <v>15</v>
      </c>
      <c r="B1" s="2"/>
    </row>
    <row r="4" spans="1:12" ht="18" customHeight="1"/>
    <row r="7" spans="1:12">
      <c r="B7" s="1" t="s">
        <v>7</v>
      </c>
      <c r="C7" s="1" t="s">
        <v>8</v>
      </c>
      <c r="D7" s="1" t="s">
        <v>2</v>
      </c>
      <c r="E7" s="1" t="s">
        <v>3</v>
      </c>
      <c r="F7" s="1" t="s">
        <v>4</v>
      </c>
      <c r="G7" s="1" t="s">
        <v>1</v>
      </c>
    </row>
    <row r="8" spans="1:12">
      <c r="B8" s="1"/>
      <c r="C8" s="1"/>
      <c r="D8" s="1"/>
      <c r="E8" s="1"/>
      <c r="F8" s="1"/>
      <c r="G8" s="1"/>
    </row>
    <row r="9" spans="1:12">
      <c r="D9" s="3"/>
      <c r="E9" s="3"/>
      <c r="F9" s="3"/>
    </row>
    <row r="10" spans="1:12">
      <c r="F10" s="3"/>
    </row>
    <row r="11" spans="1:12">
      <c r="B11" s="1"/>
      <c r="C11" s="1"/>
      <c r="D11" s="12"/>
      <c r="E11" s="12"/>
    </row>
    <row r="12" spans="1:12">
      <c r="B12" s="8"/>
      <c r="C12" s="3"/>
      <c r="F12" s="12"/>
    </row>
    <row r="13" spans="1:12">
      <c r="B13" s="3"/>
      <c r="C13" s="3"/>
    </row>
    <row r="14" spans="1:12">
      <c r="B14" s="3"/>
      <c r="C14" s="3"/>
      <c r="D14" s="6"/>
      <c r="F14" s="3"/>
      <c r="L14" s="5"/>
    </row>
    <row r="15" spans="1:12">
      <c r="B15" s="3"/>
      <c r="C15" s="3"/>
      <c r="E15" s="6"/>
      <c r="F15" s="3"/>
    </row>
    <row r="16" spans="1:12">
      <c r="B16" s="3"/>
      <c r="C16" s="3"/>
      <c r="F16" s="3"/>
    </row>
    <row r="17" spans="2:6">
      <c r="D17" s="6"/>
    </row>
    <row r="18" spans="2:6">
      <c r="E18" s="6"/>
    </row>
    <row r="20" spans="2:6">
      <c r="B20" s="3"/>
      <c r="C20" s="3"/>
      <c r="F20" s="9"/>
    </row>
    <row r="21" spans="2:6">
      <c r="B21" s="3"/>
      <c r="C21" s="3"/>
    </row>
    <row r="22" spans="2:6">
      <c r="B22" s="3"/>
      <c r="C22" s="3"/>
      <c r="D22" s="3"/>
      <c r="E22" s="3"/>
      <c r="F22" s="3"/>
    </row>
    <row r="23" spans="2:6">
      <c r="B23" s="3"/>
      <c r="C23" s="3"/>
    </row>
    <row r="24" spans="2:6">
      <c r="B24" s="3"/>
      <c r="C24" s="3"/>
    </row>
    <row r="25" spans="2:6">
      <c r="D25" s="6"/>
      <c r="E25" s="6"/>
    </row>
    <row r="26" spans="2:6">
      <c r="F26" s="3"/>
    </row>
    <row r="27" spans="2:6">
      <c r="B27" s="4"/>
      <c r="C27" s="3"/>
      <c r="D27" s="6"/>
      <c r="E27" s="6"/>
    </row>
    <row r="28" spans="2:6">
      <c r="B28" s="3"/>
      <c r="C28" s="3"/>
      <c r="D28" s="9"/>
      <c r="E28" s="3"/>
      <c r="F28" s="3"/>
    </row>
    <row r="29" spans="2:6">
      <c r="B29" s="3"/>
      <c r="C29" s="3"/>
    </row>
    <row r="30" spans="2:6">
      <c r="B30" s="3"/>
      <c r="C30" s="3"/>
    </row>
    <row r="31" spans="2:6">
      <c r="B31" s="3"/>
      <c r="C31" s="3"/>
    </row>
    <row r="32" spans="2:6">
      <c r="B32" s="3"/>
      <c r="C32" s="3"/>
    </row>
    <row r="33" spans="2:6">
      <c r="B33" s="3"/>
      <c r="C33" s="3"/>
    </row>
    <row r="37" spans="2:6">
      <c r="B37" s="3"/>
      <c r="C37" s="3"/>
      <c r="F37" s="3"/>
    </row>
    <row r="38" spans="2:6">
      <c r="B38" s="4"/>
      <c r="C38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mdTechnologySets">
          <controlPr defaultSize="0" autoLine="0" r:id="rId5">
            <anchor moveWithCells="1">
              <from>
                <xdr:col>5</xdr:col>
                <xdr:colOff>22860</xdr:colOff>
                <xdr:row>4</xdr:row>
                <xdr:rowOff>22860</xdr:rowOff>
              </from>
              <to>
                <xdr:col>5</xdr:col>
                <xdr:colOff>1821180</xdr:colOff>
                <xdr:row>5</xdr:row>
                <xdr:rowOff>91440</xdr:rowOff>
              </to>
            </anchor>
          </controlPr>
        </control>
      </mc:Choice>
      <mc:Fallback>
        <control shapeId="1025" r:id="rId4" name="cmdTechnologySets"/>
      </mc:Fallback>
    </mc:AlternateContent>
    <mc:AlternateContent xmlns:mc="http://schemas.openxmlformats.org/markup-compatibility/2006">
      <mc:Choice Requires="x14">
        <control shapeId="1034" r:id="rId6" name="cmdCheckTechnologiesSheet">
          <controlPr defaultSize="0" autoLine="0" autoPict="0" r:id="rId7">
            <anchor moveWithCells="1">
              <from>
                <xdr:col>0</xdr:col>
                <xdr:colOff>7620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6" name="cmdCheckTechnologiesShee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7620</xdr:colOff>
                <xdr:row>4</xdr:row>
                <xdr:rowOff>22860</xdr:rowOff>
              </from>
              <to>
                <xdr:col>3</xdr:col>
                <xdr:colOff>647700</xdr:colOff>
                <xdr:row>5</xdr:row>
                <xdr:rowOff>91440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6" r:id="rId10" name="cmdTCAPUnit">
          <controlPr defaultSize="0" autoLine="0" r:id="rId11">
            <anchor moveWithCells="1">
              <from>
                <xdr:col>4</xdr:col>
                <xdr:colOff>7620</xdr:colOff>
                <xdr:row>4</xdr:row>
                <xdr:rowOff>22860</xdr:rowOff>
              </from>
              <to>
                <xdr:col>4</xdr:col>
                <xdr:colOff>647700</xdr:colOff>
                <xdr:row>5</xdr:row>
                <xdr:rowOff>91440</xdr:rowOff>
              </to>
            </anchor>
          </controlPr>
        </control>
      </mc:Choice>
      <mc:Fallback>
        <control shapeId="1036" r:id="rId10" name="cmdTCAPUnit"/>
      </mc:Fallback>
    </mc:AlternateContent>
    <mc:AlternateContent xmlns:mc="http://schemas.openxmlformats.org/markup-compatibility/2006">
      <mc:Choice Requires="x14">
        <control shapeId="1135" r:id="rId12" name="cmdRefreshUnits">
          <controlPr defaultSize="0" autoLine="0" r:id="rId13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274320</xdr:colOff>
                <xdr:row>3</xdr:row>
                <xdr:rowOff>190500</xdr:rowOff>
              </to>
            </anchor>
          </controlPr>
        </control>
      </mc:Choice>
      <mc:Fallback>
        <control shapeId="1135" r:id="rId12" name="cmdRefreshUnits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3.2"/>
  <cols>
    <col min="1" max="1" width="12" customWidth="1"/>
    <col min="2" max="2" width="11.6640625" customWidth="1"/>
    <col min="3" max="3" width="21.44140625" customWidth="1"/>
    <col min="4" max="4" width="8.6640625" customWidth="1"/>
    <col min="5" max="5" width="18.109375" customWidth="1"/>
    <col min="6" max="6" width="10.33203125" customWidth="1"/>
  </cols>
  <sheetData>
    <row r="1" spans="1:6">
      <c r="A1" s="1" t="s">
        <v>16</v>
      </c>
      <c r="B1" s="2"/>
    </row>
    <row r="4" spans="1:6" ht="18.75" customHeight="1"/>
    <row r="5" spans="1:6" ht="17.25" customHeight="1">
      <c r="C5" s="3"/>
    </row>
    <row r="6" spans="1:6" ht="15.75" customHeight="1"/>
    <row r="7" spans="1:6">
      <c r="B7" s="4" t="s">
        <v>12</v>
      </c>
      <c r="C7" s="1" t="s">
        <v>13</v>
      </c>
      <c r="D7" s="1" t="s">
        <v>9</v>
      </c>
      <c r="E7" s="1" t="s">
        <v>4</v>
      </c>
      <c r="F7" s="1" t="s">
        <v>1</v>
      </c>
    </row>
    <row r="8" spans="1:6">
      <c r="B8" s="1"/>
      <c r="C8" s="1"/>
      <c r="D8" s="1"/>
      <c r="E8" s="3"/>
      <c r="F8" s="1"/>
    </row>
    <row r="10" spans="1:6">
      <c r="B10" s="3"/>
      <c r="C10" s="3"/>
      <c r="D10" s="12"/>
      <c r="E10" s="12"/>
    </row>
    <row r="11" spans="1:6">
      <c r="B11" s="3"/>
      <c r="C11" s="3"/>
    </row>
    <row r="12" spans="1:6">
      <c r="B12" s="3"/>
      <c r="C12" s="3"/>
      <c r="D12" s="3"/>
      <c r="E12" s="3"/>
    </row>
    <row r="13" spans="1:6">
      <c r="B13" s="3"/>
      <c r="C13" s="3"/>
      <c r="D13" s="6"/>
      <c r="E13" s="3"/>
    </row>
    <row r="14" spans="1:6">
      <c r="B14" s="3"/>
      <c r="C14" s="3"/>
      <c r="D14" s="3"/>
      <c r="E14" s="3"/>
    </row>
    <row r="15" spans="1:6">
      <c r="B15" s="3"/>
      <c r="C15" s="3"/>
      <c r="E15" s="3"/>
    </row>
    <row r="16" spans="1:6">
      <c r="B16" s="3"/>
      <c r="C16" s="3"/>
    </row>
    <row r="17" spans="2:5">
      <c r="B17" s="3"/>
      <c r="C17" s="3"/>
      <c r="D17" s="6"/>
      <c r="E17" s="3"/>
    </row>
    <row r="18" spans="2:5">
      <c r="B18" s="4"/>
      <c r="C18" s="3"/>
      <c r="E18" s="3"/>
    </row>
    <row r="19" spans="2:5">
      <c r="E19" s="3"/>
    </row>
    <row r="21" spans="2:5">
      <c r="B21" s="3"/>
      <c r="C21" s="3"/>
      <c r="D21" s="3"/>
      <c r="E21" s="3"/>
    </row>
    <row r="22" spans="2:5">
      <c r="B22" s="3"/>
      <c r="C22" s="3"/>
    </row>
    <row r="23" spans="2:5">
      <c r="B23" s="3"/>
      <c r="C23" s="3"/>
      <c r="E23" s="3"/>
    </row>
    <row r="24" spans="2:5">
      <c r="D24" s="3"/>
      <c r="E24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42" r:id="rId4" name="cmdConstraintSets">
          <controlPr defaultSize="0" autoLine="0" r:id="rId5">
            <anchor moveWithCells="1">
              <from>
                <xdr:col>4</xdr:col>
                <xdr:colOff>22860</xdr:colOff>
                <xdr:row>4</xdr:row>
                <xdr:rowOff>22860</xdr:rowOff>
              </from>
              <to>
                <xdr:col>4</xdr:col>
                <xdr:colOff>998220</xdr:colOff>
                <xdr:row>5</xdr:row>
                <xdr:rowOff>45720</xdr:rowOff>
              </to>
            </anchor>
          </controlPr>
        </control>
      </mc:Choice>
      <mc:Fallback>
        <control shapeId="10242" r:id="rId4" name="cmdConstraintSets"/>
      </mc:Fallback>
    </mc:AlternateContent>
    <mc:AlternateContent xmlns:mc="http://schemas.openxmlformats.org/markup-compatibility/2006">
      <mc:Choice Requires="x14">
        <control shapeId="10246" r:id="rId6" name="cmdCheckConstraintsSheet">
          <controlPr defaultSize="0" autoLine="0" r:id="rId7">
            <anchor moveWithCells="1">
              <from>
                <xdr:col>0</xdr:col>
                <xdr:colOff>7620</xdr:colOff>
                <xdr:row>3</xdr:row>
                <xdr:rowOff>0</xdr:rowOff>
              </from>
              <to>
                <xdr:col>0</xdr:col>
                <xdr:colOff>792480</xdr:colOff>
                <xdr:row>4</xdr:row>
                <xdr:rowOff>0</xdr:rowOff>
              </to>
            </anchor>
          </controlPr>
        </control>
      </mc:Choice>
      <mc:Fallback>
        <control shapeId="10246" r:id="rId6" name="cmdCheckConstraintsSheet"/>
      </mc:Fallback>
    </mc:AlternateContent>
    <mc:AlternateContent xmlns:mc="http://schemas.openxmlformats.org/markup-compatibility/2006">
      <mc:Choice Requires="x14">
        <control shapeId="10247" r:id="rId8" name="cmdConstraintUnit">
          <controlPr defaultSize="0" autoLine="0" r:id="rId9">
            <anchor moveWithCells="1">
              <from>
                <xdr:col>3</xdr:col>
                <xdr:colOff>22860</xdr:colOff>
                <xdr:row>4</xdr:row>
                <xdr:rowOff>7620</xdr:rowOff>
              </from>
              <to>
                <xdr:col>3</xdr:col>
                <xdr:colOff>579120</xdr:colOff>
                <xdr:row>5</xdr:row>
                <xdr:rowOff>30480</xdr:rowOff>
              </to>
            </anchor>
          </controlPr>
        </control>
      </mc:Choice>
      <mc:Fallback>
        <control shapeId="10247" r:id="rId8" name="cmdConstraintUnit"/>
      </mc:Fallback>
    </mc:AlternateContent>
    <mc:AlternateContent xmlns:mc="http://schemas.openxmlformats.org/markup-compatibility/2006">
      <mc:Choice Requires="x14">
        <control shapeId="10359" r:id="rId10" name="cmdRefreshUnits">
          <controlPr defaultSize="0" autoLine="0" r:id="rId11">
            <anchor moveWithCells="1">
              <from>
                <xdr:col>3</xdr:col>
                <xdr:colOff>22860</xdr:colOff>
                <xdr:row>2</xdr:row>
                <xdr:rowOff>45720</xdr:rowOff>
              </from>
              <to>
                <xdr:col>3</xdr:col>
                <xdr:colOff>579120</xdr:colOff>
                <xdr:row>4</xdr:row>
                <xdr:rowOff>15240</xdr:rowOff>
              </to>
            </anchor>
          </controlPr>
        </control>
      </mc:Choice>
      <mc:Fallback>
        <control shapeId="10359" r:id="rId10" name="cmdRefreshUnits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3.2"/>
  <cols>
    <col min="1" max="1" width="10.5546875" customWidth="1"/>
    <col min="2" max="2" width="11.6640625" customWidth="1"/>
    <col min="3" max="3" width="24" customWidth="1"/>
    <col min="4" max="4" width="5.44140625" customWidth="1"/>
    <col min="6" max="6" width="10.109375" bestFit="1" customWidth="1"/>
  </cols>
  <sheetData>
    <row r="1" spans="1:8">
      <c r="A1" s="1" t="s">
        <v>17</v>
      </c>
      <c r="B1" s="2"/>
    </row>
    <row r="3" spans="1:8" ht="15" customHeight="1"/>
    <row r="4" spans="1:8" ht="20.25" customHeight="1"/>
    <row r="5" spans="1:8" ht="19.5" customHeight="1">
      <c r="E5" s="3"/>
      <c r="F5" s="3"/>
      <c r="G5" s="12"/>
      <c r="H5" s="12"/>
    </row>
    <row r="6" spans="1:8" ht="19.5" customHeight="1">
      <c r="E6" s="9"/>
      <c r="F6" s="9"/>
      <c r="G6" s="12"/>
      <c r="H6" s="12"/>
    </row>
    <row r="7" spans="1:8">
      <c r="B7" s="1" t="s">
        <v>5</v>
      </c>
      <c r="C7" s="1" t="s">
        <v>6</v>
      </c>
      <c r="D7" s="1" t="s">
        <v>9</v>
      </c>
      <c r="E7" s="11"/>
      <c r="F7" s="7"/>
      <c r="G7" s="7"/>
      <c r="H7" s="12"/>
    </row>
    <row r="9" spans="1:8">
      <c r="B9" s="9"/>
      <c r="C9" s="9"/>
      <c r="D9" s="9"/>
    </row>
    <row r="10" spans="1:8">
      <c r="B10" s="9"/>
      <c r="C10" s="9"/>
      <c r="D10" s="9"/>
    </row>
    <row r="13" spans="1:8">
      <c r="B13" s="9"/>
      <c r="C13" s="9"/>
      <c r="D13" s="9"/>
    </row>
    <row r="15" spans="1:8">
      <c r="B15" s="9"/>
      <c r="C15" s="9"/>
      <c r="D15" s="9"/>
    </row>
    <row r="17" spans="2:4">
      <c r="B17" s="9"/>
      <c r="C17" s="9"/>
      <c r="D17" s="9"/>
    </row>
    <row r="19" spans="2:4">
      <c r="B19" s="9"/>
      <c r="C19" s="9"/>
      <c r="D19" s="9"/>
    </row>
    <row r="21" spans="2:4">
      <c r="B21" s="9"/>
      <c r="C21" s="9"/>
      <c r="D21" s="9"/>
    </row>
    <row r="23" spans="2:4">
      <c r="B23" s="9"/>
      <c r="C23" s="9"/>
      <c r="D23" s="9"/>
    </row>
  </sheetData>
  <phoneticPr fontId="0" type="noConversion"/>
  <conditionalFormatting sqref="B13">
    <cfRule type="cellIs" dxfId="13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cmdAddParameter">
          <controlPr defaultSize="0" autoLine="0" r:id="rId5">
            <anchor moveWithCells="1">
              <from>
                <xdr:col>0</xdr:col>
                <xdr:colOff>7620</xdr:colOff>
                <xdr:row>4</xdr:row>
                <xdr:rowOff>7620</xdr:rowOff>
              </from>
              <to>
                <xdr:col>0</xdr:col>
                <xdr:colOff>693420</xdr:colOff>
                <xdr:row>5</xdr:row>
                <xdr:rowOff>0</xdr:rowOff>
              </to>
            </anchor>
          </controlPr>
        </control>
      </mc:Choice>
      <mc:Fallback>
        <control shapeId="4097" r:id="rId4" name="cmdAddParameter"/>
      </mc:Fallback>
    </mc:AlternateContent>
    <mc:AlternateContent xmlns:mc="http://schemas.openxmlformats.org/markup-compatibility/2006">
      <mc:Choice Requires="x14">
        <control shapeId="4098" r:id="rId6" name="cmdCommNameAndDesc">
          <controlPr defaultSize="0" autoLine="0" autoPict="0" r:id="rId7">
            <anchor moveWithCells="1">
              <from>
                <xdr:col>1</xdr:col>
                <xdr:colOff>0</xdr:colOff>
                <xdr:row>3</xdr:row>
                <xdr:rowOff>22860</xdr:rowOff>
              </from>
              <to>
                <xdr:col>2</xdr:col>
                <xdr:colOff>1394460</xdr:colOff>
                <xdr:row>4</xdr:row>
                <xdr:rowOff>0</xdr:rowOff>
              </to>
            </anchor>
          </controlPr>
        </control>
      </mc:Choice>
      <mc:Fallback>
        <control shapeId="4098" r:id="rId6" name="cmdCommNameAndDesc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7620</xdr:colOff>
                <xdr:row>5</xdr:row>
                <xdr:rowOff>0</xdr:rowOff>
              </from>
              <to>
                <xdr:col>0</xdr:col>
                <xdr:colOff>693420</xdr:colOff>
                <xdr:row>5</xdr:row>
                <xdr:rowOff>236220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106" r:id="rId10" name="cmdCheckCommDataSheet">
          <controlPr defaultSize="0" autoLine="0" r:id="rId11">
            <anchor moveWithCells="1">
              <from>
                <xdr:col>0</xdr:col>
                <xdr:colOff>7620</xdr:colOff>
                <xdr:row>3</xdr:row>
                <xdr:rowOff>22860</xdr:rowOff>
              </from>
              <to>
                <xdr:col>0</xdr:col>
                <xdr:colOff>693420</xdr:colOff>
                <xdr:row>4</xdr:row>
                <xdr:rowOff>7620</xdr:rowOff>
              </to>
            </anchor>
          </controlPr>
        </control>
      </mc:Choice>
      <mc:Fallback>
        <control shapeId="4106" r:id="rId10" name="cmdCheckCommDataSheet"/>
      </mc:Fallback>
    </mc:AlternateContent>
    <mc:AlternateContent xmlns:mc="http://schemas.openxmlformats.org/markup-compatibility/2006">
      <mc:Choice Requires="x14">
        <control shapeId="4299" r:id="rId12" name="cmdRefreshUnits">
          <controlPr defaultSize="0" autoLine="0" r:id="rId13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3</xdr:col>
                <xdr:colOff>320040</xdr:colOff>
                <xdr:row>4</xdr:row>
                <xdr:rowOff>7620</xdr:rowOff>
              </to>
            </anchor>
          </controlPr>
        </control>
      </mc:Choice>
      <mc:Fallback>
        <control shapeId="4299" r:id="rId12" name="cmdRefreshUnits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FFC000"/>
  </sheetPr>
  <dimension ref="B1:O350"/>
  <sheetViews>
    <sheetView zoomScale="75" workbookViewId="0">
      <selection activeCell="E49" sqref="E49:G51"/>
    </sheetView>
  </sheetViews>
  <sheetFormatPr defaultColWidth="9.109375" defaultRowHeight="13.2"/>
  <cols>
    <col min="2" max="2" width="14.5546875" style="2" customWidth="1"/>
    <col min="3" max="3" width="15.5546875" style="2" customWidth="1"/>
    <col min="4" max="4" width="45.33203125" style="2" bestFit="1" customWidth="1"/>
    <col min="5" max="5" width="9.6640625" customWidth="1"/>
    <col min="6" max="6" width="9.88671875" customWidth="1"/>
    <col min="7" max="7" width="30.44140625" customWidth="1"/>
    <col min="8" max="8" width="10.44140625" customWidth="1"/>
  </cols>
  <sheetData>
    <row r="1" spans="2:15">
      <c r="B1" s="1" t="s">
        <v>32</v>
      </c>
      <c r="C1" s="2" t="s">
        <v>162</v>
      </c>
    </row>
    <row r="4" spans="2:15" ht="18" customHeight="1"/>
    <row r="6" spans="2:15">
      <c r="B6" s="97" t="s">
        <v>284</v>
      </c>
      <c r="C6"/>
      <c r="D6"/>
    </row>
    <row r="7" spans="2:15">
      <c r="B7" s="98" t="s">
        <v>139</v>
      </c>
      <c r="C7" s="98" t="s">
        <v>7</v>
      </c>
      <c r="D7" s="98" t="s">
        <v>8</v>
      </c>
      <c r="E7" s="100" t="s">
        <v>285</v>
      </c>
      <c r="F7" s="100" t="s">
        <v>286</v>
      </c>
      <c r="G7" s="98" t="s">
        <v>287</v>
      </c>
      <c r="H7" s="100" t="s">
        <v>288</v>
      </c>
      <c r="I7" s="100" t="s">
        <v>289</v>
      </c>
      <c r="J7" s="129" t="s">
        <v>355</v>
      </c>
      <c r="O7" s="98" t="s">
        <v>1</v>
      </c>
    </row>
    <row r="8" spans="2:15">
      <c r="B8" s="101" t="s">
        <v>42</v>
      </c>
      <c r="C8" s="101"/>
      <c r="D8" s="101"/>
      <c r="E8" s="102"/>
      <c r="F8" s="103"/>
      <c r="G8" s="102"/>
      <c r="H8" s="102"/>
      <c r="I8" s="102"/>
    </row>
    <row r="9" spans="2:15">
      <c r="B9" s="121" t="s">
        <v>63</v>
      </c>
      <c r="C9" s="101" t="str">
        <f>TechData_DomELC_XLim!B7</f>
        <v>XELCR1</v>
      </c>
      <c r="D9" s="101" t="str">
        <f>TechData_DomELC_XLim!C7</f>
        <v>Domestic Trade from R1</v>
      </c>
      <c r="E9" s="104" t="s">
        <v>25</v>
      </c>
      <c r="F9" s="104" t="s">
        <v>43</v>
      </c>
      <c r="G9" s="104" t="s">
        <v>274</v>
      </c>
      <c r="H9" s="102"/>
      <c r="I9" s="102"/>
      <c r="J9" s="130" t="s">
        <v>353</v>
      </c>
    </row>
    <row r="10" spans="2:15">
      <c r="B10" s="121" t="s">
        <v>27</v>
      </c>
      <c r="C10" s="101" t="str">
        <f>TechData_DomELC_XLim!B8</f>
        <v>XELCR2</v>
      </c>
      <c r="D10" s="101" t="str">
        <f>TechData_DomELC_XLim!C8</f>
        <v>Domestic Trade from R2</v>
      </c>
      <c r="E10" s="104" t="s">
        <v>25</v>
      </c>
      <c r="F10" s="104" t="s">
        <v>43</v>
      </c>
      <c r="G10" s="104" t="s">
        <v>274</v>
      </c>
      <c r="H10" s="102"/>
      <c r="I10" s="102"/>
      <c r="J10" s="130" t="s">
        <v>353</v>
      </c>
    </row>
    <row r="11" spans="2:15">
      <c r="B11" s="121" t="s">
        <v>64</v>
      </c>
      <c r="C11" s="101" t="str">
        <f>TechData_DomELC_XLim!B9</f>
        <v>XELCR3</v>
      </c>
      <c r="D11" s="101" t="str">
        <f>TechData_DomELC_XLim!C9</f>
        <v>Domestic Trade from R3</v>
      </c>
      <c r="E11" s="104" t="s">
        <v>25</v>
      </c>
      <c r="F11" s="104" t="s">
        <v>43</v>
      </c>
      <c r="G11" s="104" t="s">
        <v>274</v>
      </c>
      <c r="H11" s="102"/>
      <c r="I11" s="102"/>
      <c r="J11" s="130" t="s">
        <v>353</v>
      </c>
    </row>
    <row r="12" spans="2:15">
      <c r="B12" s="121" t="s">
        <v>65</v>
      </c>
      <c r="C12" s="101" t="str">
        <f>TechData_DomELC_XLim!B10</f>
        <v>XELCR4</v>
      </c>
      <c r="D12" s="101" t="str">
        <f>TechData_DomELC_XLim!C10</f>
        <v>Domestic Trade from R4</v>
      </c>
      <c r="E12" s="104" t="s">
        <v>25</v>
      </c>
      <c r="F12" s="104" t="s">
        <v>43</v>
      </c>
      <c r="G12" s="104" t="s">
        <v>274</v>
      </c>
      <c r="H12" s="102"/>
      <c r="I12" s="102"/>
      <c r="J12" s="130" t="s">
        <v>353</v>
      </c>
    </row>
    <row r="13" spans="2:15">
      <c r="B13" s="121" t="s">
        <v>66</v>
      </c>
      <c r="C13" s="101" t="str">
        <f>TechData_DomELC_XLim!B11</f>
        <v>XELCR5</v>
      </c>
      <c r="D13" s="101" t="str">
        <f>TechData_DomELC_XLim!C11</f>
        <v>Domestic Trade from R5</v>
      </c>
      <c r="E13" s="104" t="s">
        <v>25</v>
      </c>
      <c r="F13" s="104" t="s">
        <v>43</v>
      </c>
      <c r="G13" s="104" t="s">
        <v>274</v>
      </c>
      <c r="H13" s="102"/>
      <c r="I13" s="102"/>
      <c r="J13" s="130" t="s">
        <v>353</v>
      </c>
    </row>
    <row r="14" spans="2:15">
      <c r="B14" s="121" t="s">
        <v>67</v>
      </c>
      <c r="C14" s="101" t="str">
        <f>TechData_DomELC_XLim!B12</f>
        <v>XELCR6</v>
      </c>
      <c r="D14" s="101" t="str">
        <f>TechData_DomELC_XLim!C12</f>
        <v>Domestic Trade from R6</v>
      </c>
      <c r="E14" s="104" t="s">
        <v>25</v>
      </c>
      <c r="F14" s="104" t="s">
        <v>43</v>
      </c>
      <c r="G14" s="104" t="s">
        <v>274</v>
      </c>
      <c r="H14" s="102"/>
      <c r="I14" s="102"/>
      <c r="J14" s="130" t="s">
        <v>353</v>
      </c>
    </row>
    <row r="15" spans="2:15">
      <c r="B15" s="101" t="str">
        <f>TechData_DomELC_XLim!A16</f>
        <v>* Domestic Trade Processes, Infastructure - Existing</v>
      </c>
      <c r="C15" s="101"/>
      <c r="D15" s="101"/>
      <c r="E15" s="102"/>
      <c r="F15" s="103"/>
      <c r="G15" s="102"/>
      <c r="H15" s="102"/>
      <c r="I15" s="102"/>
      <c r="J15" s="130" t="s">
        <v>353</v>
      </c>
    </row>
    <row r="16" spans="2:15">
      <c r="B16" s="101" t="s">
        <v>169</v>
      </c>
      <c r="C16" s="101" t="str">
        <f>CONCATENATE("XELC",Domestic!C6,"E")</f>
        <v>XELCR1E</v>
      </c>
      <c r="D16" s="101" t="str">
        <f>CONCATENATE("Electricity Imports from ",Domestic!C6," to ",Domestic!D$5," -  Existing")</f>
        <v>Electricity Imports from R1 to R1 -  Existing</v>
      </c>
      <c r="E16" s="104"/>
      <c r="F16" s="104"/>
      <c r="G16" s="104"/>
      <c r="H16" s="102"/>
      <c r="I16" s="102"/>
      <c r="J16" s="130" t="s">
        <v>353</v>
      </c>
    </row>
    <row r="17" spans="2:10">
      <c r="B17" s="101" t="s">
        <v>63</v>
      </c>
      <c r="C17" s="101" t="str">
        <f>CONCATENATE("XELC",Domestic!C7,"E")</f>
        <v>XELCR2E</v>
      </c>
      <c r="D17" s="101" t="str">
        <f>CONCATENATE("Electricity Imports from ",Domestic!C7," to ",Domestic!D$5," -  Existing")</f>
        <v>Electricity Imports from R2 to R1 -  Existing</v>
      </c>
      <c r="E17" s="104" t="s">
        <v>25</v>
      </c>
      <c r="F17" s="104" t="s">
        <v>43</v>
      </c>
      <c r="G17" s="104" t="s">
        <v>274</v>
      </c>
      <c r="H17" s="102"/>
      <c r="I17" s="102"/>
      <c r="J17" s="130" t="s">
        <v>353</v>
      </c>
    </row>
    <row r="18" spans="2:10">
      <c r="B18" s="101" t="s">
        <v>27</v>
      </c>
      <c r="C18" s="101" t="str">
        <f>CONCATENATE("XELC",Domestic!C8,"E")</f>
        <v>XELCR3E</v>
      </c>
      <c r="D18" s="101" t="str">
        <f>CONCATENATE("Electricity Imports from ",Domestic!C8," to ",Domestic!D$5," -  Existing")</f>
        <v>Electricity Imports from R3 to R1 -  Existing</v>
      </c>
      <c r="E18" s="104" t="s">
        <v>25</v>
      </c>
      <c r="F18" s="104" t="s">
        <v>43</v>
      </c>
      <c r="G18" s="104" t="s">
        <v>274</v>
      </c>
      <c r="H18" s="102"/>
      <c r="I18" s="102"/>
      <c r="J18" s="130" t="s">
        <v>353</v>
      </c>
    </row>
    <row r="19" spans="2:10">
      <c r="B19" s="101" t="s">
        <v>64</v>
      </c>
      <c r="C19" s="101" t="str">
        <f>CONCATENATE("XELC",Domestic!C9,"E")</f>
        <v>XELCR4E</v>
      </c>
      <c r="D19" s="101" t="str">
        <f>CONCATENATE("Electricity Imports from ",Domestic!C9," to ",Domestic!D$5," -  Existing")</f>
        <v>Electricity Imports from R4 to R1 -  Existing</v>
      </c>
      <c r="E19" s="104" t="s">
        <v>25</v>
      </c>
      <c r="F19" s="104" t="s">
        <v>43</v>
      </c>
      <c r="G19" s="104" t="s">
        <v>274</v>
      </c>
      <c r="H19" s="102"/>
      <c r="I19" s="102"/>
      <c r="J19" s="130" t="s">
        <v>353</v>
      </c>
    </row>
    <row r="20" spans="2:10">
      <c r="B20" s="101" t="s">
        <v>65</v>
      </c>
      <c r="C20" s="101" t="str">
        <f>CONCATENATE("XELC",Domestic!C10,"E")</f>
        <v>XELCR5E</v>
      </c>
      <c r="D20" s="101" t="str">
        <f>CONCATENATE("Electricity Imports from ",Domestic!C10," to ",Domestic!D$5," -  Existing")</f>
        <v>Electricity Imports from R5 to R1 -  Existing</v>
      </c>
      <c r="E20" s="104" t="s">
        <v>25</v>
      </c>
      <c r="F20" s="104" t="s">
        <v>43</v>
      </c>
      <c r="G20" s="104" t="s">
        <v>274</v>
      </c>
      <c r="H20" s="102"/>
      <c r="I20" s="102"/>
      <c r="J20" s="130" t="s">
        <v>353</v>
      </c>
    </row>
    <row r="21" spans="2:10">
      <c r="B21" s="101" t="s">
        <v>66</v>
      </c>
      <c r="C21" s="101" t="str">
        <f>CONCATENATE("XELC",Domestic!C11,"E")</f>
        <v>XELCR6E</v>
      </c>
      <c r="D21" s="101" t="str">
        <f>CONCATENATE("Electricity Imports from ",Domestic!C11," to ",Domestic!D$5," -  Existing")</f>
        <v>Electricity Imports from R6 to R1 -  Existing</v>
      </c>
      <c r="E21" s="104" t="s">
        <v>25</v>
      </c>
      <c r="F21" s="104" t="s">
        <v>43</v>
      </c>
      <c r="G21" s="104" t="s">
        <v>274</v>
      </c>
      <c r="H21" s="102"/>
      <c r="I21" s="102"/>
      <c r="J21" s="130" t="s">
        <v>353</v>
      </c>
    </row>
    <row r="22" spans="2:10">
      <c r="B22" s="101" t="s">
        <v>169</v>
      </c>
      <c r="C22" s="101" t="str">
        <f>CONCATENATE("XELC",Domestic!C12,"E")</f>
        <v>XELCR7E</v>
      </c>
      <c r="D22" s="101" t="str">
        <f>CONCATENATE("Electricity Imports from ",Domestic!C12," to ",Domestic!D$5," -  Existing")</f>
        <v>Electricity Imports from R7 to R1 -  Existing</v>
      </c>
      <c r="E22" s="102"/>
      <c r="F22" s="102"/>
      <c r="G22" s="102"/>
      <c r="H22" s="102"/>
      <c r="I22" s="102"/>
      <c r="J22" s="130" t="s">
        <v>353</v>
      </c>
    </row>
    <row r="23" spans="2:10">
      <c r="B23" s="101" t="s">
        <v>169</v>
      </c>
      <c r="C23" s="101" t="str">
        <f>CONCATENATE("XELC",Domestic!C13,"E")</f>
        <v>XELCR8E</v>
      </c>
      <c r="D23" s="101" t="str">
        <f>CONCATENATE("Electricity Imports from ",Domestic!C13," to ",Domestic!D$5," -  Existing")</f>
        <v>Electricity Imports from R8 to R1 -  Existing</v>
      </c>
      <c r="E23" s="103"/>
      <c r="F23" s="103"/>
      <c r="G23" s="102"/>
      <c r="H23" s="102"/>
      <c r="I23" s="102"/>
      <c r="J23" s="130" t="s">
        <v>353</v>
      </c>
    </row>
    <row r="24" spans="2:10">
      <c r="B24" s="101" t="s">
        <v>169</v>
      </c>
      <c r="C24" s="101" t="str">
        <f>CONCATENATE("XELC",Domestic!C14,"E")</f>
        <v>XELCR9E</v>
      </c>
      <c r="D24" s="101" t="str">
        <f>CONCATENATE("Electricity Imports from ",Domestic!C14," to ",Domestic!D$5," -  Existing")</f>
        <v>Electricity Imports from R9 to R1 -  Existing</v>
      </c>
      <c r="E24" s="102"/>
      <c r="F24" s="102"/>
      <c r="G24" s="105"/>
      <c r="H24" s="102"/>
      <c r="I24" s="102"/>
      <c r="J24" s="130" t="s">
        <v>353</v>
      </c>
    </row>
    <row r="25" spans="2:10">
      <c r="B25" s="101" t="s">
        <v>34</v>
      </c>
      <c r="C25" s="101"/>
      <c r="D25" s="101"/>
      <c r="E25" s="103"/>
      <c r="F25" s="103"/>
      <c r="G25" s="102"/>
      <c r="H25" s="102"/>
      <c r="I25" s="102"/>
      <c r="J25" s="130" t="s">
        <v>353</v>
      </c>
    </row>
    <row r="26" spans="2:10">
      <c r="B26" s="101" t="s">
        <v>27</v>
      </c>
      <c r="C26" s="101" t="str">
        <f>CONCATENATE("XELC",Domestic!C6,"E")</f>
        <v>XELCR1E</v>
      </c>
      <c r="D26" s="101" t="str">
        <f>CONCATENATE("Electricity Imports from ",Domestic!C6," to ",Domestic!E$5," - Existing")</f>
        <v>Electricity Imports from R1 to R2 - Existing</v>
      </c>
      <c r="E26" s="104" t="s">
        <v>25</v>
      </c>
      <c r="F26" s="104" t="s">
        <v>43</v>
      </c>
      <c r="G26" s="104" t="s">
        <v>274</v>
      </c>
      <c r="H26" s="102"/>
      <c r="I26" s="102"/>
      <c r="J26" s="130" t="s">
        <v>353</v>
      </c>
    </row>
    <row r="27" spans="2:10">
      <c r="B27" s="101" t="s">
        <v>169</v>
      </c>
      <c r="C27" s="101" t="str">
        <f>CONCATENATE("XELC",Domestic!C7,"E")</f>
        <v>XELCR2E</v>
      </c>
      <c r="D27" s="101" t="str">
        <f>CONCATENATE("Electricity Imports from ",Domestic!C7," to ",Domestic!E$5," - Existing")</f>
        <v>Electricity Imports from R2 to R2 - Existing</v>
      </c>
      <c r="E27" s="102"/>
      <c r="F27" s="102"/>
      <c r="G27" s="102"/>
      <c r="H27" s="102"/>
      <c r="I27" s="102"/>
      <c r="J27" s="130" t="s">
        <v>353</v>
      </c>
    </row>
    <row r="28" spans="2:10">
      <c r="B28" s="101" t="s">
        <v>27</v>
      </c>
      <c r="C28" s="101" t="str">
        <f>CONCATENATE("XELC",Domestic!C8,"E")</f>
        <v>XELCR3E</v>
      </c>
      <c r="D28" s="101" t="str">
        <f>CONCATENATE("Electricity Imports from ",Domestic!C8," to ",Domestic!E$5," - Existing")</f>
        <v>Electricity Imports from R3 to R2 - Existing</v>
      </c>
      <c r="E28" s="104" t="s">
        <v>25</v>
      </c>
      <c r="F28" s="104" t="s">
        <v>43</v>
      </c>
      <c r="G28" s="104" t="s">
        <v>274</v>
      </c>
      <c r="H28" s="102"/>
      <c r="I28" s="102"/>
      <c r="J28" s="130" t="s">
        <v>353</v>
      </c>
    </row>
    <row r="29" spans="2:10">
      <c r="B29" s="101" t="s">
        <v>27</v>
      </c>
      <c r="C29" s="101" t="str">
        <f>CONCATENATE("XELC",Domestic!C9,"E")</f>
        <v>XELCR4E</v>
      </c>
      <c r="D29" s="101" t="str">
        <f>CONCATENATE("Electricity Imports from ",Domestic!C9," to ",Domestic!E$5," - Existing")</f>
        <v>Electricity Imports from R4 to R2 - Existing</v>
      </c>
      <c r="E29" s="104" t="s">
        <v>25</v>
      </c>
      <c r="F29" s="104" t="s">
        <v>43</v>
      </c>
      <c r="G29" s="104" t="s">
        <v>274</v>
      </c>
      <c r="H29" s="102"/>
      <c r="I29" s="102"/>
      <c r="J29" s="130" t="s">
        <v>353</v>
      </c>
    </row>
    <row r="30" spans="2:10">
      <c r="B30" s="101" t="s">
        <v>27</v>
      </c>
      <c r="C30" s="101" t="str">
        <f>CONCATENATE("XELC",Domestic!C10,"E")</f>
        <v>XELCR5E</v>
      </c>
      <c r="D30" s="101" t="str">
        <f>CONCATENATE("Electricity Imports from ",Domestic!C10," to ",Domestic!E$5," - Existing")</f>
        <v>Electricity Imports from R5 to R2 - Existing</v>
      </c>
      <c r="E30" s="104" t="s">
        <v>25</v>
      </c>
      <c r="F30" s="104" t="s">
        <v>43</v>
      </c>
      <c r="G30" s="104" t="s">
        <v>274</v>
      </c>
      <c r="H30" s="102"/>
      <c r="I30" s="102"/>
      <c r="J30" s="130" t="s">
        <v>353</v>
      </c>
    </row>
    <row r="31" spans="2:10">
      <c r="B31" s="101" t="s">
        <v>169</v>
      </c>
      <c r="C31" s="101" t="str">
        <f>CONCATENATE("XELC",Domestic!C11,"E")</f>
        <v>XELCR6E</v>
      </c>
      <c r="D31" s="101" t="str">
        <f>CONCATENATE("Electricity Imports from ",Domestic!C11," to ",Domestic!E$5," - Existing")</f>
        <v>Electricity Imports from R6 to R2 - Existing</v>
      </c>
      <c r="E31" s="102"/>
      <c r="F31" s="102"/>
      <c r="G31" s="102"/>
      <c r="H31" s="102"/>
      <c r="I31" s="102"/>
      <c r="J31" s="130" t="s">
        <v>353</v>
      </c>
    </row>
    <row r="32" spans="2:10">
      <c r="B32" s="101" t="s">
        <v>169</v>
      </c>
      <c r="C32" s="101" t="str">
        <f>CONCATENATE("XELC",Domestic!C12,"E")</f>
        <v>XELCR7E</v>
      </c>
      <c r="D32" s="101" t="str">
        <f>CONCATENATE("Electricity Imports from ",Domestic!C12," to ",Domestic!E$5," - Existing")</f>
        <v>Electricity Imports from R7 to R2 - Existing</v>
      </c>
      <c r="E32" s="102"/>
      <c r="F32" s="102"/>
      <c r="G32" s="102"/>
      <c r="H32" s="102"/>
      <c r="I32" s="102"/>
      <c r="J32" s="130" t="s">
        <v>353</v>
      </c>
    </row>
    <row r="33" spans="2:10">
      <c r="B33" s="101" t="s">
        <v>169</v>
      </c>
      <c r="C33" s="101" t="str">
        <f>CONCATENATE("XELC",Domestic!C13,"E")</f>
        <v>XELCR8E</v>
      </c>
      <c r="D33" s="101" t="str">
        <f>CONCATENATE("Electricity Imports from ",Domestic!C13," to ",Domestic!E$5," - Existing")</f>
        <v>Electricity Imports from R8 to R2 - Existing</v>
      </c>
      <c r="E33" s="102"/>
      <c r="F33" s="102"/>
      <c r="G33" s="102"/>
      <c r="H33" s="102"/>
      <c r="I33" s="102"/>
      <c r="J33" s="130" t="s">
        <v>353</v>
      </c>
    </row>
    <row r="34" spans="2:10">
      <c r="B34" s="101" t="s">
        <v>169</v>
      </c>
      <c r="C34" s="101" t="str">
        <f>CONCATENATE("XELC",Domestic!C14,"E")</f>
        <v>XELCR9E</v>
      </c>
      <c r="D34" s="101" t="str">
        <f>CONCATENATE("Electricity Imports from ",Domestic!C14," to ",Domestic!E$5," - Existing")</f>
        <v>Electricity Imports from R9 to R2 - Existing</v>
      </c>
      <c r="E34" s="102"/>
      <c r="F34" s="102"/>
      <c r="G34" s="102"/>
      <c r="H34" s="102"/>
      <c r="I34" s="102"/>
      <c r="J34" s="130" t="s">
        <v>353</v>
      </c>
    </row>
    <row r="35" spans="2:10">
      <c r="B35" s="101" t="s">
        <v>35</v>
      </c>
      <c r="C35" s="101"/>
      <c r="D35" s="101"/>
      <c r="E35" s="102"/>
      <c r="F35" s="102"/>
      <c r="G35" s="102"/>
      <c r="H35" s="102"/>
      <c r="I35" s="102"/>
      <c r="J35" s="130" t="s">
        <v>353</v>
      </c>
    </row>
    <row r="36" spans="2:10">
      <c r="B36" s="101" t="s">
        <v>64</v>
      </c>
      <c r="C36" s="101" t="str">
        <f>CONCATENATE("XELC",Domestic!C6,"E")</f>
        <v>XELCR1E</v>
      </c>
      <c r="D36" s="101" t="str">
        <f>CONCATENATE("Electricity Imports from ",Domestic!C6," to ",Domestic!F$5," - Existing")</f>
        <v>Electricity Imports from R1 to R3 - Existing</v>
      </c>
      <c r="E36" s="104" t="s">
        <v>25</v>
      </c>
      <c r="F36" s="104" t="s">
        <v>43</v>
      </c>
      <c r="G36" s="104" t="s">
        <v>274</v>
      </c>
      <c r="H36" s="102"/>
      <c r="I36" s="102"/>
      <c r="J36" s="130" t="s">
        <v>353</v>
      </c>
    </row>
    <row r="37" spans="2:10">
      <c r="B37" s="101" t="s">
        <v>64</v>
      </c>
      <c r="C37" s="101" t="str">
        <f>CONCATENATE("XELC",Domestic!C7,"E")</f>
        <v>XELCR2E</v>
      </c>
      <c r="D37" s="101" t="str">
        <f>CONCATENATE("Electricity Imports from ",Domestic!C7," to ",Domestic!F$5," - Existing")</f>
        <v>Electricity Imports from R2 to R3 - Existing</v>
      </c>
      <c r="E37" s="104" t="s">
        <v>25</v>
      </c>
      <c r="F37" s="104" t="s">
        <v>43</v>
      </c>
      <c r="G37" s="104" t="s">
        <v>274</v>
      </c>
      <c r="H37" s="102"/>
      <c r="I37" s="102"/>
      <c r="J37" s="130" t="s">
        <v>353</v>
      </c>
    </row>
    <row r="38" spans="2:10">
      <c r="B38" s="101" t="s">
        <v>169</v>
      </c>
      <c r="C38" s="101" t="str">
        <f>CONCATENATE("XELC",Domestic!C8,"E")</f>
        <v>XELCR3E</v>
      </c>
      <c r="D38" s="101" t="str">
        <f>CONCATENATE("Electricity Imports from ",Domestic!C8," to ",Domestic!F$5," - Existing")</f>
        <v>Electricity Imports from R3 to R3 - Existing</v>
      </c>
      <c r="E38" s="102"/>
      <c r="F38" s="102"/>
      <c r="G38" s="102"/>
      <c r="H38" s="102"/>
      <c r="I38" s="102"/>
      <c r="J38" s="130" t="s">
        <v>353</v>
      </c>
    </row>
    <row r="39" spans="2:10">
      <c r="B39" s="101" t="s">
        <v>64</v>
      </c>
      <c r="C39" s="101" t="str">
        <f>CONCATENATE("XELC",Domestic!C9,"E")</f>
        <v>XELCR4E</v>
      </c>
      <c r="D39" s="101" t="str">
        <f>CONCATENATE("Electricity Imports from ",Domestic!C9," to ",Domestic!F$5," - Existing")</f>
        <v>Electricity Imports from R4 to R3 - Existing</v>
      </c>
      <c r="E39" s="104" t="s">
        <v>25</v>
      </c>
      <c r="F39" s="104" t="s">
        <v>43</v>
      </c>
      <c r="G39" s="104" t="s">
        <v>274</v>
      </c>
      <c r="H39" s="102"/>
      <c r="I39" s="102"/>
      <c r="J39" s="130" t="s">
        <v>353</v>
      </c>
    </row>
    <row r="40" spans="2:10">
      <c r="B40" s="101" t="s">
        <v>64</v>
      </c>
      <c r="C40" s="101" t="str">
        <f>CONCATENATE("XELC",Domestic!C10,"E")</f>
        <v>XELCR5E</v>
      </c>
      <c r="D40" s="101" t="str">
        <f>CONCATENATE("Electricity Imports from ",Domestic!C10," to ",Domestic!F$5," - Existing")</f>
        <v>Electricity Imports from R5 to R3 - Existing</v>
      </c>
      <c r="E40" s="104" t="s">
        <v>25</v>
      </c>
      <c r="F40" s="104" t="s">
        <v>43</v>
      </c>
      <c r="G40" s="104" t="s">
        <v>274</v>
      </c>
      <c r="H40" s="102"/>
      <c r="I40" s="102"/>
      <c r="J40" s="130" t="s">
        <v>353</v>
      </c>
    </row>
    <row r="41" spans="2:10">
      <c r="B41" s="101" t="s">
        <v>169</v>
      </c>
      <c r="C41" s="101" t="str">
        <f>CONCATENATE("XELC",Domestic!C11,"E")</f>
        <v>XELCR6E</v>
      </c>
      <c r="D41" s="101" t="str">
        <f>CONCATENATE("Electricity Imports from ",Domestic!C11," to ",Domestic!F$5," - Existing")</f>
        <v>Electricity Imports from R6 to R3 - Existing</v>
      </c>
      <c r="E41" s="102"/>
      <c r="F41" s="102"/>
      <c r="G41" s="102"/>
      <c r="H41" s="102"/>
      <c r="I41" s="102"/>
      <c r="J41" s="130" t="s">
        <v>353</v>
      </c>
    </row>
    <row r="42" spans="2:10">
      <c r="B42" s="101" t="s">
        <v>169</v>
      </c>
      <c r="C42" s="101" t="str">
        <f>CONCATENATE("XELC",Domestic!C12,"E")</f>
        <v>XELCR7E</v>
      </c>
      <c r="D42" s="101" t="str">
        <f>CONCATENATE("Electricity Imports from ",Domestic!C12," to ",Domestic!F$5," - Existing")</f>
        <v>Electricity Imports from R7 to R3 - Existing</v>
      </c>
      <c r="E42" s="102"/>
      <c r="F42" s="102"/>
      <c r="G42" s="102"/>
      <c r="H42" s="102"/>
      <c r="I42" s="102"/>
      <c r="J42" s="130" t="s">
        <v>353</v>
      </c>
    </row>
    <row r="43" spans="2:10">
      <c r="B43" s="101" t="s">
        <v>169</v>
      </c>
      <c r="C43" s="101" t="str">
        <f>CONCATENATE("XELC",Domestic!C13,"E")</f>
        <v>XELCR8E</v>
      </c>
      <c r="D43" s="101" t="str">
        <f>CONCATENATE("Electricity Imports from ",Domestic!C13," to ",Domestic!F$5," - Existing")</f>
        <v>Electricity Imports from R8 to R3 - Existing</v>
      </c>
      <c r="E43" s="102"/>
      <c r="F43" s="102"/>
      <c r="G43" s="102"/>
      <c r="H43" s="102"/>
      <c r="I43" s="102"/>
      <c r="J43" s="130" t="s">
        <v>353</v>
      </c>
    </row>
    <row r="44" spans="2:10">
      <c r="B44" s="101" t="s">
        <v>169</v>
      </c>
      <c r="C44" s="101" t="str">
        <f>CONCATENATE("XELC",Domestic!C14,"E")</f>
        <v>XELCR9E</v>
      </c>
      <c r="D44" s="101" t="str">
        <f>CONCATENATE("Electricity Imports from ",Domestic!C14," to ",Domestic!F$5," - Existing")</f>
        <v>Electricity Imports from R9 to R3 - Existing</v>
      </c>
      <c r="E44" s="102"/>
      <c r="F44" s="102"/>
      <c r="G44" s="102"/>
      <c r="H44" s="102"/>
      <c r="I44" s="102"/>
      <c r="J44" s="130" t="s">
        <v>353</v>
      </c>
    </row>
    <row r="45" spans="2:10">
      <c r="B45" s="101" t="s">
        <v>36</v>
      </c>
      <c r="C45" s="101"/>
      <c r="D45" s="101"/>
      <c r="E45" s="102"/>
      <c r="F45" s="102"/>
      <c r="G45" s="102"/>
      <c r="H45" s="102"/>
      <c r="I45" s="102"/>
      <c r="J45" s="130" t="s">
        <v>353</v>
      </c>
    </row>
    <row r="46" spans="2:10">
      <c r="B46" s="101" t="s">
        <v>65</v>
      </c>
      <c r="C46" s="101" t="str">
        <f>CONCATENATE("XELC",Domestic!C6,"E")</f>
        <v>XELCR1E</v>
      </c>
      <c r="D46" s="101" t="str">
        <f>CONCATENATE("Electricity Imports from ",Domestic!C6," to ",Domestic!G$5," - Existing")</f>
        <v>Electricity Imports from R1 to R4 - Existing</v>
      </c>
      <c r="E46" s="104" t="s">
        <v>25</v>
      </c>
      <c r="F46" s="104" t="s">
        <v>43</v>
      </c>
      <c r="G46" s="104" t="s">
        <v>274</v>
      </c>
      <c r="H46" s="102"/>
      <c r="I46" s="102"/>
      <c r="J46" s="130" t="s">
        <v>353</v>
      </c>
    </row>
    <row r="47" spans="2:10">
      <c r="B47" s="101" t="s">
        <v>65</v>
      </c>
      <c r="C47" s="101" t="str">
        <f>CONCATENATE("XELC",Domestic!C7,"E")</f>
        <v>XELCR2E</v>
      </c>
      <c r="D47" s="101" t="str">
        <f>CONCATENATE("Electricity Imports from ",Domestic!C7," to ",Domestic!G$5," - Existing")</f>
        <v>Electricity Imports from R2 to R4 - Existing</v>
      </c>
      <c r="E47" s="104" t="s">
        <v>25</v>
      </c>
      <c r="F47" s="104" t="s">
        <v>43</v>
      </c>
      <c r="G47" s="104" t="s">
        <v>274</v>
      </c>
      <c r="H47" s="102"/>
      <c r="I47" s="102"/>
      <c r="J47" s="130" t="s">
        <v>353</v>
      </c>
    </row>
    <row r="48" spans="2:10">
      <c r="B48" s="101" t="s">
        <v>65</v>
      </c>
      <c r="C48" s="101" t="str">
        <f>CONCATENATE("XELC",Domestic!C8,"E")</f>
        <v>XELCR3E</v>
      </c>
      <c r="D48" s="101" t="str">
        <f>CONCATENATE("Electricity Imports from ",Domestic!C8," to ",Domestic!G$5," - Existing")</f>
        <v>Electricity Imports from R3 to R4 - Existing</v>
      </c>
      <c r="E48" s="104" t="s">
        <v>25</v>
      </c>
      <c r="F48" s="104" t="s">
        <v>43</v>
      </c>
      <c r="G48" s="104" t="s">
        <v>274</v>
      </c>
      <c r="H48" s="102"/>
      <c r="I48" s="102"/>
      <c r="J48" s="130" t="s">
        <v>353</v>
      </c>
    </row>
    <row r="49" spans="2:10">
      <c r="B49" s="101" t="s">
        <v>169</v>
      </c>
      <c r="C49" s="101" t="str">
        <f>CONCATENATE("XELC",Domestic!C9,"E")</f>
        <v>XELCR4E</v>
      </c>
      <c r="D49" s="101" t="str">
        <f>CONCATENATE("Electricity Imports from ",Domestic!C9," to ",Domestic!G$5," - Existing")</f>
        <v>Electricity Imports from R4 to R4 - Existing</v>
      </c>
      <c r="E49" s="102"/>
      <c r="F49" s="102"/>
      <c r="G49" s="102"/>
      <c r="H49" s="102"/>
      <c r="I49" s="102"/>
      <c r="J49" s="130" t="s">
        <v>353</v>
      </c>
    </row>
    <row r="50" spans="2:10">
      <c r="B50" s="101" t="s">
        <v>169</v>
      </c>
      <c r="C50" s="101" t="str">
        <f>CONCATENATE("XELC",Domestic!C10,"E")</f>
        <v>XELCR5E</v>
      </c>
      <c r="D50" s="101" t="str">
        <f>CONCATENATE("Electricity Imports from ",Domestic!C10," to ",Domestic!G$5," - Existing")</f>
        <v>Electricity Imports from R5 to R4 - Existing</v>
      </c>
      <c r="E50" s="104"/>
      <c r="F50" s="104"/>
      <c r="G50" s="104"/>
      <c r="H50" s="102"/>
      <c r="I50" s="102"/>
      <c r="J50" s="130" t="s">
        <v>353</v>
      </c>
    </row>
    <row r="51" spans="2:10">
      <c r="B51" s="101" t="s">
        <v>169</v>
      </c>
      <c r="C51" s="101" t="str">
        <f>CONCATENATE("XELC",Domestic!C11,"E")</f>
        <v>XELCR6E</v>
      </c>
      <c r="D51" s="101" t="str">
        <f>CONCATENATE("Electricity Imports from ",Domestic!C11," to ",Domestic!G$5," - Existing")</f>
        <v>Electricity Imports from R6 to R4 - Existing</v>
      </c>
      <c r="E51" s="102"/>
      <c r="F51" s="102"/>
      <c r="G51" s="102"/>
      <c r="H51" s="102"/>
      <c r="I51" s="102"/>
      <c r="J51" s="130" t="s">
        <v>353</v>
      </c>
    </row>
    <row r="52" spans="2:10">
      <c r="B52" s="101" t="s">
        <v>169</v>
      </c>
      <c r="C52" s="101" t="str">
        <f>CONCATENATE("XELC",Domestic!C12,"E")</f>
        <v>XELCR7E</v>
      </c>
      <c r="D52" s="101" t="str">
        <f>CONCATENATE("Electricity Imports from ",Domestic!C12," to ",Domestic!G$5," - Existing")</f>
        <v>Electricity Imports from R7 to R4 - Existing</v>
      </c>
      <c r="E52" s="102"/>
      <c r="F52" s="102"/>
      <c r="G52" s="102"/>
      <c r="H52" s="102"/>
      <c r="I52" s="102"/>
      <c r="J52" s="130" t="s">
        <v>353</v>
      </c>
    </row>
    <row r="53" spans="2:10">
      <c r="B53" s="101" t="s">
        <v>169</v>
      </c>
      <c r="C53" s="101" t="str">
        <f>CONCATENATE("XELC",Domestic!C13,"E")</f>
        <v>XELCR8E</v>
      </c>
      <c r="D53" s="101" t="str">
        <f>CONCATENATE("Electricity Imports from ",Domestic!C13," to ",Domestic!G$5," - Existing")</f>
        <v>Electricity Imports from R8 to R4 - Existing</v>
      </c>
      <c r="E53" s="102"/>
      <c r="F53" s="102"/>
      <c r="G53" s="102"/>
      <c r="H53" s="102"/>
      <c r="I53" s="102"/>
      <c r="J53" s="130" t="s">
        <v>353</v>
      </c>
    </row>
    <row r="54" spans="2:10">
      <c r="B54" s="101" t="s">
        <v>169</v>
      </c>
      <c r="C54" s="101" t="str">
        <f>CONCATENATE("XELC",Domestic!C14,"E")</f>
        <v>XELCR9E</v>
      </c>
      <c r="D54" s="101" t="str">
        <f>CONCATENATE("Electricity Imports from ",Domestic!C14," to ",Domestic!G$5," - Existing")</f>
        <v>Electricity Imports from R9 to R4 - Existing</v>
      </c>
      <c r="E54" s="102"/>
      <c r="F54" s="102"/>
      <c r="G54" s="102"/>
      <c r="H54" s="102"/>
      <c r="I54" s="102"/>
      <c r="J54" s="130" t="s">
        <v>353</v>
      </c>
    </row>
    <row r="55" spans="2:10">
      <c r="B55" s="101" t="s">
        <v>37</v>
      </c>
      <c r="C55" s="101"/>
      <c r="D55" s="101"/>
      <c r="E55" s="102"/>
      <c r="F55" s="102"/>
      <c r="G55" s="102"/>
      <c r="H55" s="102"/>
      <c r="I55" s="102"/>
      <c r="J55" s="130" t="s">
        <v>353</v>
      </c>
    </row>
    <row r="56" spans="2:10">
      <c r="B56" s="101" t="s">
        <v>66</v>
      </c>
      <c r="C56" s="101" t="str">
        <f>CONCATENATE("XELC",Domestic!C6,"E")</f>
        <v>XELCR1E</v>
      </c>
      <c r="D56" s="101" t="str">
        <f>CONCATENATE("Electricity Imports from ",Domestic!C6," to ",Domestic!H$5," - Existing")</f>
        <v>Electricity Imports from R1 to R5 - Existing</v>
      </c>
      <c r="E56" s="104" t="s">
        <v>25</v>
      </c>
      <c r="F56" s="104" t="s">
        <v>43</v>
      </c>
      <c r="G56" s="104" t="s">
        <v>274</v>
      </c>
      <c r="H56" s="102"/>
      <c r="I56" s="102"/>
      <c r="J56" s="130" t="s">
        <v>353</v>
      </c>
    </row>
    <row r="57" spans="2:10">
      <c r="B57" s="101" t="s">
        <v>66</v>
      </c>
      <c r="C57" s="101" t="str">
        <f>CONCATENATE("XELC",Domestic!C7,"E")</f>
        <v>XELCR2E</v>
      </c>
      <c r="D57" s="101" t="str">
        <f>CONCATENATE("Electricity Imports from ",Domestic!C7," to ",Domestic!H$5," - Existing")</f>
        <v>Electricity Imports from R2 to R5 - Existing</v>
      </c>
      <c r="E57" s="104" t="s">
        <v>25</v>
      </c>
      <c r="F57" s="104" t="s">
        <v>43</v>
      </c>
      <c r="G57" s="104" t="s">
        <v>274</v>
      </c>
      <c r="H57" s="102"/>
      <c r="I57" s="102"/>
      <c r="J57" s="130" t="s">
        <v>353</v>
      </c>
    </row>
    <row r="58" spans="2:10">
      <c r="B58" s="101" t="s">
        <v>66</v>
      </c>
      <c r="C58" s="101" t="str">
        <f>CONCATENATE("XELC",Domestic!C8,"E")</f>
        <v>XELCR3E</v>
      </c>
      <c r="D58" s="101" t="str">
        <f>CONCATENATE("Electricity Imports from ",Domestic!C8," to ",Domestic!H$5," - Existing")</f>
        <v>Electricity Imports from R3 to R5 - Existing</v>
      </c>
      <c r="E58" s="104" t="s">
        <v>25</v>
      </c>
      <c r="F58" s="104" t="s">
        <v>43</v>
      </c>
      <c r="G58" s="104" t="s">
        <v>274</v>
      </c>
      <c r="H58" s="102"/>
      <c r="I58" s="102"/>
      <c r="J58" s="130" t="s">
        <v>353</v>
      </c>
    </row>
    <row r="59" spans="2:10">
      <c r="B59" s="101" t="s">
        <v>169</v>
      </c>
      <c r="C59" s="101" t="str">
        <f>CONCATENATE("XELC",Domestic!C9,"E")</f>
        <v>XELCR4E</v>
      </c>
      <c r="D59" s="101" t="str">
        <f>CONCATENATE("Electricity Imports from ",Domestic!C9," to ",Domestic!H$5," - Existing")</f>
        <v>Electricity Imports from R4 to R5 - Existing</v>
      </c>
      <c r="E59" s="102"/>
      <c r="F59" s="102"/>
      <c r="G59" s="102"/>
      <c r="H59" s="102"/>
      <c r="I59" s="102"/>
      <c r="J59" s="130" t="s">
        <v>353</v>
      </c>
    </row>
    <row r="60" spans="2:10">
      <c r="B60" s="101" t="s">
        <v>169</v>
      </c>
      <c r="C60" s="101" t="str">
        <f>CONCATENATE("XELC",Domestic!C10,"E")</f>
        <v>XELCR5E</v>
      </c>
      <c r="D60" s="101" t="str">
        <f>CONCATENATE("Electricity Imports from ",Domestic!C10," to ",Domestic!H$5," - Existing")</f>
        <v>Electricity Imports from R5 to R5 - Existing</v>
      </c>
      <c r="E60" s="102"/>
      <c r="F60" s="102"/>
      <c r="G60" s="102"/>
      <c r="H60" s="102"/>
      <c r="I60" s="102"/>
      <c r="J60" s="130" t="s">
        <v>353</v>
      </c>
    </row>
    <row r="61" spans="2:10">
      <c r="B61" s="101" t="s">
        <v>66</v>
      </c>
      <c r="C61" s="101" t="str">
        <f>CONCATENATE("XELC",Domestic!C11,"E")</f>
        <v>XELCR6E</v>
      </c>
      <c r="D61" s="101" t="str">
        <f>CONCATENATE("Electricity Imports from ",Domestic!C11," to ",Domestic!H$5," - Existing")</f>
        <v>Electricity Imports from R6 to R5 - Existing</v>
      </c>
      <c r="E61" s="104" t="s">
        <v>25</v>
      </c>
      <c r="F61" s="104" t="s">
        <v>43</v>
      </c>
      <c r="G61" s="104" t="s">
        <v>274</v>
      </c>
      <c r="H61" s="102"/>
      <c r="I61" s="102"/>
      <c r="J61" s="130" t="s">
        <v>353</v>
      </c>
    </row>
    <row r="62" spans="2:10">
      <c r="B62" s="101" t="s">
        <v>169</v>
      </c>
      <c r="C62" s="101" t="str">
        <f>CONCATENATE("XELC",Domestic!C12,"E")</f>
        <v>XELCR7E</v>
      </c>
      <c r="D62" s="101" t="str">
        <f>CONCATENATE("Electricity Imports from ",Domestic!C12," to ",Domestic!H$5," - Existing")</f>
        <v>Electricity Imports from R7 to R5 - Existing</v>
      </c>
      <c r="E62" s="102"/>
      <c r="F62" s="102"/>
      <c r="G62" s="102"/>
      <c r="H62" s="102"/>
      <c r="I62" s="102"/>
      <c r="J62" s="130" t="s">
        <v>353</v>
      </c>
    </row>
    <row r="63" spans="2:10">
      <c r="B63" s="101" t="s">
        <v>169</v>
      </c>
      <c r="C63" s="101" t="str">
        <f>CONCATENATE("XELC",Domestic!C13,"E")</f>
        <v>XELCR8E</v>
      </c>
      <c r="D63" s="101" t="str">
        <f>CONCATENATE("Electricity Imports from ",Domestic!C13," to ",Domestic!H$5," - Existing")</f>
        <v>Electricity Imports from R8 to R5 - Existing</v>
      </c>
      <c r="E63" s="102"/>
      <c r="F63" s="102"/>
      <c r="G63" s="102"/>
      <c r="H63" s="102"/>
      <c r="I63" s="102"/>
      <c r="J63" s="130" t="s">
        <v>353</v>
      </c>
    </row>
    <row r="64" spans="2:10">
      <c r="B64" s="101" t="s">
        <v>169</v>
      </c>
      <c r="C64" s="101" t="str">
        <f>CONCATENATE("XELC",Domestic!C14,"E")</f>
        <v>XELCR9E</v>
      </c>
      <c r="D64" s="101" t="str">
        <f>CONCATENATE("Electricity Imports from ",Domestic!C14," to ",Domestic!H$5," - Existing")</f>
        <v>Electricity Imports from R9 to R5 - Existing</v>
      </c>
      <c r="E64" s="102"/>
      <c r="F64" s="102"/>
      <c r="G64" s="102"/>
      <c r="H64" s="102"/>
      <c r="I64" s="102"/>
      <c r="J64" s="130" t="s">
        <v>353</v>
      </c>
    </row>
    <row r="65" spans="2:10">
      <c r="B65" s="101" t="s">
        <v>38</v>
      </c>
      <c r="C65" s="101"/>
      <c r="D65" s="101"/>
      <c r="E65" s="104"/>
      <c r="F65" s="104"/>
      <c r="G65" s="104"/>
      <c r="H65" s="102"/>
      <c r="I65" s="102"/>
      <c r="J65" s="130" t="s">
        <v>353</v>
      </c>
    </row>
    <row r="66" spans="2:10">
      <c r="B66" s="101" t="s">
        <v>67</v>
      </c>
      <c r="C66" s="101" t="str">
        <f>CONCATENATE("XELC",Domestic!C6,"E")</f>
        <v>XELCR1E</v>
      </c>
      <c r="D66" s="101" t="str">
        <f>CONCATENATE("Electricity Imports from ",Domestic!C6," to ",Domestic!I$5," - Existing")</f>
        <v>Electricity Imports from R1 to R6 - Existing</v>
      </c>
      <c r="E66" s="104" t="str">
        <f t="shared" ref="E66" si="0">IF(B66="* Not Allowed","","PJ")</f>
        <v>PJ</v>
      </c>
      <c r="F66" s="104" t="str">
        <f t="shared" ref="F66" si="1">IF(B66="* Not Allowed","","GW")</f>
        <v>GW</v>
      </c>
      <c r="G66" s="104" t="s">
        <v>274</v>
      </c>
      <c r="H66" s="102"/>
      <c r="I66" s="102"/>
      <c r="J66" s="130" t="s">
        <v>353</v>
      </c>
    </row>
    <row r="67" spans="2:10">
      <c r="B67" s="101" t="s">
        <v>169</v>
      </c>
      <c r="C67" s="101" t="str">
        <f>CONCATENATE("XELC",Domestic!C7,"E")</f>
        <v>XELCR2E</v>
      </c>
      <c r="D67" s="101" t="str">
        <f>CONCATENATE("Electricity Imports from ",Domestic!C7," to ",Domestic!I$5," - Existing")</f>
        <v>Electricity Imports from R2 to R6 - Existing</v>
      </c>
      <c r="E67" s="104"/>
      <c r="F67" s="104"/>
      <c r="G67" s="104"/>
      <c r="H67" s="102"/>
      <c r="I67" s="102"/>
      <c r="J67" s="130" t="s">
        <v>353</v>
      </c>
    </row>
    <row r="68" spans="2:10">
      <c r="B68" s="101" t="s">
        <v>169</v>
      </c>
      <c r="C68" s="101" t="str">
        <f>CONCATENATE("XELC",Domestic!C8,"E")</f>
        <v>XELCR3E</v>
      </c>
      <c r="D68" s="101" t="str">
        <f>CONCATENATE("Electricity Imports from ",Domestic!C8," to ",Domestic!I$5," - Existing")</f>
        <v>Electricity Imports from R3 to R6 - Existing</v>
      </c>
      <c r="E68" s="104"/>
      <c r="F68" s="104"/>
      <c r="G68" s="104"/>
      <c r="H68" s="102"/>
      <c r="I68" s="102"/>
      <c r="J68" s="130" t="s">
        <v>353</v>
      </c>
    </row>
    <row r="69" spans="2:10">
      <c r="B69" s="101" t="s">
        <v>169</v>
      </c>
      <c r="C69" s="101" t="str">
        <f>CONCATENATE("XELC",Domestic!C9,"E")</f>
        <v>XELCR4E</v>
      </c>
      <c r="D69" s="101" t="str">
        <f>CONCATENATE("Electricity Imports from ",Domestic!C9," to ",Domestic!I$5," - Existing")</f>
        <v>Electricity Imports from R4 to R6 - Existing</v>
      </c>
      <c r="E69" s="104"/>
      <c r="F69" s="104"/>
      <c r="G69" s="104"/>
      <c r="H69" s="102"/>
      <c r="I69" s="102"/>
      <c r="J69" s="130" t="s">
        <v>353</v>
      </c>
    </row>
    <row r="70" spans="2:10">
      <c r="B70" s="101" t="s">
        <v>67</v>
      </c>
      <c r="C70" s="101" t="str">
        <f>CONCATENATE("XELC",Domestic!C10,"E")</f>
        <v>XELCR5E</v>
      </c>
      <c r="D70" s="101" t="str">
        <f>CONCATENATE("Electricity Imports from ",Domestic!C10," to ",Domestic!I$5," - Existing")</f>
        <v>Electricity Imports from R5 to R6 - Existing</v>
      </c>
      <c r="E70" s="104" t="str">
        <f t="shared" ref="E70" si="2">IF(B70="* Not Allowed","","PJ")</f>
        <v>PJ</v>
      </c>
      <c r="F70" s="104" t="str">
        <f t="shared" ref="F70" si="3">IF(B70="* Not Allowed","","GW")</f>
        <v>GW</v>
      </c>
      <c r="G70" s="104" t="s">
        <v>274</v>
      </c>
      <c r="H70" s="102"/>
      <c r="I70" s="102"/>
      <c r="J70" s="130" t="s">
        <v>353</v>
      </c>
    </row>
    <row r="71" spans="2:10">
      <c r="B71" s="101" t="s">
        <v>169</v>
      </c>
      <c r="C71" s="101" t="str">
        <f>CONCATENATE("XELC",Domestic!C11,"E")</f>
        <v>XELCR6E</v>
      </c>
      <c r="D71" s="101" t="str">
        <f>CONCATENATE("Electricity Imports from ",Domestic!C11," to ",Domestic!I$5," - Existing")</f>
        <v>Electricity Imports from R6 to R6 - Existing</v>
      </c>
      <c r="E71" s="104"/>
      <c r="F71" s="104"/>
      <c r="G71" s="104"/>
      <c r="H71" s="102"/>
      <c r="I71" s="102"/>
      <c r="J71" s="130" t="s">
        <v>353</v>
      </c>
    </row>
    <row r="72" spans="2:10">
      <c r="B72" s="101" t="s">
        <v>169</v>
      </c>
      <c r="C72" s="101" t="str">
        <f>CONCATENATE("XELC",Domestic!C12,"E")</f>
        <v>XELCR7E</v>
      </c>
      <c r="D72" s="101" t="str">
        <f>CONCATENATE("Electricity Imports from ",Domestic!C12," to ",Domestic!I$5," - Existing")</f>
        <v>Electricity Imports from R7 to R6 - Existing</v>
      </c>
      <c r="E72" s="104"/>
      <c r="F72" s="104"/>
      <c r="G72" s="104"/>
      <c r="H72" s="102"/>
      <c r="I72" s="102"/>
      <c r="J72" s="130" t="s">
        <v>353</v>
      </c>
    </row>
    <row r="73" spans="2:10">
      <c r="B73" s="101" t="s">
        <v>169</v>
      </c>
      <c r="C73" s="101" t="str">
        <f>CONCATENATE("XELC",Domestic!C13,"E")</f>
        <v>XELCR8E</v>
      </c>
      <c r="D73" s="101" t="str">
        <f>CONCATENATE("Electricity Imports from ",Domestic!C13," to ",Domestic!I$5," - Existing")</f>
        <v>Electricity Imports from R8 to R6 - Existing</v>
      </c>
      <c r="E73" s="104"/>
      <c r="F73" s="104"/>
      <c r="G73" s="104"/>
      <c r="H73" s="102"/>
      <c r="I73" s="102"/>
      <c r="J73" s="130" t="s">
        <v>353</v>
      </c>
    </row>
    <row r="74" spans="2:10">
      <c r="B74" s="101" t="s">
        <v>169</v>
      </c>
      <c r="C74" s="101" t="str">
        <f>CONCATENATE("XELC",Domestic!C14,"E")</f>
        <v>XELCR9E</v>
      </c>
      <c r="D74" s="101" t="str">
        <f>CONCATENATE("Electricity Imports from ",Domestic!C14," to ",Domestic!I$5," - Existing")</f>
        <v>Electricity Imports from R9 to R6 - Existing</v>
      </c>
      <c r="E74" s="104"/>
      <c r="F74" s="104"/>
      <c r="G74" s="104"/>
      <c r="H74" s="102"/>
      <c r="I74" s="102"/>
      <c r="J74" s="130" t="s">
        <v>353</v>
      </c>
    </row>
    <row r="75" spans="2:10">
      <c r="B75" s="101" t="s">
        <v>44</v>
      </c>
      <c r="C75" s="101"/>
      <c r="D75" s="101"/>
      <c r="E75" s="104"/>
      <c r="F75" s="104"/>
      <c r="G75" s="104"/>
      <c r="H75" s="102"/>
      <c r="I75" s="102"/>
      <c r="J75" s="130" t="s">
        <v>353</v>
      </c>
    </row>
    <row r="76" spans="2:10">
      <c r="B76" s="101" t="s">
        <v>33</v>
      </c>
      <c r="C76" s="101"/>
      <c r="D76" s="101"/>
      <c r="E76" s="104"/>
      <c r="F76" s="104"/>
      <c r="G76" s="104"/>
      <c r="H76" s="102"/>
      <c r="I76" s="102"/>
      <c r="J76" s="130" t="s">
        <v>353</v>
      </c>
    </row>
    <row r="77" spans="2:10">
      <c r="B77" s="101" t="s">
        <v>169</v>
      </c>
      <c r="C77" s="101" t="str">
        <f>CONCATENATE("XELC",Domestic!C6,"N")</f>
        <v>XELCR1N</v>
      </c>
      <c r="D77" s="101" t="str">
        <f>CONCATENATE("Electricity Imports from ",Domestic!C6," to ",Domestic!D$5," -  New")</f>
        <v>Electricity Imports from R1 to R1 -  New</v>
      </c>
      <c r="E77" s="104" t="str">
        <f t="shared" ref="E77" si="4">IF(B77="* Not Allowed","","PJ")</f>
        <v/>
      </c>
      <c r="F77" s="104" t="str">
        <f t="shared" ref="F77" si="5">IF(B77="* Not Allowed","","GW")</f>
        <v/>
      </c>
      <c r="G77" s="104" t="str">
        <f t="shared" ref="G77" si="6">IF(B77="* Not Allowed","","TCH,CON,ELE,CEN,NBN,LNK")</f>
        <v/>
      </c>
      <c r="H77" s="102"/>
      <c r="I77" s="102"/>
      <c r="J77" s="130" t="s">
        <v>353</v>
      </c>
    </row>
    <row r="78" spans="2:10">
      <c r="B78" s="101" t="s">
        <v>63</v>
      </c>
      <c r="C78" s="101" t="str">
        <f>CONCATENATE("XELC",Domestic!C7,"N")</f>
        <v>XELCR2N</v>
      </c>
      <c r="D78" s="101" t="str">
        <f>CONCATENATE("Electricity Imports from ",Domestic!C7," to ",Domestic!D$5," -  New")</f>
        <v>Electricity Imports from R2 to R1 -  New</v>
      </c>
      <c r="E78" s="104" t="str">
        <f t="shared" ref="E78:E121" si="7">IF(B78="* Not Allowed","","PJ")</f>
        <v>PJ</v>
      </c>
      <c r="F78" s="104" t="str">
        <f t="shared" ref="F78:F121" si="8">IF(B78="* Not Allowed","","GW")</f>
        <v>GW</v>
      </c>
      <c r="G78" s="104" t="s">
        <v>274</v>
      </c>
      <c r="H78" s="102"/>
      <c r="I78" s="102"/>
      <c r="J78" s="130" t="s">
        <v>353</v>
      </c>
    </row>
    <row r="79" spans="2:10">
      <c r="B79" s="101" t="s">
        <v>63</v>
      </c>
      <c r="C79" s="101" t="str">
        <f>CONCATENATE("XELC",Domestic!C8,"N")</f>
        <v>XELCR3N</v>
      </c>
      <c r="D79" s="101" t="str">
        <f>CONCATENATE("Electricity Imports from ",Domestic!C8," to ",Domestic!D$5," -  New")</f>
        <v>Electricity Imports from R3 to R1 -  New</v>
      </c>
      <c r="E79" s="104" t="str">
        <f t="shared" si="7"/>
        <v>PJ</v>
      </c>
      <c r="F79" s="104" t="str">
        <f t="shared" si="8"/>
        <v>GW</v>
      </c>
      <c r="G79" s="104" t="s">
        <v>274</v>
      </c>
      <c r="H79" s="102"/>
      <c r="I79" s="102"/>
      <c r="J79" s="130" t="s">
        <v>353</v>
      </c>
    </row>
    <row r="80" spans="2:10">
      <c r="B80" s="101" t="s">
        <v>63</v>
      </c>
      <c r="C80" s="101" t="str">
        <f>CONCATENATE("XELC",Domestic!C9,"N")</f>
        <v>XELCR4N</v>
      </c>
      <c r="D80" s="101" t="str">
        <f>CONCATENATE("Electricity Imports from ",Domestic!C9," to ",Domestic!D$5," -  New")</f>
        <v>Electricity Imports from R4 to R1 -  New</v>
      </c>
      <c r="E80" s="104" t="str">
        <f t="shared" si="7"/>
        <v>PJ</v>
      </c>
      <c r="F80" s="104" t="str">
        <f t="shared" si="8"/>
        <v>GW</v>
      </c>
      <c r="G80" s="104" t="s">
        <v>274</v>
      </c>
      <c r="H80" s="102"/>
      <c r="I80" s="102"/>
      <c r="J80" s="130" t="s">
        <v>353</v>
      </c>
    </row>
    <row r="81" spans="2:10">
      <c r="B81" s="101" t="s">
        <v>63</v>
      </c>
      <c r="C81" s="101" t="str">
        <f>CONCATENATE("XELC",Domestic!C10,"N")</f>
        <v>XELCR5N</v>
      </c>
      <c r="D81" s="101" t="str">
        <f>CONCATENATE("Electricity Imports from ",Domestic!C10," to ",Domestic!D$5," -  New")</f>
        <v>Electricity Imports from R5 to R1 -  New</v>
      </c>
      <c r="E81" s="104" t="str">
        <f t="shared" si="7"/>
        <v>PJ</v>
      </c>
      <c r="F81" s="104" t="str">
        <f t="shared" si="8"/>
        <v>GW</v>
      </c>
      <c r="G81" s="104" t="s">
        <v>274</v>
      </c>
      <c r="H81" s="102"/>
      <c r="I81" s="102"/>
      <c r="J81" s="130" t="s">
        <v>353</v>
      </c>
    </row>
    <row r="82" spans="2:10">
      <c r="B82" s="101" t="s">
        <v>63</v>
      </c>
      <c r="C82" s="101" t="str">
        <f>CONCATENATE("XELC",Domestic!C11,"N")</f>
        <v>XELCR6N</v>
      </c>
      <c r="D82" s="101" t="str">
        <f>CONCATENATE("Electricity Imports from ",Domestic!C11," to ",Domestic!D$5," -  New")</f>
        <v>Electricity Imports from R6 to R1 -  New</v>
      </c>
      <c r="E82" s="104" t="str">
        <f t="shared" si="7"/>
        <v>PJ</v>
      </c>
      <c r="F82" s="104" t="str">
        <f t="shared" si="8"/>
        <v>GW</v>
      </c>
      <c r="G82" s="104" t="s">
        <v>274</v>
      </c>
      <c r="H82" s="102"/>
      <c r="I82" s="102"/>
      <c r="J82" s="130" t="s">
        <v>353</v>
      </c>
    </row>
    <row r="83" spans="2:10">
      <c r="B83" s="101" t="s">
        <v>169</v>
      </c>
      <c r="C83" s="101" t="str">
        <f>CONCATENATE("XELC",Domestic!C12,"N")</f>
        <v>XELCR7N</v>
      </c>
      <c r="D83" s="101" t="str">
        <f>CONCATENATE("Electricity Imports from ",Domestic!C12," to ",Domestic!D$5," -  New")</f>
        <v>Electricity Imports from R7 to R1 -  New</v>
      </c>
      <c r="E83" s="104" t="str">
        <f t="shared" si="7"/>
        <v/>
      </c>
      <c r="F83" s="104" t="str">
        <f t="shared" si="8"/>
        <v/>
      </c>
      <c r="G83" s="104" t="str">
        <f t="shared" ref="G83:G121" si="9">IF(B83="* Not Allowed","","TCH,CON,ELE,CEN,NBN,LNK")</f>
        <v/>
      </c>
      <c r="H83" s="102"/>
      <c r="I83" s="102"/>
      <c r="J83" s="130" t="s">
        <v>353</v>
      </c>
    </row>
    <row r="84" spans="2:10">
      <c r="B84" s="101" t="s">
        <v>169</v>
      </c>
      <c r="C84" s="101" t="str">
        <f>CONCATENATE("XELC",Domestic!C13,"N")</f>
        <v>XELCR8N</v>
      </c>
      <c r="D84" s="101" t="str">
        <f>CONCATENATE("Electricity Imports from ",Domestic!C13," to ",Domestic!D$5," -  New")</f>
        <v>Electricity Imports from R8 to R1 -  New</v>
      </c>
      <c r="E84" s="104" t="str">
        <f t="shared" si="7"/>
        <v/>
      </c>
      <c r="F84" s="104" t="str">
        <f t="shared" si="8"/>
        <v/>
      </c>
      <c r="G84" s="104" t="str">
        <f t="shared" si="9"/>
        <v/>
      </c>
      <c r="H84" s="102"/>
      <c r="I84" s="102"/>
      <c r="J84" s="130" t="s">
        <v>353</v>
      </c>
    </row>
    <row r="85" spans="2:10">
      <c r="B85" s="101" t="s">
        <v>169</v>
      </c>
      <c r="C85" s="101" t="str">
        <f>CONCATENATE("XELC",Domestic!C14,"N")</f>
        <v>XELCR9N</v>
      </c>
      <c r="D85" s="101" t="str">
        <f>CONCATENATE("Electricity Imports from ",Domestic!C14," to ",Domestic!D$5," -  New")</f>
        <v>Electricity Imports from R9 to R1 -  New</v>
      </c>
      <c r="E85" s="104" t="str">
        <f t="shared" si="7"/>
        <v/>
      </c>
      <c r="F85" s="104" t="str">
        <f t="shared" si="8"/>
        <v/>
      </c>
      <c r="G85" s="104" t="str">
        <f t="shared" si="9"/>
        <v/>
      </c>
      <c r="H85" s="102"/>
      <c r="I85" s="102"/>
      <c r="J85" s="130" t="s">
        <v>353</v>
      </c>
    </row>
    <row r="86" spans="2:10">
      <c r="B86" s="101" t="s">
        <v>34</v>
      </c>
      <c r="C86" s="101"/>
      <c r="D86" s="101"/>
      <c r="E86" s="104"/>
      <c r="F86" s="104"/>
      <c r="G86" s="104"/>
      <c r="H86" s="102"/>
      <c r="I86" s="102"/>
      <c r="J86" s="130" t="s">
        <v>353</v>
      </c>
    </row>
    <row r="87" spans="2:10">
      <c r="B87" s="101" t="s">
        <v>27</v>
      </c>
      <c r="C87" s="101" t="str">
        <f>CONCATENATE("XELC",Domestic!C6,"N")</f>
        <v>XELCR1N</v>
      </c>
      <c r="D87" s="101" t="str">
        <f>CONCATENATE("Electricity Imports from ",Domestic!C6," to ",Domestic!E$5," -  New")</f>
        <v>Electricity Imports from R1 to R2 -  New</v>
      </c>
      <c r="E87" s="104" t="str">
        <f t="shared" si="7"/>
        <v>PJ</v>
      </c>
      <c r="F87" s="104" t="str">
        <f t="shared" si="8"/>
        <v>GW</v>
      </c>
      <c r="G87" s="104" t="s">
        <v>274</v>
      </c>
      <c r="H87" s="102"/>
      <c r="I87" s="102"/>
      <c r="J87" s="130" t="s">
        <v>353</v>
      </c>
    </row>
    <row r="88" spans="2:10">
      <c r="B88" s="101" t="s">
        <v>169</v>
      </c>
      <c r="C88" s="101" t="str">
        <f>CONCATENATE("XELC",Domestic!C7,"N")</f>
        <v>XELCR2N</v>
      </c>
      <c r="D88" s="101" t="str">
        <f>CONCATENATE("Electricity Imports from ",Domestic!C7," to ",Domestic!E$5," -  New")</f>
        <v>Electricity Imports from R2 to R2 -  New</v>
      </c>
      <c r="E88" s="104" t="str">
        <f t="shared" si="7"/>
        <v/>
      </c>
      <c r="F88" s="104" t="str">
        <f t="shared" si="8"/>
        <v/>
      </c>
      <c r="G88" s="104" t="str">
        <f t="shared" si="9"/>
        <v/>
      </c>
      <c r="H88" s="102"/>
      <c r="I88" s="102"/>
      <c r="J88" s="130" t="s">
        <v>353</v>
      </c>
    </row>
    <row r="89" spans="2:10">
      <c r="B89" s="101" t="s">
        <v>27</v>
      </c>
      <c r="C89" s="101" t="str">
        <f>CONCATENATE("XELC",Domestic!C8,"N")</f>
        <v>XELCR3N</v>
      </c>
      <c r="D89" s="101" t="str">
        <f>CONCATENATE("Electricity Imports from ",Domestic!C8," to ",Domestic!E$5," -  New")</f>
        <v>Electricity Imports from R3 to R2 -  New</v>
      </c>
      <c r="E89" s="104" t="str">
        <f t="shared" si="7"/>
        <v>PJ</v>
      </c>
      <c r="F89" s="104" t="str">
        <f t="shared" si="8"/>
        <v>GW</v>
      </c>
      <c r="G89" s="104" t="s">
        <v>274</v>
      </c>
      <c r="H89" s="102"/>
      <c r="I89" s="102"/>
      <c r="J89" s="130" t="s">
        <v>353</v>
      </c>
    </row>
    <row r="90" spans="2:10">
      <c r="B90" s="101" t="s">
        <v>27</v>
      </c>
      <c r="C90" s="101" t="str">
        <f>CONCATENATE("XELC",Domestic!C9,"N")</f>
        <v>XELCR4N</v>
      </c>
      <c r="D90" s="101" t="str">
        <f>CONCATENATE("Electricity Imports from ",Domestic!C9," to ",Domestic!E$5," -  New")</f>
        <v>Electricity Imports from R4 to R2 -  New</v>
      </c>
      <c r="E90" s="104" t="str">
        <f t="shared" si="7"/>
        <v>PJ</v>
      </c>
      <c r="F90" s="104" t="str">
        <f t="shared" si="8"/>
        <v>GW</v>
      </c>
      <c r="G90" s="104" t="s">
        <v>274</v>
      </c>
      <c r="H90" s="102"/>
      <c r="I90" s="102"/>
      <c r="J90" s="130" t="s">
        <v>353</v>
      </c>
    </row>
    <row r="91" spans="2:10">
      <c r="B91" s="101" t="s">
        <v>27</v>
      </c>
      <c r="C91" s="101" t="str">
        <f>CONCATENATE("XELC",Domestic!C10,"N")</f>
        <v>XELCR5N</v>
      </c>
      <c r="D91" s="101" t="str">
        <f>CONCATENATE("Electricity Imports from ",Domestic!C10," to ",Domestic!E$5," -  New")</f>
        <v>Electricity Imports from R5 to R2 -  New</v>
      </c>
      <c r="E91" s="104" t="str">
        <f t="shared" si="7"/>
        <v>PJ</v>
      </c>
      <c r="F91" s="104" t="str">
        <f t="shared" si="8"/>
        <v>GW</v>
      </c>
      <c r="G91" s="104" t="s">
        <v>274</v>
      </c>
      <c r="H91" s="102"/>
      <c r="I91" s="102"/>
      <c r="J91" s="130" t="s">
        <v>353</v>
      </c>
    </row>
    <row r="92" spans="2:10">
      <c r="B92" s="101" t="s">
        <v>169</v>
      </c>
      <c r="C92" s="101" t="str">
        <f>CONCATENATE("XELC",Domestic!C11,"N")</f>
        <v>XELCR6N</v>
      </c>
      <c r="D92" s="101" t="str">
        <f>CONCATENATE("Electricity Imports from ",Domestic!C11," to ",Domestic!E$5," -  New")</f>
        <v>Electricity Imports from R6 to R2 -  New</v>
      </c>
      <c r="E92" s="104" t="str">
        <f t="shared" si="7"/>
        <v/>
      </c>
      <c r="F92" s="104" t="str">
        <f t="shared" si="8"/>
        <v/>
      </c>
      <c r="G92" s="104" t="str">
        <f t="shared" si="9"/>
        <v/>
      </c>
      <c r="H92" s="102"/>
      <c r="I92" s="102"/>
      <c r="J92" s="130" t="s">
        <v>353</v>
      </c>
    </row>
    <row r="93" spans="2:10">
      <c r="B93" s="101" t="s">
        <v>169</v>
      </c>
      <c r="C93" s="101" t="str">
        <f>CONCATENATE("XELC",Domestic!C12,"N")</f>
        <v>XELCR7N</v>
      </c>
      <c r="D93" s="101" t="str">
        <f>CONCATENATE("Electricity Imports from ",Domestic!C12," to ",Domestic!E$5," -  New")</f>
        <v>Electricity Imports from R7 to R2 -  New</v>
      </c>
      <c r="E93" s="104" t="str">
        <f t="shared" si="7"/>
        <v/>
      </c>
      <c r="F93" s="104" t="str">
        <f t="shared" si="8"/>
        <v/>
      </c>
      <c r="G93" s="104" t="str">
        <f t="shared" si="9"/>
        <v/>
      </c>
      <c r="H93" s="102"/>
      <c r="I93" s="102"/>
      <c r="J93" s="130" t="s">
        <v>353</v>
      </c>
    </row>
    <row r="94" spans="2:10">
      <c r="B94" s="101" t="s">
        <v>169</v>
      </c>
      <c r="C94" s="101" t="str">
        <f>CONCATENATE("XELC",Domestic!C13,"N")</f>
        <v>XELCR8N</v>
      </c>
      <c r="D94" s="101" t="str">
        <f>CONCATENATE("Electricity Imports from ",Domestic!C13," to ",Domestic!E$5," -  New")</f>
        <v>Electricity Imports from R8 to R2 -  New</v>
      </c>
      <c r="E94" s="104" t="str">
        <f t="shared" si="7"/>
        <v/>
      </c>
      <c r="F94" s="104" t="str">
        <f t="shared" si="8"/>
        <v/>
      </c>
      <c r="G94" s="104" t="str">
        <f t="shared" si="9"/>
        <v/>
      </c>
      <c r="H94" s="102"/>
      <c r="I94" s="102"/>
      <c r="J94" s="130" t="s">
        <v>353</v>
      </c>
    </row>
    <row r="95" spans="2:10">
      <c r="B95" s="101" t="s">
        <v>169</v>
      </c>
      <c r="C95" s="101" t="str">
        <f>CONCATENATE("XELC",Domestic!C14,"N")</f>
        <v>XELCR9N</v>
      </c>
      <c r="D95" s="101" t="str">
        <f>CONCATENATE("Electricity Imports from ",Domestic!C14," to ",Domestic!E$5," -  New")</f>
        <v>Electricity Imports from R9 to R2 -  New</v>
      </c>
      <c r="E95" s="104" t="str">
        <f t="shared" si="7"/>
        <v/>
      </c>
      <c r="F95" s="104" t="str">
        <f t="shared" si="8"/>
        <v/>
      </c>
      <c r="G95" s="104" t="str">
        <f t="shared" si="9"/>
        <v/>
      </c>
      <c r="H95" s="102"/>
      <c r="I95" s="102"/>
      <c r="J95" s="130" t="s">
        <v>353</v>
      </c>
    </row>
    <row r="96" spans="2:10">
      <c r="B96" s="101" t="s">
        <v>35</v>
      </c>
      <c r="C96" s="101"/>
      <c r="D96" s="101"/>
      <c r="E96" s="104" t="str">
        <f t="shared" si="7"/>
        <v>PJ</v>
      </c>
      <c r="F96" s="104" t="str">
        <f t="shared" si="8"/>
        <v>GW</v>
      </c>
      <c r="G96" s="104" t="s">
        <v>274</v>
      </c>
      <c r="H96" s="102"/>
      <c r="I96" s="102"/>
      <c r="J96" s="130" t="s">
        <v>353</v>
      </c>
    </row>
    <row r="97" spans="2:10">
      <c r="B97" s="101" t="s">
        <v>64</v>
      </c>
      <c r="C97" s="101" t="str">
        <f>CONCATENATE("XELC",Domestic!C6,"N")</f>
        <v>XELCR1N</v>
      </c>
      <c r="D97" s="101" t="str">
        <f>CONCATENATE("Electricity Imports from ",Domestic!C6," to ",Domestic!F$5," -  New")</f>
        <v>Electricity Imports from R1 to R3 -  New</v>
      </c>
      <c r="E97" s="104" t="str">
        <f t="shared" si="7"/>
        <v>PJ</v>
      </c>
      <c r="F97" s="104" t="str">
        <f t="shared" si="8"/>
        <v>GW</v>
      </c>
      <c r="G97" s="104" t="s">
        <v>274</v>
      </c>
      <c r="H97" s="102"/>
      <c r="I97" s="102"/>
      <c r="J97" s="130" t="s">
        <v>353</v>
      </c>
    </row>
    <row r="98" spans="2:10">
      <c r="B98" s="101" t="s">
        <v>64</v>
      </c>
      <c r="C98" s="101" t="str">
        <f>CONCATENATE("XELC",Domestic!C7,"N")</f>
        <v>XELCR2N</v>
      </c>
      <c r="D98" s="101" t="str">
        <f>CONCATENATE("Electricity Imports from ",Domestic!C7," to ",Domestic!F$5," -  New")</f>
        <v>Electricity Imports from R2 to R3 -  New</v>
      </c>
      <c r="E98" s="104" t="str">
        <f t="shared" si="7"/>
        <v>PJ</v>
      </c>
      <c r="F98" s="104" t="str">
        <f t="shared" si="8"/>
        <v>GW</v>
      </c>
      <c r="G98" s="104" t="s">
        <v>274</v>
      </c>
      <c r="H98" s="102"/>
      <c r="I98" s="102"/>
      <c r="J98" s="130" t="s">
        <v>353</v>
      </c>
    </row>
    <row r="99" spans="2:10">
      <c r="B99" s="101" t="s">
        <v>169</v>
      </c>
      <c r="C99" s="101" t="str">
        <f>CONCATENATE("XELC",Domestic!C8,"N")</f>
        <v>XELCR3N</v>
      </c>
      <c r="D99" s="101" t="str">
        <f>CONCATENATE("Electricity Imports from ",Domestic!C8," to ",Domestic!F$5," -  New")</f>
        <v>Electricity Imports from R3 to R3 -  New</v>
      </c>
      <c r="E99" s="104" t="str">
        <f t="shared" si="7"/>
        <v/>
      </c>
      <c r="F99" s="104" t="str">
        <f t="shared" si="8"/>
        <v/>
      </c>
      <c r="G99" s="104" t="str">
        <f t="shared" si="9"/>
        <v/>
      </c>
      <c r="H99" s="102"/>
      <c r="I99" s="102"/>
      <c r="J99" s="130" t="s">
        <v>353</v>
      </c>
    </row>
    <row r="100" spans="2:10">
      <c r="B100" s="101" t="s">
        <v>64</v>
      </c>
      <c r="C100" s="101" t="str">
        <f>CONCATENATE("XELC",Domestic!C9,"N")</f>
        <v>XELCR4N</v>
      </c>
      <c r="D100" s="101" t="str">
        <f>CONCATENATE("Electricity Imports from ",Domestic!C9," to ",Domestic!F$5," -  New")</f>
        <v>Electricity Imports from R4 to R3 -  New</v>
      </c>
      <c r="E100" s="104" t="str">
        <f t="shared" si="7"/>
        <v>PJ</v>
      </c>
      <c r="F100" s="104" t="str">
        <f t="shared" si="8"/>
        <v>GW</v>
      </c>
      <c r="G100" s="104" t="s">
        <v>274</v>
      </c>
      <c r="H100" s="102"/>
      <c r="I100" s="102"/>
      <c r="J100" s="130" t="s">
        <v>353</v>
      </c>
    </row>
    <row r="101" spans="2:10">
      <c r="B101" s="101" t="s">
        <v>64</v>
      </c>
      <c r="C101" s="101" t="str">
        <f>CONCATENATE("XELC",Domestic!C10,"N")</f>
        <v>XELCR5N</v>
      </c>
      <c r="D101" s="101" t="str">
        <f>CONCATENATE("Electricity Imports from ",Domestic!C10," to ",Domestic!F$5," -  New")</f>
        <v>Electricity Imports from R5 to R3 -  New</v>
      </c>
      <c r="E101" s="104" t="str">
        <f t="shared" si="7"/>
        <v>PJ</v>
      </c>
      <c r="F101" s="104" t="str">
        <f t="shared" si="8"/>
        <v>GW</v>
      </c>
      <c r="G101" s="104" t="s">
        <v>274</v>
      </c>
      <c r="H101" s="102"/>
      <c r="I101" s="102"/>
      <c r="J101" s="130" t="s">
        <v>353</v>
      </c>
    </row>
    <row r="102" spans="2:10">
      <c r="B102" s="101" t="s">
        <v>169</v>
      </c>
      <c r="C102" s="101" t="str">
        <f>CONCATENATE("XELC",Domestic!C11,"N")</f>
        <v>XELCR6N</v>
      </c>
      <c r="D102" s="101" t="str">
        <f>CONCATENATE("Electricity Imports from ",Domestic!C11," to ",Domestic!F$5," -  New")</f>
        <v>Electricity Imports from R6 to R3 -  New</v>
      </c>
      <c r="E102" s="104" t="str">
        <f t="shared" si="7"/>
        <v/>
      </c>
      <c r="F102" s="104" t="str">
        <f t="shared" si="8"/>
        <v/>
      </c>
      <c r="G102" s="104" t="str">
        <f t="shared" si="9"/>
        <v/>
      </c>
      <c r="H102" s="102"/>
      <c r="I102" s="102"/>
      <c r="J102" s="130" t="s">
        <v>353</v>
      </c>
    </row>
    <row r="103" spans="2:10">
      <c r="B103" s="101" t="s">
        <v>169</v>
      </c>
      <c r="C103" s="101" t="str">
        <f>CONCATENATE("XELC",Domestic!C12,"N")</f>
        <v>XELCR7N</v>
      </c>
      <c r="D103" s="101" t="str">
        <f>CONCATENATE("Electricity Imports from ",Domestic!C12," to ",Domestic!F$5," -  New")</f>
        <v>Electricity Imports from R7 to R3 -  New</v>
      </c>
      <c r="E103" s="104" t="str">
        <f t="shared" si="7"/>
        <v/>
      </c>
      <c r="F103" s="104" t="str">
        <f t="shared" si="8"/>
        <v/>
      </c>
      <c r="G103" s="104" t="str">
        <f t="shared" si="9"/>
        <v/>
      </c>
      <c r="H103" s="102"/>
      <c r="I103" s="102"/>
      <c r="J103" s="130" t="s">
        <v>353</v>
      </c>
    </row>
    <row r="104" spans="2:10">
      <c r="B104" s="101" t="s">
        <v>169</v>
      </c>
      <c r="C104" s="101" t="str">
        <f>CONCATENATE("XELC",Domestic!C13,"N")</f>
        <v>XELCR8N</v>
      </c>
      <c r="D104" s="101" t="str">
        <f>CONCATENATE("Electricity Imports from ",Domestic!C13," to ",Domestic!F$5," -  New")</f>
        <v>Electricity Imports from R8 to R3 -  New</v>
      </c>
      <c r="E104" s="104" t="str">
        <f t="shared" si="7"/>
        <v/>
      </c>
      <c r="F104" s="104" t="str">
        <f t="shared" si="8"/>
        <v/>
      </c>
      <c r="G104" s="104" t="str">
        <f t="shared" si="9"/>
        <v/>
      </c>
      <c r="H104" s="102"/>
      <c r="I104" s="102"/>
      <c r="J104" s="130" t="s">
        <v>353</v>
      </c>
    </row>
    <row r="105" spans="2:10">
      <c r="B105" s="101" t="s">
        <v>169</v>
      </c>
      <c r="C105" s="101" t="str">
        <f>CONCATENATE("XELC",Domestic!C14,"N")</f>
        <v>XELCR9N</v>
      </c>
      <c r="D105" s="101" t="str">
        <f>CONCATENATE("Electricity Imports from ",Domestic!C14," to ",Domestic!F$5," -  New")</f>
        <v>Electricity Imports from R9 to R3 -  New</v>
      </c>
      <c r="E105" s="104" t="str">
        <f t="shared" si="7"/>
        <v/>
      </c>
      <c r="F105" s="104" t="str">
        <f t="shared" si="8"/>
        <v/>
      </c>
      <c r="G105" s="104" t="str">
        <f t="shared" si="9"/>
        <v/>
      </c>
      <c r="H105" s="102"/>
      <c r="I105" s="102"/>
      <c r="J105" s="130" t="s">
        <v>353</v>
      </c>
    </row>
    <row r="106" spans="2:10">
      <c r="B106" s="101" t="s">
        <v>36</v>
      </c>
      <c r="C106" s="101"/>
      <c r="D106" s="101"/>
      <c r="E106" s="104" t="str">
        <f t="shared" si="7"/>
        <v>PJ</v>
      </c>
      <c r="F106" s="104" t="str">
        <f t="shared" si="8"/>
        <v>GW</v>
      </c>
      <c r="G106" s="104" t="s">
        <v>274</v>
      </c>
      <c r="H106" s="102"/>
      <c r="I106" s="102"/>
      <c r="J106" s="130" t="s">
        <v>353</v>
      </c>
    </row>
    <row r="107" spans="2:10">
      <c r="B107" s="101" t="s">
        <v>65</v>
      </c>
      <c r="C107" s="101" t="str">
        <f>CONCATENATE("XELC",Domestic!C6,"N")</f>
        <v>XELCR1N</v>
      </c>
      <c r="D107" s="101" t="str">
        <f>CONCATENATE("Electricity Imports from ",Domestic!C6," to ",Domestic!G$5," -  New")</f>
        <v>Electricity Imports from R1 to R4 -  New</v>
      </c>
      <c r="E107" s="104" t="str">
        <f t="shared" si="7"/>
        <v>PJ</v>
      </c>
      <c r="F107" s="104" t="str">
        <f t="shared" si="8"/>
        <v>GW</v>
      </c>
      <c r="G107" s="104" t="s">
        <v>274</v>
      </c>
      <c r="H107" s="102"/>
      <c r="I107" s="102"/>
      <c r="J107" s="130" t="s">
        <v>353</v>
      </c>
    </row>
    <row r="108" spans="2:10">
      <c r="B108" s="101" t="s">
        <v>65</v>
      </c>
      <c r="C108" s="101" t="str">
        <f>CONCATENATE("XELC",Domestic!C7,"N")</f>
        <v>XELCR2N</v>
      </c>
      <c r="D108" s="101" t="str">
        <f>CONCATENATE("Electricity Imports from ",Domestic!C7," to ",Domestic!G$5," -  New")</f>
        <v>Electricity Imports from R2 to R4 -  New</v>
      </c>
      <c r="E108" s="104" t="str">
        <f t="shared" si="7"/>
        <v>PJ</v>
      </c>
      <c r="F108" s="104" t="str">
        <f t="shared" si="8"/>
        <v>GW</v>
      </c>
      <c r="G108" s="104" t="s">
        <v>274</v>
      </c>
      <c r="H108" s="102"/>
      <c r="I108" s="102"/>
      <c r="J108" s="130" t="s">
        <v>353</v>
      </c>
    </row>
    <row r="109" spans="2:10">
      <c r="B109" s="101" t="s">
        <v>65</v>
      </c>
      <c r="C109" s="101" t="str">
        <f>CONCATENATE("XELC",Domestic!C8,"N")</f>
        <v>XELCR3N</v>
      </c>
      <c r="D109" s="101" t="str">
        <f>CONCATENATE("Electricity Imports from ",Domestic!C8," to ",Domestic!G$5," -  New")</f>
        <v>Electricity Imports from R3 to R4 -  New</v>
      </c>
      <c r="E109" s="104" t="str">
        <f t="shared" si="7"/>
        <v>PJ</v>
      </c>
      <c r="F109" s="104" t="str">
        <f t="shared" si="8"/>
        <v>GW</v>
      </c>
      <c r="G109" s="104" t="s">
        <v>274</v>
      </c>
      <c r="H109" s="102"/>
      <c r="I109" s="102"/>
      <c r="J109" s="130" t="s">
        <v>353</v>
      </c>
    </row>
    <row r="110" spans="2:10">
      <c r="B110" s="101" t="s">
        <v>169</v>
      </c>
      <c r="C110" s="101" t="str">
        <f>CONCATENATE("XELC",Domestic!C9,"N")</f>
        <v>XELCR4N</v>
      </c>
      <c r="D110" s="101" t="str">
        <f>CONCATENATE("Electricity Imports from ",Domestic!C9," to ",Domestic!G$5," -  New")</f>
        <v>Electricity Imports from R4 to R4 -  New</v>
      </c>
      <c r="E110" s="104" t="str">
        <f t="shared" si="7"/>
        <v/>
      </c>
      <c r="F110" s="104" t="str">
        <f t="shared" si="8"/>
        <v/>
      </c>
      <c r="G110" s="104" t="str">
        <f t="shared" si="9"/>
        <v/>
      </c>
      <c r="H110" s="102"/>
      <c r="I110" s="102"/>
      <c r="J110" s="130" t="s">
        <v>353</v>
      </c>
    </row>
    <row r="111" spans="2:10">
      <c r="B111" s="101" t="s">
        <v>169</v>
      </c>
      <c r="C111" s="101" t="str">
        <f>CONCATENATE("XELC",Domestic!C10,"N")</f>
        <v>XELCR5N</v>
      </c>
      <c r="D111" s="101" t="str">
        <f>CONCATENATE("Electricity Imports from ",Domestic!C10," to ",Domestic!G$5," -  New")</f>
        <v>Electricity Imports from R5 to R4 -  New</v>
      </c>
      <c r="E111" s="104" t="str">
        <f t="shared" si="7"/>
        <v/>
      </c>
      <c r="F111" s="104" t="str">
        <f t="shared" si="8"/>
        <v/>
      </c>
      <c r="G111" s="104"/>
      <c r="H111" s="102"/>
      <c r="I111" s="102"/>
      <c r="J111" s="130" t="s">
        <v>353</v>
      </c>
    </row>
    <row r="112" spans="2:10">
      <c r="B112" s="101" t="s">
        <v>169</v>
      </c>
      <c r="C112" s="101" t="str">
        <f>CONCATENATE("XELC",Domestic!C11,"N")</f>
        <v>XELCR6N</v>
      </c>
      <c r="D112" s="101" t="str">
        <f>CONCATENATE("Electricity Imports from ",Domestic!C11," to ",Domestic!G$5," -  New")</f>
        <v>Electricity Imports from R6 to R4 -  New</v>
      </c>
      <c r="E112" s="104" t="str">
        <f t="shared" si="7"/>
        <v/>
      </c>
      <c r="F112" s="104" t="str">
        <f t="shared" si="8"/>
        <v/>
      </c>
      <c r="G112" s="104" t="str">
        <f t="shared" si="9"/>
        <v/>
      </c>
      <c r="H112" s="102"/>
      <c r="I112" s="102"/>
      <c r="J112" s="130" t="s">
        <v>353</v>
      </c>
    </row>
    <row r="113" spans="2:10">
      <c r="B113" s="101" t="s">
        <v>169</v>
      </c>
      <c r="C113" s="101" t="str">
        <f>CONCATENATE("XELC",Domestic!C12,"N")</f>
        <v>XELCR7N</v>
      </c>
      <c r="D113" s="101" t="str">
        <f>CONCATENATE("Electricity Imports from ",Domestic!C12," to ",Domestic!G$5," -  New")</f>
        <v>Electricity Imports from R7 to R4 -  New</v>
      </c>
      <c r="E113" s="104" t="str">
        <f t="shared" si="7"/>
        <v/>
      </c>
      <c r="F113" s="104" t="str">
        <f t="shared" si="8"/>
        <v/>
      </c>
      <c r="G113" s="104" t="str">
        <f t="shared" si="9"/>
        <v/>
      </c>
      <c r="H113" s="102"/>
      <c r="I113" s="102"/>
      <c r="J113" s="130" t="s">
        <v>353</v>
      </c>
    </row>
    <row r="114" spans="2:10">
      <c r="B114" s="101" t="s">
        <v>169</v>
      </c>
      <c r="C114" s="101" t="str">
        <f>CONCATENATE("XELC",Domestic!C13,"N")</f>
        <v>XELCR8N</v>
      </c>
      <c r="D114" s="101" t="str">
        <f>CONCATENATE("Electricity Imports from ",Domestic!C13," to ",Domestic!G$5," -  New")</f>
        <v>Electricity Imports from R8 to R4 -  New</v>
      </c>
      <c r="E114" s="104" t="str">
        <f t="shared" si="7"/>
        <v/>
      </c>
      <c r="F114" s="104" t="str">
        <f t="shared" si="8"/>
        <v/>
      </c>
      <c r="G114" s="104" t="str">
        <f t="shared" si="9"/>
        <v/>
      </c>
      <c r="H114" s="102"/>
      <c r="I114" s="102"/>
      <c r="J114" s="130" t="s">
        <v>353</v>
      </c>
    </row>
    <row r="115" spans="2:10">
      <c r="B115" s="101" t="s">
        <v>169</v>
      </c>
      <c r="C115" s="101" t="str">
        <f>CONCATENATE("XELC",Domestic!C14,"N")</f>
        <v>XELCR9N</v>
      </c>
      <c r="D115" s="101" t="str">
        <f>CONCATENATE("Electricity Imports from ",Domestic!C14," to ",Domestic!G$5," -  New")</f>
        <v>Electricity Imports from R9 to R4 -  New</v>
      </c>
      <c r="E115" s="104" t="str">
        <f t="shared" si="7"/>
        <v/>
      </c>
      <c r="F115" s="104" t="str">
        <f t="shared" si="8"/>
        <v/>
      </c>
      <c r="G115" s="104" t="str">
        <f t="shared" si="9"/>
        <v/>
      </c>
      <c r="H115" s="102"/>
      <c r="I115" s="102"/>
      <c r="J115" s="130" t="s">
        <v>353</v>
      </c>
    </row>
    <row r="116" spans="2:10">
      <c r="B116" s="101" t="s">
        <v>37</v>
      </c>
      <c r="C116" s="101"/>
      <c r="D116" s="101"/>
      <c r="E116" s="104" t="str">
        <f t="shared" si="7"/>
        <v>PJ</v>
      </c>
      <c r="F116" s="104" t="str">
        <f t="shared" si="8"/>
        <v>GW</v>
      </c>
      <c r="G116" s="104" t="s">
        <v>274</v>
      </c>
      <c r="H116" s="102"/>
      <c r="I116" s="102"/>
      <c r="J116" s="130" t="s">
        <v>353</v>
      </c>
    </row>
    <row r="117" spans="2:10">
      <c r="B117" s="101" t="s">
        <v>66</v>
      </c>
      <c r="C117" s="101" t="str">
        <f>CONCATENATE("XELC",Domestic!C6,"N")</f>
        <v>XELCR1N</v>
      </c>
      <c r="D117" s="101" t="str">
        <f>CONCATENATE("Electricity Imports from ",Domestic!C6," to ",Domestic!H$5," -  New")</f>
        <v>Electricity Imports from R1 to R5 -  New</v>
      </c>
      <c r="E117" s="104" t="str">
        <f t="shared" si="7"/>
        <v>PJ</v>
      </c>
      <c r="F117" s="104" t="str">
        <f t="shared" si="8"/>
        <v>GW</v>
      </c>
      <c r="G117" s="104" t="s">
        <v>274</v>
      </c>
      <c r="H117" s="102"/>
      <c r="I117" s="102"/>
      <c r="J117" s="130" t="s">
        <v>353</v>
      </c>
    </row>
    <row r="118" spans="2:10">
      <c r="B118" s="101" t="s">
        <v>66</v>
      </c>
      <c r="C118" s="101" t="str">
        <f>CONCATENATE("XELC",Domestic!C7,"N")</f>
        <v>XELCR2N</v>
      </c>
      <c r="D118" s="101" t="str">
        <f>CONCATENATE("Electricity Imports from ",Domestic!C7," to ",Domestic!H$5," -  New")</f>
        <v>Electricity Imports from R2 to R5 -  New</v>
      </c>
      <c r="E118" s="104" t="str">
        <f t="shared" si="7"/>
        <v>PJ</v>
      </c>
      <c r="F118" s="104" t="str">
        <f t="shared" si="8"/>
        <v>GW</v>
      </c>
      <c r="G118" s="104" t="s">
        <v>274</v>
      </c>
      <c r="H118" s="102"/>
      <c r="I118" s="102"/>
      <c r="J118" s="130" t="s">
        <v>353</v>
      </c>
    </row>
    <row r="119" spans="2:10">
      <c r="B119" s="101" t="s">
        <v>66</v>
      </c>
      <c r="C119" s="101" t="str">
        <f>CONCATENATE("XELC",Domestic!C8,"N")</f>
        <v>XELCR3N</v>
      </c>
      <c r="D119" s="101" t="str">
        <f>CONCATENATE("Electricity Imports from ",Domestic!C8," to ",Domestic!H$5," -  New")</f>
        <v>Electricity Imports from R3 to R5 -  New</v>
      </c>
      <c r="E119" s="104" t="str">
        <f t="shared" si="7"/>
        <v>PJ</v>
      </c>
      <c r="F119" s="104" t="str">
        <f t="shared" si="8"/>
        <v>GW</v>
      </c>
      <c r="G119" s="104" t="s">
        <v>274</v>
      </c>
      <c r="H119" s="102"/>
      <c r="I119" s="102"/>
      <c r="J119" s="130" t="s">
        <v>353</v>
      </c>
    </row>
    <row r="120" spans="2:10">
      <c r="B120" s="101" t="s">
        <v>169</v>
      </c>
      <c r="C120" s="101" t="str">
        <f>CONCATENATE("XELC",Domestic!C9,"N")</f>
        <v>XELCR4N</v>
      </c>
      <c r="D120" s="101" t="str">
        <f>CONCATENATE("Electricity Imports from ",Domestic!C9," to ",Domestic!H$5," -  New")</f>
        <v>Electricity Imports from R4 to R5 -  New</v>
      </c>
      <c r="E120" s="104" t="str">
        <f t="shared" si="7"/>
        <v/>
      </c>
      <c r="F120" s="104" t="str">
        <f t="shared" si="8"/>
        <v/>
      </c>
      <c r="G120" s="104" t="str">
        <f t="shared" si="9"/>
        <v/>
      </c>
      <c r="H120" s="102"/>
      <c r="I120" s="102"/>
      <c r="J120" s="130" t="s">
        <v>353</v>
      </c>
    </row>
    <row r="121" spans="2:10">
      <c r="B121" s="101" t="s">
        <v>169</v>
      </c>
      <c r="C121" s="101" t="str">
        <f>CONCATENATE("XELC",Domestic!C10,"N")</f>
        <v>XELCR5N</v>
      </c>
      <c r="D121" s="101" t="str">
        <f>CONCATENATE("Electricity Imports from ",Domestic!C10," to ",Domestic!H$5," -  New")</f>
        <v>Electricity Imports from R5 to R5 -  New</v>
      </c>
      <c r="E121" s="104" t="str">
        <f t="shared" si="7"/>
        <v/>
      </c>
      <c r="F121" s="104" t="str">
        <f t="shared" si="8"/>
        <v/>
      </c>
      <c r="G121" s="104" t="str">
        <f t="shared" si="9"/>
        <v/>
      </c>
      <c r="H121" s="102"/>
      <c r="I121" s="102"/>
      <c r="J121" s="130" t="s">
        <v>353</v>
      </c>
    </row>
    <row r="122" spans="2:10">
      <c r="B122" s="101" t="s">
        <v>66</v>
      </c>
      <c r="C122" s="101" t="str">
        <f>CONCATENATE("XELC",Domestic!C11,"N")</f>
        <v>XELCR6N</v>
      </c>
      <c r="D122" s="101" t="str">
        <f>CONCATENATE("Electricity Imports from ",Domestic!C11," to ",Domestic!H$5," -  New")</f>
        <v>Electricity Imports from R6 to R5 -  New</v>
      </c>
      <c r="E122" s="104" t="str">
        <f t="shared" ref="E122:E135" si="10">IF(B122="* Not Allowed","","PJ")</f>
        <v>PJ</v>
      </c>
      <c r="F122" s="104" t="str">
        <f t="shared" ref="F122:F135" si="11">IF(B122="* Not Allowed","","GW")</f>
        <v>GW</v>
      </c>
      <c r="G122" s="104" t="s">
        <v>274</v>
      </c>
      <c r="H122" s="102"/>
      <c r="I122" s="102"/>
      <c r="J122" s="130" t="s">
        <v>353</v>
      </c>
    </row>
    <row r="123" spans="2:10">
      <c r="B123" s="101" t="s">
        <v>169</v>
      </c>
      <c r="C123" s="101" t="str">
        <f>CONCATENATE("XELC",Domestic!C12,"N")</f>
        <v>XELCR7N</v>
      </c>
      <c r="D123" s="101" t="str">
        <f>CONCATENATE("Electricity Imports from ",Domestic!C12," to ",Domestic!H$5," -  New")</f>
        <v>Electricity Imports from R7 to R5 -  New</v>
      </c>
      <c r="E123" s="104" t="str">
        <f t="shared" si="10"/>
        <v/>
      </c>
      <c r="F123" s="104" t="str">
        <f t="shared" si="11"/>
        <v/>
      </c>
      <c r="G123" s="104" t="str">
        <f t="shared" ref="G123:G135" si="12">IF(B123="* Not Allowed","","TCH,CON,ELE,CEN,NBN,LNK")</f>
        <v/>
      </c>
      <c r="H123" s="102"/>
      <c r="I123" s="102"/>
      <c r="J123" s="130" t="s">
        <v>353</v>
      </c>
    </row>
    <row r="124" spans="2:10">
      <c r="B124" s="101" t="s">
        <v>169</v>
      </c>
      <c r="C124" s="101" t="str">
        <f>CONCATENATE("XELC",Domestic!C13,"N")</f>
        <v>XELCR8N</v>
      </c>
      <c r="D124" s="101" t="str">
        <f>CONCATENATE("Electricity Imports from ",Domestic!C13," to ",Domestic!H$5," -  New")</f>
        <v>Electricity Imports from R8 to R5 -  New</v>
      </c>
      <c r="E124" s="104" t="str">
        <f t="shared" si="10"/>
        <v/>
      </c>
      <c r="F124" s="104" t="str">
        <f t="shared" si="11"/>
        <v/>
      </c>
      <c r="G124" s="104" t="str">
        <f t="shared" si="12"/>
        <v/>
      </c>
      <c r="H124" s="102"/>
      <c r="I124" s="102"/>
      <c r="J124" s="130" t="s">
        <v>353</v>
      </c>
    </row>
    <row r="125" spans="2:10">
      <c r="B125" s="101" t="s">
        <v>169</v>
      </c>
      <c r="C125" s="101" t="str">
        <f>CONCATENATE("XELC",Domestic!C14,"N")</f>
        <v>XELCR9N</v>
      </c>
      <c r="D125" s="101" t="str">
        <f>CONCATENATE("Electricity Imports from ",Domestic!C14," to ",Domestic!H$5," -  New")</f>
        <v>Electricity Imports from R9 to R5 -  New</v>
      </c>
      <c r="E125" s="104" t="str">
        <f t="shared" si="10"/>
        <v/>
      </c>
      <c r="F125" s="104" t="str">
        <f t="shared" si="11"/>
        <v/>
      </c>
      <c r="G125" s="104" t="str">
        <f t="shared" si="12"/>
        <v/>
      </c>
      <c r="H125" s="102"/>
      <c r="I125" s="102"/>
      <c r="J125" s="130" t="s">
        <v>353</v>
      </c>
    </row>
    <row r="126" spans="2:10">
      <c r="B126" s="101" t="s">
        <v>38</v>
      </c>
      <c r="C126" s="101"/>
      <c r="D126" s="101"/>
      <c r="E126" s="104" t="str">
        <f t="shared" si="10"/>
        <v>PJ</v>
      </c>
      <c r="F126" s="104" t="str">
        <f t="shared" si="11"/>
        <v>GW</v>
      </c>
      <c r="G126" s="104" t="s">
        <v>274</v>
      </c>
      <c r="H126" s="102"/>
      <c r="I126" s="102"/>
      <c r="J126" s="130" t="s">
        <v>353</v>
      </c>
    </row>
    <row r="127" spans="2:10">
      <c r="B127" s="101" t="s">
        <v>67</v>
      </c>
      <c r="C127" s="101" t="str">
        <f>CONCATENATE("XELC",Domestic!C6,"N")</f>
        <v>XELCR1N</v>
      </c>
      <c r="D127" s="101" t="str">
        <f>CONCATENATE("Electricity Imports from ",Domestic!C6," to ",Domestic!I$5," -  New")</f>
        <v>Electricity Imports from R1 to R6 -  New</v>
      </c>
      <c r="E127" s="104" t="str">
        <f t="shared" si="10"/>
        <v>PJ</v>
      </c>
      <c r="F127" s="104" t="str">
        <f t="shared" si="11"/>
        <v>GW</v>
      </c>
      <c r="G127" s="104" t="s">
        <v>274</v>
      </c>
      <c r="H127" s="102"/>
      <c r="I127" s="102"/>
      <c r="J127" s="130" t="s">
        <v>353</v>
      </c>
    </row>
    <row r="128" spans="2:10">
      <c r="B128" s="101" t="s">
        <v>169</v>
      </c>
      <c r="C128" s="101" t="str">
        <f>CONCATENATE("XELC",Domestic!C7,"N")</f>
        <v>XELCR2N</v>
      </c>
      <c r="D128" s="101" t="str">
        <f>CONCATENATE("Electricity Imports from ",Domestic!C7," to ",Domestic!I$5," -  New")</f>
        <v>Electricity Imports from R2 to R6 -  New</v>
      </c>
      <c r="E128" s="104" t="str">
        <f t="shared" si="10"/>
        <v/>
      </c>
      <c r="F128" s="104" t="str">
        <f t="shared" si="11"/>
        <v/>
      </c>
      <c r="G128" s="104" t="str">
        <f t="shared" si="12"/>
        <v/>
      </c>
      <c r="H128" s="102"/>
      <c r="I128" s="102"/>
      <c r="J128" s="130" t="s">
        <v>353</v>
      </c>
    </row>
    <row r="129" spans="2:10">
      <c r="B129" s="101" t="s">
        <v>169</v>
      </c>
      <c r="C129" s="101" t="str">
        <f>CONCATENATE("XELC",Domestic!C8,"N")</f>
        <v>XELCR3N</v>
      </c>
      <c r="D129" s="101" t="str">
        <f>CONCATENATE("Electricity Imports from ",Domestic!C8," to ",Domestic!I$5," -  New")</f>
        <v>Electricity Imports from R3 to R6 -  New</v>
      </c>
      <c r="E129" s="104" t="str">
        <f t="shared" si="10"/>
        <v/>
      </c>
      <c r="F129" s="104" t="str">
        <f t="shared" si="11"/>
        <v/>
      </c>
      <c r="G129" s="104" t="str">
        <f t="shared" si="12"/>
        <v/>
      </c>
      <c r="H129" s="102"/>
      <c r="I129" s="102"/>
      <c r="J129" s="130" t="s">
        <v>353</v>
      </c>
    </row>
    <row r="130" spans="2:10">
      <c r="B130" s="101" t="s">
        <v>169</v>
      </c>
      <c r="C130" s="101" t="str">
        <f>CONCATENATE("XELC",Domestic!C9,"N")</f>
        <v>XELCR4N</v>
      </c>
      <c r="D130" s="101" t="str">
        <f>CONCATENATE("Electricity Imports from ",Domestic!C9," to ",Domestic!I$5," -  New")</f>
        <v>Electricity Imports from R4 to R6 -  New</v>
      </c>
      <c r="E130" s="104" t="str">
        <f t="shared" si="10"/>
        <v/>
      </c>
      <c r="F130" s="104" t="str">
        <f t="shared" si="11"/>
        <v/>
      </c>
      <c r="G130" s="104" t="str">
        <f t="shared" si="12"/>
        <v/>
      </c>
      <c r="H130" s="102"/>
      <c r="I130" s="102"/>
      <c r="J130" s="130" t="s">
        <v>353</v>
      </c>
    </row>
    <row r="131" spans="2:10">
      <c r="B131" s="101" t="s">
        <v>67</v>
      </c>
      <c r="C131" s="101" t="str">
        <f>CONCATENATE("XELC",Domestic!C10,"N")</f>
        <v>XELCR5N</v>
      </c>
      <c r="D131" s="101" t="str">
        <f>CONCATENATE("Electricity Imports from ",Domestic!C10," to ",Domestic!I$5," -  New")</f>
        <v>Electricity Imports from R5 to R6 -  New</v>
      </c>
      <c r="E131" s="104" t="str">
        <f t="shared" si="10"/>
        <v>PJ</v>
      </c>
      <c r="F131" s="104" t="str">
        <f t="shared" si="11"/>
        <v>GW</v>
      </c>
      <c r="G131" s="104" t="s">
        <v>274</v>
      </c>
      <c r="H131" s="102"/>
      <c r="I131" s="102"/>
      <c r="J131" s="130" t="s">
        <v>353</v>
      </c>
    </row>
    <row r="132" spans="2:10">
      <c r="B132" s="101" t="s">
        <v>169</v>
      </c>
      <c r="C132" s="101" t="str">
        <f>CONCATENATE("XELC",Domestic!C11,"N")</f>
        <v>XELCR6N</v>
      </c>
      <c r="D132" s="101" t="str">
        <f>CONCATENATE("Electricity Imports from ",Domestic!C11," to ",Domestic!I$5," -  New")</f>
        <v>Electricity Imports from R6 to R6 -  New</v>
      </c>
      <c r="E132" s="104" t="str">
        <f t="shared" si="10"/>
        <v/>
      </c>
      <c r="F132" s="104" t="str">
        <f t="shared" si="11"/>
        <v/>
      </c>
      <c r="G132" s="104" t="str">
        <f t="shared" si="12"/>
        <v/>
      </c>
      <c r="H132" s="102"/>
      <c r="I132" s="102"/>
      <c r="J132" s="130" t="s">
        <v>353</v>
      </c>
    </row>
    <row r="133" spans="2:10">
      <c r="B133" s="101" t="s">
        <v>169</v>
      </c>
      <c r="C133" s="101" t="str">
        <f>CONCATENATE("XELC",Domestic!C12,"N")</f>
        <v>XELCR7N</v>
      </c>
      <c r="D133" s="101" t="str">
        <f>CONCATENATE("Electricity Imports from ",Domestic!C12," to ",Domestic!I$5," -  New")</f>
        <v>Electricity Imports from R7 to R6 -  New</v>
      </c>
      <c r="E133" s="104" t="str">
        <f t="shared" si="10"/>
        <v/>
      </c>
      <c r="F133" s="104" t="str">
        <f t="shared" si="11"/>
        <v/>
      </c>
      <c r="G133" s="104" t="str">
        <f t="shared" si="12"/>
        <v/>
      </c>
      <c r="H133" s="102"/>
      <c r="I133" s="102"/>
      <c r="J133" s="130" t="s">
        <v>353</v>
      </c>
    </row>
    <row r="134" spans="2:10">
      <c r="B134" s="101" t="s">
        <v>169</v>
      </c>
      <c r="C134" s="101" t="str">
        <f>CONCATENATE("XELC",Domestic!C13,"N")</f>
        <v>XELCR8N</v>
      </c>
      <c r="D134" s="101" t="str">
        <f>CONCATENATE("Electricity Imports from ",Domestic!C13," to ",Domestic!I$5," -  New")</f>
        <v>Electricity Imports from R8 to R6 -  New</v>
      </c>
      <c r="E134" s="104" t="str">
        <f t="shared" si="10"/>
        <v/>
      </c>
      <c r="F134" s="104" t="str">
        <f t="shared" si="11"/>
        <v/>
      </c>
      <c r="G134" s="104" t="str">
        <f t="shared" si="12"/>
        <v/>
      </c>
      <c r="H134" s="102"/>
      <c r="I134" s="102"/>
      <c r="J134" s="130" t="s">
        <v>353</v>
      </c>
    </row>
    <row r="135" spans="2:10">
      <c r="B135" s="101" t="s">
        <v>169</v>
      </c>
      <c r="C135" s="101" t="str">
        <f>CONCATENATE("XELC",Domestic!C14,"N")</f>
        <v>XELCR9N</v>
      </c>
      <c r="D135" s="101" t="str">
        <f>CONCATENATE("Electricity Imports from ",Domestic!C14," to ",Domestic!I$5," -  New")</f>
        <v>Electricity Imports from R9 to R6 -  New</v>
      </c>
      <c r="E135" s="104" t="str">
        <f t="shared" si="10"/>
        <v/>
      </c>
      <c r="F135" s="104" t="str">
        <f t="shared" si="11"/>
        <v/>
      </c>
      <c r="G135" s="104" t="str">
        <f t="shared" si="12"/>
        <v/>
      </c>
      <c r="H135" s="102"/>
      <c r="I135" s="102"/>
      <c r="J135" s="130" t="s">
        <v>353</v>
      </c>
    </row>
    <row r="136" spans="2:10">
      <c r="B136" s="101" t="str">
        <f>TechData_HistELC_TRD!B5</f>
        <v>* International Trade Processes, Infrastructure - Existing</v>
      </c>
      <c r="C136" s="101"/>
      <c r="D136" s="101"/>
      <c r="E136" s="104"/>
      <c r="F136" s="104"/>
      <c r="G136" s="104"/>
      <c r="H136" s="102"/>
      <c r="I136" s="102"/>
      <c r="J136" s="130"/>
    </row>
    <row r="137" spans="2:10">
      <c r="B137" s="101" t="str">
        <f>TechData_HistELC_TRD!B6</f>
        <v>R1</v>
      </c>
      <c r="C137" s="101" t="str">
        <f>TechData_HistELC_TRD!C6</f>
        <v>XELCIMPPJM</v>
      </c>
      <c r="D137" s="101" t="str">
        <f>TechData_HistELC_TRD!D6</f>
        <v>Electricity Imports from PJM  to R1</v>
      </c>
      <c r="E137" s="104" t="str">
        <f t="shared" ref="E137:E142" si="13">IF(B137="* Not Allowed","","PJ")</f>
        <v>PJ</v>
      </c>
      <c r="F137" s="104" t="str">
        <f t="shared" ref="F137:F142" si="14">IF(B137="* Not Allowed","","GW")</f>
        <v>GW</v>
      </c>
      <c r="G137" s="104" t="s">
        <v>274</v>
      </c>
      <c r="H137" s="102"/>
      <c r="I137" s="102"/>
      <c r="J137" s="130" t="s">
        <v>353</v>
      </c>
    </row>
    <row r="138" spans="2:10">
      <c r="B138" s="101" t="str">
        <f>TechData_HistELC_TRD!B7</f>
        <v>R1</v>
      </c>
      <c r="C138" s="101" t="str">
        <f>TechData_HistELC_TRD!C7</f>
        <v>XELCIMPNE</v>
      </c>
      <c r="D138" s="101" t="str">
        <f>TechData_HistELC_TRD!D7</f>
        <v>Electricity Imports from New England  to R1</v>
      </c>
      <c r="E138" s="104" t="str">
        <f t="shared" si="13"/>
        <v>PJ</v>
      </c>
      <c r="F138" s="104" t="str">
        <f t="shared" si="14"/>
        <v>GW</v>
      </c>
      <c r="G138" s="104" t="s">
        <v>274</v>
      </c>
      <c r="H138" s="102"/>
      <c r="I138" s="102"/>
      <c r="J138" s="130" t="s">
        <v>353</v>
      </c>
    </row>
    <row r="139" spans="2:10">
      <c r="B139" s="101" t="str">
        <f>TechData_HistELC_TRD!B8</f>
        <v>R1</v>
      </c>
      <c r="C139" s="101" t="str">
        <f>TechData_HistELC_TRD!C8</f>
        <v>XELCIMPCA</v>
      </c>
      <c r="D139" s="101" t="str">
        <f>TechData_HistELC_TRD!D8</f>
        <v>Electricity Imports from Canada  to R1</v>
      </c>
      <c r="E139" s="104" t="str">
        <f t="shared" si="13"/>
        <v>PJ</v>
      </c>
      <c r="F139" s="104" t="str">
        <f t="shared" si="14"/>
        <v>GW</v>
      </c>
      <c r="G139" s="104" t="s">
        <v>274</v>
      </c>
      <c r="H139" s="102"/>
      <c r="I139" s="102"/>
      <c r="J139" s="130" t="s">
        <v>353</v>
      </c>
    </row>
    <row r="140" spans="2:10">
      <c r="B140" s="101" t="str">
        <f>TechData_HistELC_TRD!B9</f>
        <v>R1</v>
      </c>
      <c r="C140" s="101" t="str">
        <f>TechData_HistELC_TRD!C9</f>
        <v>XELCEXPPJM</v>
      </c>
      <c r="D140" s="101" t="str">
        <f>TechData_HistELC_TRD!D9</f>
        <v>Electricity Exports from R1 to PJM</v>
      </c>
      <c r="E140" s="104" t="str">
        <f t="shared" si="13"/>
        <v>PJ</v>
      </c>
      <c r="F140" s="104" t="str">
        <f t="shared" si="14"/>
        <v>GW</v>
      </c>
      <c r="G140" s="104" t="s">
        <v>274</v>
      </c>
      <c r="H140" s="102"/>
      <c r="I140" s="102"/>
      <c r="J140" s="130" t="s">
        <v>353</v>
      </c>
    </row>
    <row r="141" spans="2:10">
      <c r="B141" s="101" t="str">
        <f>TechData_HistELC_TRD!B10</f>
        <v>R1</v>
      </c>
      <c r="C141" s="101" t="str">
        <f>TechData_HistELC_TRD!C10</f>
        <v>XELCEXPNE</v>
      </c>
      <c r="D141" s="101" t="str">
        <f>TechData_HistELC_TRD!D10</f>
        <v>Electricity Exports from R1 to New England</v>
      </c>
      <c r="E141" s="104" t="str">
        <f t="shared" si="13"/>
        <v>PJ</v>
      </c>
      <c r="F141" s="104" t="str">
        <f t="shared" si="14"/>
        <v>GW</v>
      </c>
      <c r="G141" s="104" t="s">
        <v>274</v>
      </c>
      <c r="H141" s="102"/>
      <c r="I141" s="102"/>
      <c r="J141" s="130" t="s">
        <v>353</v>
      </c>
    </row>
    <row r="142" spans="2:10">
      <c r="B142" s="101" t="str">
        <f>TechData_HistELC_TRD!B11</f>
        <v>R1</v>
      </c>
      <c r="C142" s="101" t="str">
        <f>TechData_HistELC_TRD!C11</f>
        <v>XELCEXPCA</v>
      </c>
      <c r="D142" s="101" t="str">
        <f>TechData_HistELC_TRD!D11</f>
        <v>Electricity Exports from R1 to Canada</v>
      </c>
      <c r="E142" s="104" t="str">
        <f t="shared" si="13"/>
        <v>PJ</v>
      </c>
      <c r="F142" s="104" t="str">
        <f t="shared" si="14"/>
        <v>GW</v>
      </c>
      <c r="G142" s="104" t="s">
        <v>274</v>
      </c>
      <c r="H142" s="102"/>
      <c r="I142" s="102"/>
      <c r="J142" s="130" t="s">
        <v>353</v>
      </c>
    </row>
    <row r="143" spans="2:10">
      <c r="B143" s="101" t="str">
        <f>TechData_HistELC_TRD!B12</f>
        <v>* International Trade Processes, Infrastructure - New</v>
      </c>
      <c r="C143" s="101"/>
      <c r="D143" s="101"/>
      <c r="E143" s="104"/>
      <c r="F143" s="104"/>
      <c r="G143" s="104"/>
      <c r="H143" s="102"/>
      <c r="I143" s="102"/>
      <c r="J143" s="130"/>
    </row>
    <row r="144" spans="2:10">
      <c r="B144" s="101" t="str">
        <f>TechData_HistELC_TRD!B13</f>
        <v>R1</v>
      </c>
      <c r="C144" s="101" t="str">
        <f>TechData_HistELC_TRD!C13</f>
        <v>XELCIMPPJMN</v>
      </c>
      <c r="D144" s="101" t="str">
        <f>TechData_HistELC_TRD!D13</f>
        <v>Electricity Imports from PJM  to R1</v>
      </c>
      <c r="E144" s="104" t="str">
        <f t="shared" ref="E144:E149" si="15">IF(B144="* Not Allowed","","PJ")</f>
        <v>PJ</v>
      </c>
      <c r="F144" s="104" t="str">
        <f t="shared" ref="F144:F149" si="16">IF(B144="* Not Allowed","","GW")</f>
        <v>GW</v>
      </c>
      <c r="G144" s="104" t="s">
        <v>274</v>
      </c>
      <c r="H144" s="102"/>
      <c r="I144" s="102"/>
      <c r="J144" s="130" t="s">
        <v>353</v>
      </c>
    </row>
    <row r="145" spans="2:10">
      <c r="B145" s="101" t="str">
        <f>TechData_HistELC_TRD!B14</f>
        <v>R1</v>
      </c>
      <c r="C145" s="101" t="str">
        <f>TechData_HistELC_TRD!C14</f>
        <v>XELCIMPNEN</v>
      </c>
      <c r="D145" s="101" t="str">
        <f>TechData_HistELC_TRD!D14</f>
        <v>Electricity Imports from New England  to R1</v>
      </c>
      <c r="E145" s="104" t="str">
        <f t="shared" si="15"/>
        <v>PJ</v>
      </c>
      <c r="F145" s="104" t="str">
        <f t="shared" si="16"/>
        <v>GW</v>
      </c>
      <c r="G145" s="104" t="s">
        <v>274</v>
      </c>
      <c r="H145" s="102"/>
      <c r="I145" s="102"/>
      <c r="J145" s="130" t="s">
        <v>353</v>
      </c>
    </row>
    <row r="146" spans="2:10">
      <c r="B146" s="101" t="str">
        <f>TechData_HistELC_TRD!B15</f>
        <v>R1</v>
      </c>
      <c r="C146" s="101" t="str">
        <f>TechData_HistELC_TRD!C15</f>
        <v>XELCIMPCAN</v>
      </c>
      <c r="D146" s="101" t="str">
        <f>TechData_HistELC_TRD!D15</f>
        <v>Electricity Imports from Canada  to R1</v>
      </c>
      <c r="E146" s="104" t="str">
        <f t="shared" si="15"/>
        <v>PJ</v>
      </c>
      <c r="F146" s="104" t="str">
        <f t="shared" si="16"/>
        <v>GW</v>
      </c>
      <c r="G146" s="104" t="s">
        <v>274</v>
      </c>
      <c r="H146" s="102"/>
      <c r="I146" s="102"/>
      <c r="J146" s="130" t="s">
        <v>353</v>
      </c>
    </row>
    <row r="147" spans="2:10">
      <c r="B147" s="101" t="str">
        <f>TechData_HistELC_TRD!B16</f>
        <v>R1</v>
      </c>
      <c r="C147" s="101" t="str">
        <f>TechData_HistELC_TRD!C16</f>
        <v>XELCEXPPJMN</v>
      </c>
      <c r="D147" s="101" t="str">
        <f>TechData_HistELC_TRD!D16</f>
        <v>Electricity Exports from R1 to PJM</v>
      </c>
      <c r="E147" s="104" t="str">
        <f t="shared" si="15"/>
        <v>PJ</v>
      </c>
      <c r="F147" s="104" t="str">
        <f t="shared" si="16"/>
        <v>GW</v>
      </c>
      <c r="G147" s="104" t="s">
        <v>274</v>
      </c>
      <c r="H147" s="102"/>
      <c r="I147" s="102"/>
      <c r="J147" s="130" t="s">
        <v>353</v>
      </c>
    </row>
    <row r="148" spans="2:10">
      <c r="B148" s="101" t="str">
        <f>TechData_HistELC_TRD!B17</f>
        <v>R1</v>
      </c>
      <c r="C148" s="101" t="str">
        <f>TechData_HistELC_TRD!C17</f>
        <v>XELCEXPNEN</v>
      </c>
      <c r="D148" s="101" t="str">
        <f>TechData_HistELC_TRD!D17</f>
        <v>Electricity Exports from R1 to New England</v>
      </c>
      <c r="E148" s="104" t="str">
        <f t="shared" si="15"/>
        <v>PJ</v>
      </c>
      <c r="F148" s="104" t="str">
        <f t="shared" si="16"/>
        <v>GW</v>
      </c>
      <c r="G148" s="104" t="s">
        <v>274</v>
      </c>
      <c r="H148" s="102"/>
      <c r="I148" s="102"/>
      <c r="J148" s="130" t="s">
        <v>353</v>
      </c>
    </row>
    <row r="149" spans="2:10">
      <c r="B149" s="101" t="str">
        <f>TechData_HistELC_TRD!B18</f>
        <v>R1</v>
      </c>
      <c r="C149" s="101" t="str">
        <f>TechData_HistELC_TRD!C18</f>
        <v>XELCEXPCAN</v>
      </c>
      <c r="D149" s="101" t="str">
        <f>TechData_HistELC_TRD!D18</f>
        <v>Electricity Exports from R1 to Canada</v>
      </c>
      <c r="E149" s="104" t="str">
        <f t="shared" si="15"/>
        <v>PJ</v>
      </c>
      <c r="F149" s="104" t="str">
        <f t="shared" si="16"/>
        <v>GW</v>
      </c>
      <c r="G149" s="104" t="s">
        <v>274</v>
      </c>
      <c r="H149" s="102"/>
      <c r="I149" s="102"/>
      <c r="J149" s="130" t="s">
        <v>353</v>
      </c>
    </row>
    <row r="150" spans="2:10">
      <c r="B150" s="101" t="str">
        <f>TechData_HistELC_TRD!B19</f>
        <v>* International Trade Processes, Infrastructure - Existing</v>
      </c>
      <c r="C150" s="101"/>
      <c r="D150" s="101"/>
      <c r="E150" s="104"/>
      <c r="F150" s="104"/>
      <c r="G150" s="104"/>
      <c r="H150" s="102"/>
      <c r="I150" s="102"/>
      <c r="J150" s="130"/>
    </row>
    <row r="151" spans="2:10">
      <c r="B151" s="101" t="str">
        <f>TechData_HistELC_TRD!B20</f>
        <v>R4</v>
      </c>
      <c r="C151" s="101" t="str">
        <f>TechData_HistELC_TRD!C20</f>
        <v>XELCIMPPSEG</v>
      </c>
      <c r="D151" s="101" t="str">
        <f>TechData_HistELC_TRD!D20</f>
        <v>Electricity Imports from PSEG  to R4</v>
      </c>
      <c r="E151" s="104" t="str">
        <f t="shared" ref="E151" si="17">IF(B151="* Not Allowed","","PJ")</f>
        <v>PJ</v>
      </c>
      <c r="F151" s="104" t="str">
        <f t="shared" ref="F151" si="18">IF(B151="* Not Allowed","","GW")</f>
        <v>GW</v>
      </c>
      <c r="G151" s="104" t="s">
        <v>274</v>
      </c>
      <c r="H151" s="102"/>
      <c r="I151" s="102"/>
      <c r="J151" s="130" t="s">
        <v>353</v>
      </c>
    </row>
    <row r="152" spans="2:10">
      <c r="B152"/>
      <c r="C152"/>
      <c r="D152"/>
    </row>
    <row r="153" spans="2:10">
      <c r="B153" s="101" t="s">
        <v>48</v>
      </c>
      <c r="C153" s="101"/>
      <c r="D153" s="101"/>
      <c r="E153" s="104"/>
      <c r="F153" s="104"/>
      <c r="G153" s="104"/>
      <c r="H153" s="102"/>
      <c r="I153" s="102"/>
    </row>
    <row r="154" spans="2:10">
      <c r="B154" s="101" t="s">
        <v>82</v>
      </c>
      <c r="C154" s="101" t="str">
        <f>CONCATENATE("XELC",International!C7,"E")</f>
        <v>XELCMXE</v>
      </c>
      <c r="D154" s="101" t="s">
        <v>204</v>
      </c>
      <c r="E154" s="104" t="s">
        <v>25</v>
      </c>
      <c r="F154" s="104" t="s">
        <v>43</v>
      </c>
      <c r="G154" s="104" t="s">
        <v>274</v>
      </c>
      <c r="H154" s="102"/>
      <c r="I154" s="102"/>
      <c r="J154" s="130" t="s">
        <v>354</v>
      </c>
    </row>
    <row r="155" spans="2:10">
      <c r="B155" s="101" t="s">
        <v>82</v>
      </c>
      <c r="C155" s="101" t="str">
        <f>CONCATENATE("XELC",International!C8,"E")</f>
        <v>XELCBCE</v>
      </c>
      <c r="D155" s="101" t="s">
        <v>204</v>
      </c>
      <c r="E155" s="104" t="s">
        <v>25</v>
      </c>
      <c r="F155" s="104" t="s">
        <v>43</v>
      </c>
      <c r="G155" s="104" t="s">
        <v>274</v>
      </c>
      <c r="H155" s="102"/>
      <c r="I155" s="102"/>
      <c r="J155" s="130" t="s">
        <v>354</v>
      </c>
    </row>
    <row r="156" spans="2:10">
      <c r="B156" s="101" t="s">
        <v>82</v>
      </c>
      <c r="C156" s="101" t="str">
        <f>CONCATENATE("XELC",International!C9,"E")</f>
        <v>XELCMAE</v>
      </c>
      <c r="D156" s="101" t="s">
        <v>178</v>
      </c>
      <c r="E156" s="104" t="s">
        <v>25</v>
      </c>
      <c r="F156" s="104" t="s">
        <v>43</v>
      </c>
      <c r="G156" s="104" t="s">
        <v>274</v>
      </c>
      <c r="H156" s="102"/>
      <c r="I156" s="102"/>
      <c r="J156" s="130" t="s">
        <v>354</v>
      </c>
    </row>
    <row r="157" spans="2:10">
      <c r="B157" s="101" t="s">
        <v>82</v>
      </c>
      <c r="C157" s="101" t="str">
        <f>CONCATENATE("XELC",International!C10,"E")</f>
        <v>XELCONE</v>
      </c>
      <c r="D157" s="101" t="s">
        <v>179</v>
      </c>
      <c r="E157" s="104" t="s">
        <v>25</v>
      </c>
      <c r="F157" s="104" t="s">
        <v>43</v>
      </c>
      <c r="G157" s="104" t="s">
        <v>274</v>
      </c>
      <c r="H157" s="102"/>
      <c r="I157" s="102"/>
      <c r="J157" s="130" t="s">
        <v>354</v>
      </c>
    </row>
    <row r="158" spans="2:10">
      <c r="B158" s="101" t="s">
        <v>82</v>
      </c>
      <c r="C158" s="101" t="str">
        <f>CONCATENATE("XELC",International!C10,"E")</f>
        <v>XELCONE</v>
      </c>
      <c r="D158" s="101" t="s">
        <v>180</v>
      </c>
      <c r="E158" s="104" t="s">
        <v>25</v>
      </c>
      <c r="F158" s="104" t="s">
        <v>43</v>
      </c>
      <c r="G158" s="104" t="s">
        <v>274</v>
      </c>
      <c r="H158" s="102"/>
      <c r="I158" s="102"/>
      <c r="J158" s="130" t="s">
        <v>354</v>
      </c>
    </row>
    <row r="159" spans="2:10">
      <c r="B159" s="101" t="s">
        <v>82</v>
      </c>
      <c r="C159" s="101" t="str">
        <f>CONCATENATE("XELC",International!C10,"E")</f>
        <v>XELCONE</v>
      </c>
      <c r="D159" s="101" t="s">
        <v>181</v>
      </c>
      <c r="E159" s="104" t="s">
        <v>25</v>
      </c>
      <c r="F159" s="104" t="s">
        <v>43</v>
      </c>
      <c r="G159" s="104" t="s">
        <v>274</v>
      </c>
      <c r="H159" s="102"/>
      <c r="I159" s="102"/>
      <c r="J159" s="130" t="s">
        <v>354</v>
      </c>
    </row>
    <row r="160" spans="2:10">
      <c r="B160" s="101" t="s">
        <v>63</v>
      </c>
      <c r="C160" s="101" t="str">
        <f>CONCATENATE("XELC",International!C11,"E")</f>
        <v>XELCQUE</v>
      </c>
      <c r="D160" s="101" t="s">
        <v>182</v>
      </c>
      <c r="E160" s="104" t="s">
        <v>25</v>
      </c>
      <c r="F160" s="104" t="s">
        <v>43</v>
      </c>
      <c r="G160" s="104" t="s">
        <v>274</v>
      </c>
      <c r="H160" s="102"/>
      <c r="I160" s="102"/>
      <c r="J160" s="130" t="s">
        <v>354</v>
      </c>
    </row>
    <row r="161" spans="2:10">
      <c r="B161" s="101" t="s">
        <v>82</v>
      </c>
      <c r="C161" s="101" t="str">
        <f>CONCATENATE("XELC",International!C11,"E")</f>
        <v>XELCQUE</v>
      </c>
      <c r="D161" s="101" t="s">
        <v>183</v>
      </c>
      <c r="E161" s="104" t="s">
        <v>25</v>
      </c>
      <c r="F161" s="104" t="s">
        <v>43</v>
      </c>
      <c r="G161" s="104" t="s">
        <v>274</v>
      </c>
      <c r="H161" s="102"/>
      <c r="I161" s="102"/>
      <c r="J161" s="130" t="s">
        <v>354</v>
      </c>
    </row>
    <row r="162" spans="2:10">
      <c r="B162" s="101" t="s">
        <v>63</v>
      </c>
      <c r="C162" s="101" t="str">
        <f>CONCATENATE("XELC",International!C12,"E")</f>
        <v>XELCNBE</v>
      </c>
      <c r="D162" s="101" t="s">
        <v>184</v>
      </c>
      <c r="E162" s="104" t="s">
        <v>25</v>
      </c>
      <c r="F162" s="104" t="s">
        <v>43</v>
      </c>
      <c r="G162" s="104" t="s">
        <v>274</v>
      </c>
      <c r="H162" s="102"/>
      <c r="I162" s="102"/>
      <c r="J162" s="130" t="s">
        <v>354</v>
      </c>
    </row>
    <row r="163" spans="2:10">
      <c r="B163" s="101" t="s">
        <v>49</v>
      </c>
      <c r="C163" s="106"/>
      <c r="D163" s="106"/>
      <c r="E163" s="104"/>
      <c r="F163" s="104"/>
      <c r="G163" s="104"/>
      <c r="H163" s="102"/>
      <c r="I163" s="102"/>
    </row>
    <row r="164" spans="2:10">
      <c r="B164" s="101" t="s">
        <v>82</v>
      </c>
      <c r="C164" s="101" t="str">
        <f>CONCATENATE("XELC",International!C7,"N")</f>
        <v>XELCMXN</v>
      </c>
      <c r="D164" s="101" t="s">
        <v>204</v>
      </c>
      <c r="E164" s="104" t="s">
        <v>25</v>
      </c>
      <c r="F164" s="104" t="s">
        <v>43</v>
      </c>
      <c r="G164" s="104" t="s">
        <v>274</v>
      </c>
      <c r="H164" s="102"/>
      <c r="I164" s="102"/>
      <c r="J164" s="130" t="s">
        <v>354</v>
      </c>
    </row>
    <row r="165" spans="2:10">
      <c r="B165" s="101" t="s">
        <v>82</v>
      </c>
      <c r="C165" s="101" t="str">
        <f>CONCATENATE("XELC",International!C8,"N")</f>
        <v>XELCBCN</v>
      </c>
      <c r="D165" s="101" t="s">
        <v>204</v>
      </c>
      <c r="E165" s="104" t="s">
        <v>25</v>
      </c>
      <c r="F165" s="104" t="s">
        <v>43</v>
      </c>
      <c r="G165" s="104" t="s">
        <v>274</v>
      </c>
      <c r="H165" s="102"/>
      <c r="I165" s="102"/>
      <c r="J165" s="130" t="s">
        <v>354</v>
      </c>
    </row>
    <row r="166" spans="2:10">
      <c r="B166" s="101" t="s">
        <v>82</v>
      </c>
      <c r="C166" s="101" t="str">
        <f>CONCATENATE("XELC",International!C9,"N")</f>
        <v>XELCMAN</v>
      </c>
      <c r="D166" s="101" t="s">
        <v>178</v>
      </c>
      <c r="E166" s="104" t="s">
        <v>25</v>
      </c>
      <c r="F166" s="104" t="s">
        <v>43</v>
      </c>
      <c r="G166" s="104" t="s">
        <v>274</v>
      </c>
      <c r="H166" s="102"/>
      <c r="I166" s="102"/>
      <c r="J166" s="130" t="s">
        <v>354</v>
      </c>
    </row>
    <row r="167" spans="2:10">
      <c r="B167" s="101" t="s">
        <v>82</v>
      </c>
      <c r="C167" s="101" t="str">
        <f>CONCATENATE("XELC",International!C10,"N")</f>
        <v>XELCONN</v>
      </c>
      <c r="D167" s="101" t="s">
        <v>179</v>
      </c>
      <c r="E167" s="104" t="s">
        <v>25</v>
      </c>
      <c r="F167" s="104" t="s">
        <v>43</v>
      </c>
      <c r="G167" s="104" t="s">
        <v>274</v>
      </c>
      <c r="H167" s="102"/>
      <c r="I167" s="102"/>
      <c r="J167" s="130" t="s">
        <v>354</v>
      </c>
    </row>
    <row r="168" spans="2:10">
      <c r="B168" s="101" t="s">
        <v>82</v>
      </c>
      <c r="C168" s="101" t="str">
        <f>CONCATENATE("XELC",International!C10,"N")</f>
        <v>XELCONN</v>
      </c>
      <c r="D168" s="101" t="s">
        <v>180</v>
      </c>
      <c r="E168" s="104" t="s">
        <v>25</v>
      </c>
      <c r="F168" s="104" t="s">
        <v>43</v>
      </c>
      <c r="G168" s="104" t="s">
        <v>274</v>
      </c>
      <c r="H168" s="102"/>
      <c r="I168" s="102"/>
      <c r="J168" s="130" t="s">
        <v>354</v>
      </c>
    </row>
    <row r="169" spans="2:10">
      <c r="B169" s="101" t="s">
        <v>82</v>
      </c>
      <c r="C169" s="101" t="str">
        <f>CONCATENATE("XELC",International!C10,"N")</f>
        <v>XELCONN</v>
      </c>
      <c r="D169" s="101" t="s">
        <v>181</v>
      </c>
      <c r="E169" s="104" t="s">
        <v>25</v>
      </c>
      <c r="F169" s="104" t="s">
        <v>43</v>
      </c>
      <c r="G169" s="104" t="s">
        <v>274</v>
      </c>
      <c r="H169" s="102"/>
      <c r="I169" s="102"/>
      <c r="J169" s="130" t="s">
        <v>354</v>
      </c>
    </row>
    <row r="170" spans="2:10">
      <c r="B170" s="101" t="s">
        <v>63</v>
      </c>
      <c r="C170" s="101" t="str">
        <f>CONCATENATE("XELC",International!C11,"N")</f>
        <v>XELCQUN</v>
      </c>
      <c r="D170" s="101" t="s">
        <v>182</v>
      </c>
      <c r="E170" s="104" t="s">
        <v>25</v>
      </c>
      <c r="F170" s="104" t="s">
        <v>43</v>
      </c>
      <c r="G170" s="104" t="s">
        <v>274</v>
      </c>
      <c r="H170" s="102"/>
      <c r="I170" s="102"/>
      <c r="J170" s="130" t="s">
        <v>354</v>
      </c>
    </row>
    <row r="171" spans="2:10">
      <c r="B171" s="101" t="s">
        <v>82</v>
      </c>
      <c r="C171" s="101" t="str">
        <f>CONCATENATE("XELC",International!C11,"N")</f>
        <v>XELCQUN</v>
      </c>
      <c r="D171" s="101" t="s">
        <v>183</v>
      </c>
      <c r="E171" s="104" t="s">
        <v>25</v>
      </c>
      <c r="F171" s="104" t="s">
        <v>43</v>
      </c>
      <c r="G171" s="104" t="s">
        <v>274</v>
      </c>
      <c r="H171" s="102"/>
      <c r="I171" s="102"/>
      <c r="J171" s="130" t="s">
        <v>354</v>
      </c>
    </row>
    <row r="172" spans="2:10">
      <c r="B172" s="101" t="s">
        <v>63</v>
      </c>
      <c r="C172" s="101" t="str">
        <f>CONCATENATE("XELC",International!C12,"N")</f>
        <v>XELCNBN</v>
      </c>
      <c r="D172" s="101" t="s">
        <v>184</v>
      </c>
      <c r="E172" s="104" t="s">
        <v>25</v>
      </c>
      <c r="F172" s="104" t="s">
        <v>43</v>
      </c>
      <c r="G172" s="104" t="s">
        <v>274</v>
      </c>
      <c r="H172" s="102"/>
      <c r="I172" s="102"/>
      <c r="J172" s="130" t="s">
        <v>354</v>
      </c>
    </row>
    <row r="173" spans="2:10">
      <c r="B173" s="101" t="s">
        <v>45</v>
      </c>
      <c r="C173" s="106"/>
      <c r="D173" s="106"/>
      <c r="E173" s="102"/>
      <c r="F173" s="102"/>
      <c r="G173" s="102"/>
      <c r="H173" s="102"/>
      <c r="I173" s="102"/>
    </row>
    <row r="174" spans="2:10">
      <c r="B174" s="101" t="s">
        <v>170</v>
      </c>
      <c r="C174" s="101" t="str">
        <f>CONCATENATE("IMPELC",International!C$7,1)</f>
        <v>IMPELCMX1</v>
      </c>
      <c r="D174" s="101" t="s">
        <v>185</v>
      </c>
      <c r="E174" s="104" t="s">
        <v>25</v>
      </c>
      <c r="F174" s="104" t="s">
        <v>40</v>
      </c>
      <c r="G174" s="104" t="s">
        <v>275</v>
      </c>
      <c r="H174" s="102"/>
      <c r="I174" s="102"/>
      <c r="J174" s="130" t="s">
        <v>354</v>
      </c>
    </row>
    <row r="175" spans="2:10">
      <c r="B175" s="101" t="s">
        <v>170</v>
      </c>
      <c r="C175" s="101" t="str">
        <f>CONCATENATE("IMPELC",International!C$7,2)</f>
        <v>IMPELCMX2</v>
      </c>
      <c r="D175" s="101" t="s">
        <v>186</v>
      </c>
      <c r="E175" s="104" t="s">
        <v>25</v>
      </c>
      <c r="F175" s="104" t="s">
        <v>40</v>
      </c>
      <c r="G175" s="104" t="s">
        <v>275</v>
      </c>
      <c r="H175" s="102"/>
      <c r="I175" s="102"/>
      <c r="J175" s="130" t="s">
        <v>354</v>
      </c>
    </row>
    <row r="176" spans="2:10">
      <c r="B176" s="101" t="s">
        <v>170</v>
      </c>
      <c r="C176" s="101" t="str">
        <f>CONCATENATE("IMPELC",International!C$7,3)</f>
        <v>IMPELCMX3</v>
      </c>
      <c r="D176" s="101" t="s">
        <v>187</v>
      </c>
      <c r="E176" s="104" t="s">
        <v>25</v>
      </c>
      <c r="F176" s="104" t="s">
        <v>40</v>
      </c>
      <c r="G176" s="104" t="s">
        <v>275</v>
      </c>
      <c r="H176" s="102"/>
      <c r="I176" s="102"/>
      <c r="J176" s="130" t="s">
        <v>354</v>
      </c>
    </row>
    <row r="177" spans="2:10">
      <c r="B177" s="101" t="s">
        <v>170</v>
      </c>
      <c r="C177" s="101" t="str">
        <f>CONCATENATE("IMPELC",International!C$8,1)</f>
        <v>IMPELCBC1</v>
      </c>
      <c r="D177" s="101" t="s">
        <v>188</v>
      </c>
      <c r="E177" s="104" t="s">
        <v>25</v>
      </c>
      <c r="F177" s="104" t="s">
        <v>40</v>
      </c>
      <c r="G177" s="104" t="s">
        <v>275</v>
      </c>
      <c r="H177" s="102"/>
      <c r="I177" s="102"/>
      <c r="J177" s="130" t="s">
        <v>354</v>
      </c>
    </row>
    <row r="178" spans="2:10">
      <c r="B178" s="101" t="s">
        <v>170</v>
      </c>
      <c r="C178" s="101" t="str">
        <f>CONCATENATE("IMPELC",International!C$8,2)</f>
        <v>IMPELCBC2</v>
      </c>
      <c r="D178" s="101" t="s">
        <v>189</v>
      </c>
      <c r="E178" s="104" t="s">
        <v>25</v>
      </c>
      <c r="F178" s="104" t="s">
        <v>40</v>
      </c>
      <c r="G178" s="104" t="s">
        <v>275</v>
      </c>
      <c r="H178" s="102"/>
      <c r="I178" s="102"/>
      <c r="J178" s="130" t="s">
        <v>354</v>
      </c>
    </row>
    <row r="179" spans="2:10">
      <c r="B179" s="101" t="s">
        <v>170</v>
      </c>
      <c r="C179" s="101" t="str">
        <f>CONCATENATE("IMPELC",International!C$8,3)</f>
        <v>IMPELCBC3</v>
      </c>
      <c r="D179" s="101" t="s">
        <v>190</v>
      </c>
      <c r="E179" s="104" t="s">
        <v>25</v>
      </c>
      <c r="F179" s="104" t="s">
        <v>40</v>
      </c>
      <c r="G179" s="104" t="s">
        <v>275</v>
      </c>
      <c r="H179" s="102"/>
      <c r="I179" s="102"/>
      <c r="J179" s="130" t="s">
        <v>354</v>
      </c>
    </row>
    <row r="180" spans="2:10">
      <c r="B180" s="101" t="s">
        <v>170</v>
      </c>
      <c r="C180" s="101" t="str">
        <f>CONCATENATE("IMPELC",International!C$9,1)</f>
        <v>IMPELCMA1</v>
      </c>
      <c r="D180" s="101" t="s">
        <v>191</v>
      </c>
      <c r="E180" s="104" t="s">
        <v>25</v>
      </c>
      <c r="F180" s="104" t="s">
        <v>40</v>
      </c>
      <c r="G180" s="104" t="s">
        <v>275</v>
      </c>
      <c r="H180" s="102"/>
      <c r="I180" s="102"/>
      <c r="J180" s="130" t="s">
        <v>354</v>
      </c>
    </row>
    <row r="181" spans="2:10">
      <c r="B181" s="101" t="s">
        <v>170</v>
      </c>
      <c r="C181" s="101" t="str">
        <f>CONCATENATE("IMPELC",International!C$9,2)</f>
        <v>IMPELCMA2</v>
      </c>
      <c r="D181" s="101" t="s">
        <v>192</v>
      </c>
      <c r="E181" s="104" t="s">
        <v>25</v>
      </c>
      <c r="F181" s="104" t="s">
        <v>40</v>
      </c>
      <c r="G181" s="104" t="s">
        <v>275</v>
      </c>
      <c r="H181" s="102"/>
      <c r="I181" s="102"/>
      <c r="J181" s="130" t="s">
        <v>354</v>
      </c>
    </row>
    <row r="182" spans="2:10">
      <c r="B182" s="101" t="s">
        <v>170</v>
      </c>
      <c r="C182" s="101" t="str">
        <f>CONCATENATE("IMPELC",International!C$9,3)</f>
        <v>IMPELCMA3</v>
      </c>
      <c r="D182" s="101" t="s">
        <v>193</v>
      </c>
      <c r="E182" s="104" t="s">
        <v>25</v>
      </c>
      <c r="F182" s="104" t="s">
        <v>40</v>
      </c>
      <c r="G182" s="104" t="s">
        <v>275</v>
      </c>
      <c r="H182" s="102"/>
      <c r="I182" s="102"/>
      <c r="J182" s="130" t="s">
        <v>354</v>
      </c>
    </row>
    <row r="183" spans="2:10">
      <c r="B183" s="101" t="s">
        <v>46</v>
      </c>
      <c r="C183" s="101" t="str">
        <f>CONCATENATE("IMPELC",International!C$10,1)</f>
        <v>IMPELCON1</v>
      </c>
      <c r="D183" s="101" t="s">
        <v>194</v>
      </c>
      <c r="E183" s="104" t="s">
        <v>25</v>
      </c>
      <c r="F183" s="104" t="s">
        <v>40</v>
      </c>
      <c r="G183" s="104" t="s">
        <v>275</v>
      </c>
      <c r="H183" s="102"/>
      <c r="I183" s="102"/>
      <c r="J183" s="130" t="s">
        <v>354</v>
      </c>
    </row>
    <row r="184" spans="2:10">
      <c r="B184" s="101" t="s">
        <v>170</v>
      </c>
      <c r="C184" s="101" t="str">
        <f>CONCATENATE("IMPELC",International!C$10,2)</f>
        <v>IMPELCON2</v>
      </c>
      <c r="D184" s="101" t="s">
        <v>195</v>
      </c>
      <c r="E184" s="104" t="s">
        <v>25</v>
      </c>
      <c r="F184" s="104" t="s">
        <v>40</v>
      </c>
      <c r="G184" s="104" t="s">
        <v>275</v>
      </c>
      <c r="H184" s="102"/>
      <c r="I184" s="102"/>
      <c r="J184" s="130" t="s">
        <v>354</v>
      </c>
    </row>
    <row r="185" spans="2:10" ht="12" customHeight="1">
      <c r="B185" s="101" t="s">
        <v>170</v>
      </c>
      <c r="C185" s="101" t="str">
        <f>CONCATENATE("IMPELC",International!C$10,3)</f>
        <v>IMPELCON3</v>
      </c>
      <c r="D185" s="101" t="s">
        <v>196</v>
      </c>
      <c r="E185" s="104" t="s">
        <v>25</v>
      </c>
      <c r="F185" s="104" t="s">
        <v>40</v>
      </c>
      <c r="G185" s="104" t="s">
        <v>275</v>
      </c>
      <c r="H185" s="102"/>
      <c r="I185" s="102"/>
      <c r="J185" s="130" t="s">
        <v>354</v>
      </c>
    </row>
    <row r="186" spans="2:10">
      <c r="B186" s="101" t="s">
        <v>46</v>
      </c>
      <c r="C186" s="101" t="str">
        <f>CONCATENATE("IMPELC",International!C$11,1)</f>
        <v>IMPELCQU1</v>
      </c>
      <c r="D186" s="101" t="s">
        <v>197</v>
      </c>
      <c r="E186" s="104" t="s">
        <v>25</v>
      </c>
      <c r="F186" s="104" t="s">
        <v>40</v>
      </c>
      <c r="G186" s="104" t="s">
        <v>275</v>
      </c>
      <c r="H186" s="102"/>
      <c r="I186" s="102"/>
      <c r="J186" s="130" t="s">
        <v>354</v>
      </c>
    </row>
    <row r="187" spans="2:10">
      <c r="B187" s="101" t="s">
        <v>170</v>
      </c>
      <c r="C187" s="101" t="str">
        <f>CONCATENATE("IMPELC",International!C$11,2)</f>
        <v>IMPELCQU2</v>
      </c>
      <c r="D187" s="101" t="s">
        <v>198</v>
      </c>
      <c r="E187" s="104" t="s">
        <v>25</v>
      </c>
      <c r="F187" s="104" t="s">
        <v>40</v>
      </c>
      <c r="G187" s="104" t="s">
        <v>275</v>
      </c>
      <c r="H187" s="102"/>
      <c r="I187" s="102"/>
      <c r="J187" s="130" t="s">
        <v>354</v>
      </c>
    </row>
    <row r="188" spans="2:10">
      <c r="B188" s="101" t="s">
        <v>170</v>
      </c>
      <c r="C188" s="101" t="str">
        <f>CONCATENATE("IMPELC",International!C$11,3)</f>
        <v>IMPELCQU3</v>
      </c>
      <c r="D188" s="101" t="s">
        <v>199</v>
      </c>
      <c r="E188" s="104" t="s">
        <v>25</v>
      </c>
      <c r="F188" s="104" t="s">
        <v>40</v>
      </c>
      <c r="G188" s="104" t="s">
        <v>275</v>
      </c>
      <c r="H188" s="102"/>
      <c r="I188" s="102"/>
      <c r="J188" s="130" t="s">
        <v>354</v>
      </c>
    </row>
    <row r="189" spans="2:10">
      <c r="B189" s="101" t="s">
        <v>46</v>
      </c>
      <c r="C189" s="101" t="str">
        <f>CONCATENATE("IMPELC",International!C$12,1)</f>
        <v>IMPELCNB1</v>
      </c>
      <c r="D189" s="101" t="s">
        <v>200</v>
      </c>
      <c r="E189" s="104" t="s">
        <v>25</v>
      </c>
      <c r="F189" s="104" t="s">
        <v>40</v>
      </c>
      <c r="G189" s="104" t="s">
        <v>275</v>
      </c>
      <c r="H189" s="102"/>
      <c r="I189" s="102"/>
      <c r="J189" s="130" t="s">
        <v>354</v>
      </c>
    </row>
    <row r="190" spans="2:10">
      <c r="B190" s="101" t="s">
        <v>170</v>
      </c>
      <c r="C190" s="101" t="str">
        <f>CONCATENATE("IMPELC",International!C$12,2)</f>
        <v>IMPELCNB2</v>
      </c>
      <c r="D190" s="101" t="s">
        <v>201</v>
      </c>
      <c r="E190" s="104" t="s">
        <v>25</v>
      </c>
      <c r="F190" s="104" t="s">
        <v>40</v>
      </c>
      <c r="G190" s="104" t="s">
        <v>275</v>
      </c>
      <c r="H190" s="102"/>
      <c r="I190" s="102"/>
      <c r="J190" s="130" t="s">
        <v>354</v>
      </c>
    </row>
    <row r="191" spans="2:10">
      <c r="B191" s="101" t="s">
        <v>170</v>
      </c>
      <c r="C191" s="101" t="str">
        <f>CONCATENATE("IMPELC",International!C$12,3)</f>
        <v>IMPELCNB3</v>
      </c>
      <c r="D191" s="101" t="s">
        <v>202</v>
      </c>
      <c r="E191" s="104" t="s">
        <v>25</v>
      </c>
      <c r="F191" s="104" t="s">
        <v>40</v>
      </c>
      <c r="G191" s="104" t="s">
        <v>275</v>
      </c>
      <c r="H191" s="102"/>
      <c r="I191" s="102"/>
      <c r="J191" s="130" t="s">
        <v>354</v>
      </c>
    </row>
    <row r="192" spans="2:10">
      <c r="B192" s="101" t="s">
        <v>50</v>
      </c>
      <c r="C192" s="106"/>
      <c r="D192" s="106"/>
      <c r="E192" s="102"/>
      <c r="F192" s="102"/>
      <c r="G192" s="102"/>
      <c r="H192" s="102"/>
      <c r="I192" s="102"/>
    </row>
    <row r="193" spans="2:10">
      <c r="B193" s="101" t="str">
        <f>IF(International!G131=0,"* Not Available","R1")</f>
        <v>R1</v>
      </c>
      <c r="C193" s="101" t="s">
        <v>51</v>
      </c>
      <c r="D193" s="101" t="s">
        <v>52</v>
      </c>
      <c r="E193" s="104" t="s">
        <v>25</v>
      </c>
      <c r="F193" s="104" t="s">
        <v>40</v>
      </c>
      <c r="G193" s="104" t="s">
        <v>276</v>
      </c>
      <c r="H193" s="102"/>
      <c r="I193" s="102"/>
      <c r="J193" s="130" t="s">
        <v>354</v>
      </c>
    </row>
    <row r="194" spans="2:10">
      <c r="B194" s="101" t="s">
        <v>82</v>
      </c>
      <c r="C194" s="101" t="s">
        <v>51</v>
      </c>
      <c r="D194" s="101" t="s">
        <v>53</v>
      </c>
      <c r="E194" s="104" t="s">
        <v>25</v>
      </c>
      <c r="F194" s="104" t="s">
        <v>40</v>
      </c>
      <c r="G194" s="104" t="s">
        <v>276</v>
      </c>
      <c r="H194" s="102"/>
      <c r="I194" s="102"/>
      <c r="J194" s="130" t="s">
        <v>354</v>
      </c>
    </row>
    <row r="195" spans="2:10">
      <c r="B195" s="101" t="s">
        <v>170</v>
      </c>
      <c r="C195" s="101" t="s">
        <v>51</v>
      </c>
      <c r="D195" s="101" t="s">
        <v>54</v>
      </c>
      <c r="E195" s="104" t="s">
        <v>25</v>
      </c>
      <c r="F195" s="104" t="s">
        <v>40</v>
      </c>
      <c r="G195" s="104" t="s">
        <v>276</v>
      </c>
      <c r="H195" s="102"/>
      <c r="I195" s="102"/>
      <c r="J195" s="130" t="s">
        <v>354</v>
      </c>
    </row>
    <row r="196" spans="2:10">
      <c r="B196" s="101" t="s">
        <v>170</v>
      </c>
      <c r="C196" s="101" t="s">
        <v>51</v>
      </c>
      <c r="D196" s="101" t="s">
        <v>55</v>
      </c>
      <c r="E196" s="104" t="s">
        <v>25</v>
      </c>
      <c r="F196" s="104" t="s">
        <v>40</v>
      </c>
      <c r="G196" s="104" t="s">
        <v>276</v>
      </c>
      <c r="H196" s="102"/>
      <c r="I196" s="102"/>
      <c r="J196" s="130" t="s">
        <v>354</v>
      </c>
    </row>
    <row r="197" spans="2:10">
      <c r="B197" s="101" t="s">
        <v>170</v>
      </c>
      <c r="C197" s="101" t="s">
        <v>51</v>
      </c>
      <c r="D197" s="101" t="s">
        <v>56</v>
      </c>
      <c r="E197" s="104" t="s">
        <v>25</v>
      </c>
      <c r="F197" s="104" t="s">
        <v>40</v>
      </c>
      <c r="G197" s="104" t="s">
        <v>276</v>
      </c>
      <c r="H197" s="102"/>
      <c r="I197" s="102"/>
      <c r="J197" s="130" t="s">
        <v>354</v>
      </c>
    </row>
    <row r="198" spans="2:10">
      <c r="B198" s="101" t="s">
        <v>170</v>
      </c>
      <c r="C198" s="101" t="s">
        <v>51</v>
      </c>
      <c r="D198" s="101" t="s">
        <v>57</v>
      </c>
      <c r="E198" s="104" t="s">
        <v>25</v>
      </c>
      <c r="F198" s="104" t="s">
        <v>40</v>
      </c>
      <c r="G198" s="104" t="s">
        <v>276</v>
      </c>
      <c r="H198" s="102"/>
      <c r="I198" s="102"/>
      <c r="J198" s="130" t="s">
        <v>354</v>
      </c>
    </row>
    <row r="199" spans="2:10">
      <c r="B199" s="101" t="s">
        <v>170</v>
      </c>
      <c r="C199" s="101" t="s">
        <v>51</v>
      </c>
      <c r="D199" s="101" t="s">
        <v>58</v>
      </c>
      <c r="E199" s="104" t="s">
        <v>25</v>
      </c>
      <c r="F199" s="104" t="s">
        <v>40</v>
      </c>
      <c r="G199" s="104" t="s">
        <v>276</v>
      </c>
      <c r="H199" s="102"/>
      <c r="I199" s="102"/>
      <c r="J199" s="130" t="s">
        <v>354</v>
      </c>
    </row>
    <row r="200" spans="2:10">
      <c r="B200" s="101" t="s">
        <v>170</v>
      </c>
      <c r="C200" s="101" t="s">
        <v>51</v>
      </c>
      <c r="D200" s="101" t="s">
        <v>59</v>
      </c>
      <c r="E200" s="104" t="s">
        <v>25</v>
      </c>
      <c r="F200" s="104" t="s">
        <v>40</v>
      </c>
      <c r="G200" s="104" t="s">
        <v>276</v>
      </c>
      <c r="H200" s="102"/>
      <c r="I200" s="102"/>
      <c r="J200" s="130" t="s">
        <v>354</v>
      </c>
    </row>
    <row r="201" spans="2:10">
      <c r="B201" s="101" t="s">
        <v>170</v>
      </c>
      <c r="C201" s="101" t="s">
        <v>51</v>
      </c>
      <c r="D201" s="101" t="s">
        <v>60</v>
      </c>
      <c r="E201" s="104" t="s">
        <v>25</v>
      </c>
      <c r="F201" s="104" t="s">
        <v>40</v>
      </c>
      <c r="G201" s="104" t="s">
        <v>276</v>
      </c>
      <c r="H201" s="102"/>
      <c r="I201" s="102"/>
      <c r="J201" s="130" t="s">
        <v>354</v>
      </c>
    </row>
    <row r="208" spans="2:10">
      <c r="B208" s="2" t="s">
        <v>22</v>
      </c>
      <c r="C208" s="1"/>
      <c r="D208" s="1"/>
      <c r="E208" s="1"/>
      <c r="F208" s="1"/>
      <c r="G208" s="1"/>
      <c r="H208" s="1"/>
    </row>
    <row r="209" spans="2:7">
      <c r="B209" s="2" t="s">
        <v>33</v>
      </c>
    </row>
    <row r="210" spans="2:7">
      <c r="B210" s="2" t="str">
        <f>IF(Domestic!D$6="","* Not Allowed",Domestic!C$6)</f>
        <v>* Not Allowed</v>
      </c>
      <c r="C210" s="2" t="str">
        <f>CONCATENATE("EXPELC",RIGHT(Domestic!D$5,1))</f>
        <v>EXPELC1</v>
      </c>
      <c r="D210" s="2" t="str">
        <f>CONCATENATE("Electricity Exports from ",Domestic!C$6, " to ",Domestic!D$5)</f>
        <v>Electricity Exports from R1 to R1</v>
      </c>
      <c r="E210" s="99" t="str">
        <f>IF(B210="* Not Allowed","","PJ")</f>
        <v/>
      </c>
      <c r="F210" s="99" t="str">
        <f>IF(B210="* Not Allowed","","PJ/a")</f>
        <v/>
      </c>
      <c r="G210" s="99" t="str">
        <f>IF(B210="* Not Allowed","","TCH,SRCENCP,SEP_EXP")</f>
        <v/>
      </c>
    </row>
    <row r="211" spans="2:7">
      <c r="B211" s="2" t="s">
        <v>63</v>
      </c>
      <c r="C211" s="2" t="str">
        <f>CONCATENATE("EXPELC",RIGHT(Domestic!E$5,1))</f>
        <v>EXPELC2</v>
      </c>
      <c r="D211" s="2" t="str">
        <f>CONCATENATE("Electricity Exports from ",Domestic!C$6, " to ",Domestic!E$5)</f>
        <v>Electricity Exports from R1 to R2</v>
      </c>
      <c r="E211" s="99" t="str">
        <f>IF(B211="* Not Allowed","","PJ")</f>
        <v>PJ</v>
      </c>
      <c r="F211" s="99" t="str">
        <f>IF(B211="* Not Allowed","","PJ/a")</f>
        <v>PJ/a</v>
      </c>
      <c r="G211" s="99" t="str">
        <f>IF(B211="* Not Allowed","","TCH,SRCENCP,SEP_EXP")</f>
        <v>TCH,SRCENCP,SEP_EXP</v>
      </c>
    </row>
    <row r="212" spans="2:7">
      <c r="B212" s="2" t="s">
        <v>63</v>
      </c>
      <c r="C212" s="2" t="str">
        <f>CONCATENATE("EXPELC",RIGHT(Domestic!F$5,1))</f>
        <v>EXPELC3</v>
      </c>
      <c r="D212" s="2" t="str">
        <f>CONCATENATE("Electricity Exports from ",Domestic!C$6, " to ",Domestic!F$5)</f>
        <v>Electricity Exports from R1 to R3</v>
      </c>
      <c r="E212" s="99" t="str">
        <f t="shared" ref="E212:E217" si="19">IF(B212="* Not Allowed","","PJ")</f>
        <v>PJ</v>
      </c>
      <c r="F212" s="99" t="str">
        <f t="shared" ref="F212:F217" si="20">IF(B212="* Not Allowed","","PJ/a")</f>
        <v>PJ/a</v>
      </c>
      <c r="G212" s="99" t="str">
        <f t="shared" ref="G212:G217" si="21">IF(B212="* Not Allowed","","TCH,SRCENCP,SEP_EXP")</f>
        <v>TCH,SRCENCP,SEP_EXP</v>
      </c>
    </row>
    <row r="213" spans="2:7">
      <c r="B213" s="2" t="s">
        <v>63</v>
      </c>
      <c r="C213" s="2" t="str">
        <f>CONCATENATE("EXPELC",RIGHT(Domestic!G$5,1))</f>
        <v>EXPELC4</v>
      </c>
      <c r="D213" s="2" t="str">
        <f>CONCATENATE("Electricity Exports from ",Domestic!C$6, " to ",Domestic!G$5)</f>
        <v>Electricity Exports from R1 to R4</v>
      </c>
      <c r="E213" s="99" t="str">
        <f t="shared" si="19"/>
        <v>PJ</v>
      </c>
      <c r="F213" s="99" t="str">
        <f t="shared" si="20"/>
        <v>PJ/a</v>
      </c>
      <c r="G213" s="99" t="str">
        <f t="shared" si="21"/>
        <v>TCH,SRCENCP,SEP_EXP</v>
      </c>
    </row>
    <row r="214" spans="2:7">
      <c r="B214" s="2" t="s">
        <v>63</v>
      </c>
      <c r="C214" s="2" t="str">
        <f>CONCATENATE("EXPELC",RIGHT(Domestic!H$5,1))</f>
        <v>EXPELC5</v>
      </c>
      <c r="D214" s="2" t="str">
        <f>CONCATENATE("Electricity Exports from ",Domestic!C$6, " to ",Domestic!H$5)</f>
        <v>Electricity Exports from R1 to R5</v>
      </c>
      <c r="E214" s="99" t="str">
        <f t="shared" si="19"/>
        <v>PJ</v>
      </c>
      <c r="F214" s="99" t="str">
        <f t="shared" si="20"/>
        <v>PJ/a</v>
      </c>
      <c r="G214" s="99" t="str">
        <f t="shared" si="21"/>
        <v>TCH,SRCENCP,SEP_EXP</v>
      </c>
    </row>
    <row r="215" spans="2:7">
      <c r="B215" s="2" t="s">
        <v>63</v>
      </c>
      <c r="C215" s="2" t="str">
        <f>CONCATENATE("EXPELC",RIGHT(Domestic!I$5,1))</f>
        <v>EXPELC6</v>
      </c>
      <c r="D215" s="2" t="str">
        <f>CONCATENATE("Electricity Exports from ",Domestic!C$6, " to ",Domestic!I$5)</f>
        <v>Electricity Exports from R1 to R6</v>
      </c>
      <c r="E215" s="99" t="str">
        <f t="shared" si="19"/>
        <v>PJ</v>
      </c>
      <c r="F215" s="99" t="str">
        <f t="shared" si="20"/>
        <v>PJ/a</v>
      </c>
      <c r="G215" s="99" t="str">
        <f t="shared" si="21"/>
        <v>TCH,SRCENCP,SEP_EXP</v>
      </c>
    </row>
    <row r="216" spans="2:7">
      <c r="B216" s="2" t="str">
        <f>IF(Domestic!J$6="","* Not Allowed",Domestic!C$5)</f>
        <v>* Not Allowed</v>
      </c>
      <c r="C216" s="2" t="str">
        <f>CONCATENATE("EXPELC",RIGHT(Domestic!J$5,1))</f>
        <v>EXPELC7</v>
      </c>
      <c r="D216" s="2" t="str">
        <f>CONCATENATE("Electricity Exports from ",Domestic!C$6, " to ",Domestic!J$5)</f>
        <v>Electricity Exports from R1 to R7</v>
      </c>
      <c r="E216" s="99" t="str">
        <f t="shared" si="19"/>
        <v/>
      </c>
      <c r="F216" s="99" t="str">
        <f t="shared" si="20"/>
        <v/>
      </c>
      <c r="G216" s="99" t="str">
        <f t="shared" si="21"/>
        <v/>
      </c>
    </row>
    <row r="217" spans="2:7">
      <c r="B217" s="2" t="str">
        <f>IF(Domestic!K$6="","* Not Allowed",Domestic!C$5)</f>
        <v>* Not Allowed</v>
      </c>
      <c r="C217" s="2" t="str">
        <f>CONCATENATE("EXPELC",RIGHT(Domestic!K$5,1))</f>
        <v>EXPELC8</v>
      </c>
      <c r="D217" s="2" t="str">
        <f>CONCATENATE("Electricity Exports from ",Domestic!C$6, " to ",Domestic!K$5)</f>
        <v>Electricity Exports from R1 to R8</v>
      </c>
      <c r="E217" s="99" t="str">
        <f t="shared" si="19"/>
        <v/>
      </c>
      <c r="F217" s="99" t="str">
        <f t="shared" si="20"/>
        <v/>
      </c>
      <c r="G217" s="99" t="str">
        <f t="shared" si="21"/>
        <v/>
      </c>
    </row>
    <row r="218" spans="2:7">
      <c r="B218" s="2" t="str">
        <f>IF(Domestic!L$6="","* Not Allowed",Domestic!C$5)</f>
        <v>* Not Allowed</v>
      </c>
      <c r="C218" s="2" t="str">
        <f>CONCATENATE("EXPELC",RIGHT(Domestic!L$5,1))</f>
        <v>EXPELC9</v>
      </c>
      <c r="D218" s="2" t="str">
        <f>CONCATENATE("Electricity Exports from ",Domestic!C$6, " to ",Domestic!L$5)</f>
        <v>Electricity Exports from R1 to R9</v>
      </c>
      <c r="E218" s="99" t="str">
        <f>IF(B218="* Not Allowed","","PJ")</f>
        <v/>
      </c>
      <c r="F218" s="99" t="str">
        <f>IF(B218="* Not Allowed","","PJ/a")</f>
        <v/>
      </c>
      <c r="G218" s="99" t="str">
        <f>IF(B218="* Not Allowed","","TCH,SRCENCP,SEP_EXP")</f>
        <v/>
      </c>
    </row>
    <row r="219" spans="2:7">
      <c r="B219" s="2" t="s">
        <v>34</v>
      </c>
    </row>
    <row r="220" spans="2:7">
      <c r="B220" s="2" t="s">
        <v>27</v>
      </c>
      <c r="C220" s="2" t="str">
        <f>CONCATENATE("EXPELC",RIGHT(Domestic!D$5,1))</f>
        <v>EXPELC1</v>
      </c>
      <c r="D220" s="2" t="str">
        <f>CONCATENATE("Electricity Exports from ",Domestic!C$7, " to ",Domestic!D$5)</f>
        <v>Electricity Exports from R2 to R1</v>
      </c>
      <c r="E220" s="99" t="str">
        <f>IF(B220="* Not Allowed","","PJ")</f>
        <v>PJ</v>
      </c>
      <c r="F220" s="99" t="str">
        <f>IF(B220="* Not Allowed","","PJ/a")</f>
        <v>PJ/a</v>
      </c>
      <c r="G220" s="99" t="str">
        <f>IF(B220="* Not Allowed","","TCH,SRCENCP,SEP_EXP")</f>
        <v>TCH,SRCENCP,SEP_EXP</v>
      </c>
    </row>
    <row r="221" spans="2:7">
      <c r="B221" s="2" t="str">
        <f>IF(Domestic!E$7="","* Not Allowed",Domestic!C$7)</f>
        <v>* Not Allowed</v>
      </c>
      <c r="C221" s="2" t="str">
        <f>CONCATENATE("EXPELC",RIGHT(Domestic!E$5,1))</f>
        <v>EXPELC2</v>
      </c>
      <c r="D221" s="2" t="str">
        <f>CONCATENATE("Electricity Exports from ",Domestic!C$7, " to ",Domestic!E$5)</f>
        <v>Electricity Exports from R2 to R2</v>
      </c>
      <c r="E221" s="99" t="str">
        <f t="shared" ref="E221:E228" si="22">IF(B221="* Not Allowed","","PJ")</f>
        <v/>
      </c>
      <c r="F221" s="99" t="str">
        <f t="shared" ref="F221:F228" si="23">IF(B221="* Not Allowed","","PJ/a")</f>
        <v/>
      </c>
      <c r="G221" s="99" t="str">
        <f t="shared" ref="G221:G228" si="24">IF(B221="* Not Allowed","","TCH,SRCENCP,SEP_EXP")</f>
        <v/>
      </c>
    </row>
    <row r="222" spans="2:7">
      <c r="B222" s="2" t="s">
        <v>27</v>
      </c>
      <c r="C222" s="2" t="str">
        <f>CONCATENATE("EXPELC",RIGHT(Domestic!F$5,1))</f>
        <v>EXPELC3</v>
      </c>
      <c r="D222" s="2" t="str">
        <f>CONCATENATE("Electricity Exports from ",Domestic!C$7, " to ",Domestic!F$5)</f>
        <v>Electricity Exports from R2 to R3</v>
      </c>
      <c r="E222" s="99" t="str">
        <f t="shared" si="22"/>
        <v>PJ</v>
      </c>
      <c r="F222" s="99" t="str">
        <f t="shared" si="23"/>
        <v>PJ/a</v>
      </c>
      <c r="G222" s="99" t="str">
        <f t="shared" si="24"/>
        <v>TCH,SRCENCP,SEP_EXP</v>
      </c>
    </row>
    <row r="223" spans="2:7">
      <c r="B223" s="2" t="s">
        <v>27</v>
      </c>
      <c r="C223" s="2" t="str">
        <f>CONCATENATE("EXPELC",RIGHT(Domestic!G$5,1))</f>
        <v>EXPELC4</v>
      </c>
      <c r="D223" s="2" t="str">
        <f>CONCATENATE("Electricity Exports from ",Domestic!C$7, " to ",Domestic!G$5)</f>
        <v>Electricity Exports from R2 to R4</v>
      </c>
      <c r="E223" s="99" t="str">
        <f t="shared" si="22"/>
        <v>PJ</v>
      </c>
      <c r="F223" s="99" t="str">
        <f t="shared" si="23"/>
        <v>PJ/a</v>
      </c>
      <c r="G223" s="99" t="str">
        <f t="shared" si="24"/>
        <v>TCH,SRCENCP,SEP_EXP</v>
      </c>
    </row>
    <row r="224" spans="2:7">
      <c r="B224" s="2" t="str">
        <f>IF(Domestic!H$7="","* Not Allowed",Domestic!C$7)</f>
        <v>R2</v>
      </c>
      <c r="C224" s="2" t="str">
        <f>CONCATENATE("EXPELC",RIGHT(Domestic!H$5,1))</f>
        <v>EXPELC5</v>
      </c>
      <c r="D224" s="2" t="str">
        <f>CONCATENATE("Electricity Exports from ",Domestic!C$7, " to ",Domestic!H$5)</f>
        <v>Electricity Exports from R2 to R5</v>
      </c>
      <c r="E224" s="99" t="str">
        <f t="shared" si="22"/>
        <v>PJ</v>
      </c>
      <c r="F224" s="99" t="str">
        <f t="shared" si="23"/>
        <v>PJ/a</v>
      </c>
      <c r="G224" s="99" t="str">
        <f t="shared" si="24"/>
        <v>TCH,SRCENCP,SEP_EXP</v>
      </c>
    </row>
    <row r="225" spans="2:7">
      <c r="B225" s="2" t="str">
        <f>IF(Domestic!I$7="","* Not Allowed",Domestic!C$7)</f>
        <v>* Not Allowed</v>
      </c>
      <c r="C225" s="2" t="str">
        <f>CONCATENATE("EXPELC",RIGHT(Domestic!I$5,1))</f>
        <v>EXPELC6</v>
      </c>
      <c r="D225" s="2" t="str">
        <f>CONCATENATE("Electricity Exports from ",Domestic!C$7, " to ",Domestic!I$5)</f>
        <v>Electricity Exports from R2 to R6</v>
      </c>
      <c r="E225" s="99" t="str">
        <f t="shared" si="22"/>
        <v/>
      </c>
      <c r="F225" s="99" t="str">
        <f t="shared" si="23"/>
        <v/>
      </c>
      <c r="G225" s="99" t="str">
        <f t="shared" si="24"/>
        <v/>
      </c>
    </row>
    <row r="226" spans="2:7">
      <c r="B226" s="2" t="str">
        <f>IF(Domestic!J$7="","* Not Allowed",Domestic!C$7)</f>
        <v>* Not Allowed</v>
      </c>
      <c r="C226" s="2" t="str">
        <f>CONCATENATE("EXPELC",RIGHT(Domestic!J$5,1))</f>
        <v>EXPELC7</v>
      </c>
      <c r="D226" s="2" t="str">
        <f>CONCATENATE("Electricity Exports from ",Domestic!C$7, " to ",Domestic!J$5)</f>
        <v>Electricity Exports from R2 to R7</v>
      </c>
      <c r="E226" s="99" t="str">
        <f t="shared" si="22"/>
        <v/>
      </c>
      <c r="F226" s="99" t="str">
        <f t="shared" si="23"/>
        <v/>
      </c>
      <c r="G226" s="99" t="str">
        <f t="shared" si="24"/>
        <v/>
      </c>
    </row>
    <row r="227" spans="2:7">
      <c r="B227" s="2" t="str">
        <f>IF(Domestic!K$7="","* Not Allowed",Domestic!C$7)</f>
        <v>* Not Allowed</v>
      </c>
      <c r="C227" s="2" t="str">
        <f>CONCATENATE("EXPELC",RIGHT(Domestic!K$5,1))</f>
        <v>EXPELC8</v>
      </c>
      <c r="D227" s="2" t="str">
        <f>CONCATENATE("Electricity Exports from ",Domestic!C$7, " to ",Domestic!K$5)</f>
        <v>Electricity Exports from R2 to R8</v>
      </c>
      <c r="E227" s="99" t="str">
        <f t="shared" si="22"/>
        <v/>
      </c>
      <c r="F227" s="99" t="str">
        <f t="shared" si="23"/>
        <v/>
      </c>
      <c r="G227" s="99" t="str">
        <f t="shared" si="24"/>
        <v/>
      </c>
    </row>
    <row r="228" spans="2:7">
      <c r="B228" s="2" t="str">
        <f>IF(Domestic!L$7="","* Not Allowed",Domestic!C$7)</f>
        <v>* Not Allowed</v>
      </c>
      <c r="C228" s="2" t="str">
        <f>CONCATENATE("EXPELC",RIGHT(Domestic!L$5,1))</f>
        <v>EXPELC9</v>
      </c>
      <c r="D228" s="2" t="str">
        <f>CONCATENATE("Electricity Exports from ",Domestic!C$7, " to ",Domestic!L$5)</f>
        <v>Electricity Exports from R2 to R9</v>
      </c>
      <c r="E228" s="99" t="str">
        <f t="shared" si="22"/>
        <v/>
      </c>
      <c r="F228" s="99" t="str">
        <f t="shared" si="23"/>
        <v/>
      </c>
      <c r="G228" s="99" t="str">
        <f t="shared" si="24"/>
        <v/>
      </c>
    </row>
    <row r="229" spans="2:7">
      <c r="B229" s="2" t="s">
        <v>35</v>
      </c>
    </row>
    <row r="230" spans="2:7">
      <c r="B230" s="2" t="s">
        <v>64</v>
      </c>
      <c r="C230" s="2" t="str">
        <f>CONCATENATE("EXPELC",RIGHT(Domestic!D$5,1))</f>
        <v>EXPELC1</v>
      </c>
      <c r="D230" s="2" t="str">
        <f>CONCATENATE("Electricity Exports from ",Domestic!C$8, " to ",Domestic!D$5)</f>
        <v>Electricity Exports from R3 to R1</v>
      </c>
      <c r="E230" s="99" t="str">
        <f>IF(B230="* Not Allowed","","PJ")</f>
        <v>PJ</v>
      </c>
      <c r="F230" s="99" t="str">
        <f>IF(B230="* Not Allowed","","PJ/a")</f>
        <v>PJ/a</v>
      </c>
      <c r="G230" s="99" t="str">
        <f>IF(B230="* Not Allowed","","TCH,SRCENCP,SEP_EXP")</f>
        <v>TCH,SRCENCP,SEP_EXP</v>
      </c>
    </row>
    <row r="231" spans="2:7">
      <c r="B231" s="2" t="str">
        <f>IF(Domestic!E$8="","* Not Allowed",Domestic!C$8)</f>
        <v>R3</v>
      </c>
      <c r="C231" s="2" t="str">
        <f>CONCATENATE("EXPELC",RIGHT(Domestic!E$5,1))</f>
        <v>EXPELC2</v>
      </c>
      <c r="D231" s="2" t="str">
        <f>CONCATENATE("Electricity Exports from ",Domestic!C$8, " to ",Domestic!E$5)</f>
        <v>Electricity Exports from R3 to R2</v>
      </c>
      <c r="E231" s="99" t="str">
        <f t="shared" ref="E231:E238" si="25">IF(B231="* Not Allowed","","PJ")</f>
        <v>PJ</v>
      </c>
      <c r="F231" s="99" t="str">
        <f t="shared" ref="F231:F238" si="26">IF(B231="* Not Allowed","","PJ/a")</f>
        <v>PJ/a</v>
      </c>
      <c r="G231" s="99" t="str">
        <f t="shared" ref="G231:G238" si="27">IF(B231="* Not Allowed","","TCH,SRCENCP,SEP_EXP")</f>
        <v>TCH,SRCENCP,SEP_EXP</v>
      </c>
    </row>
    <row r="232" spans="2:7">
      <c r="B232" s="2" t="str">
        <f>IF(Domestic!F$8="","* Not Allowed",Domestic!C$8)</f>
        <v>* Not Allowed</v>
      </c>
      <c r="C232" s="2" t="str">
        <f>CONCATENATE("EXPELC",RIGHT(Domestic!F$5,1))</f>
        <v>EXPELC3</v>
      </c>
      <c r="D232" s="2" t="str">
        <f>CONCATENATE("Electricity Exports from ",Domestic!C$8, " to ",Domestic!F$5)</f>
        <v>Electricity Exports from R3 to R3</v>
      </c>
      <c r="E232" s="99" t="str">
        <f t="shared" si="25"/>
        <v/>
      </c>
      <c r="F232" s="99" t="str">
        <f t="shared" si="26"/>
        <v/>
      </c>
      <c r="G232" s="99" t="str">
        <f t="shared" si="27"/>
        <v/>
      </c>
    </row>
    <row r="233" spans="2:7">
      <c r="B233" s="2" t="str">
        <f>IF(Domestic!G$8="","* Not Allowed",Domestic!C$8)</f>
        <v>R3</v>
      </c>
      <c r="C233" s="2" t="str">
        <f>CONCATENATE("EXPELC",RIGHT(Domestic!G$5,1))</f>
        <v>EXPELC4</v>
      </c>
      <c r="D233" s="2" t="str">
        <f>CONCATENATE("Electricity Exports from ",Domestic!C$8, " to ",Domestic!G$5)</f>
        <v>Electricity Exports from R3 to R4</v>
      </c>
      <c r="E233" s="99" t="str">
        <f t="shared" si="25"/>
        <v>PJ</v>
      </c>
      <c r="F233" s="99" t="str">
        <f t="shared" si="26"/>
        <v>PJ/a</v>
      </c>
      <c r="G233" s="99" t="str">
        <f t="shared" si="27"/>
        <v>TCH,SRCENCP,SEP_EXP</v>
      </c>
    </row>
    <row r="234" spans="2:7">
      <c r="B234" s="2" t="str">
        <f>IF(Domestic!H$8="","* Not Allowed",Domestic!C$8)</f>
        <v>R3</v>
      </c>
      <c r="C234" s="2" t="str">
        <f>CONCATENATE("EXPELC",RIGHT(Domestic!H$5,1))</f>
        <v>EXPELC5</v>
      </c>
      <c r="D234" s="2" t="str">
        <f>CONCATENATE("Electricity Exports from ",Domestic!C$8, " to ",Domestic!H$5)</f>
        <v>Electricity Exports from R3 to R5</v>
      </c>
      <c r="E234" s="99" t="str">
        <f t="shared" si="25"/>
        <v>PJ</v>
      </c>
      <c r="F234" s="99" t="str">
        <f t="shared" si="26"/>
        <v>PJ/a</v>
      </c>
      <c r="G234" s="99" t="str">
        <f t="shared" si="27"/>
        <v>TCH,SRCENCP,SEP_EXP</v>
      </c>
    </row>
    <row r="235" spans="2:7">
      <c r="B235" s="2" t="s">
        <v>169</v>
      </c>
      <c r="C235" s="2" t="str">
        <f>CONCATENATE("EXPELC",RIGHT(Domestic!I$5,1))</f>
        <v>EXPELC6</v>
      </c>
      <c r="D235" s="2" t="str">
        <f>CONCATENATE("Electricity Exports from ",Domestic!C$8, " to ",Domestic!I$5)</f>
        <v>Electricity Exports from R3 to R6</v>
      </c>
      <c r="E235" s="99" t="str">
        <f t="shared" si="25"/>
        <v/>
      </c>
      <c r="F235" s="99" t="str">
        <f t="shared" si="26"/>
        <v/>
      </c>
      <c r="G235" s="99" t="str">
        <f t="shared" si="27"/>
        <v/>
      </c>
    </row>
    <row r="236" spans="2:7">
      <c r="B236" s="2" t="s">
        <v>169</v>
      </c>
      <c r="C236" s="2" t="str">
        <f>CONCATENATE("EXPELC",RIGHT(Domestic!J$5,1))</f>
        <v>EXPELC7</v>
      </c>
      <c r="D236" s="2" t="str">
        <f>CONCATENATE("Electricity Exports from ",Domestic!C$8, " to ",Domestic!J$5)</f>
        <v>Electricity Exports from R3 to R7</v>
      </c>
      <c r="E236" s="99" t="str">
        <f t="shared" si="25"/>
        <v/>
      </c>
      <c r="F236" s="99" t="str">
        <f t="shared" si="26"/>
        <v/>
      </c>
      <c r="G236" s="99" t="str">
        <f t="shared" si="27"/>
        <v/>
      </c>
    </row>
    <row r="237" spans="2:7">
      <c r="B237" s="2" t="s">
        <v>169</v>
      </c>
      <c r="C237" s="2" t="str">
        <f>CONCATENATE("EXPELC",RIGHT(Domestic!K$5,1))</f>
        <v>EXPELC8</v>
      </c>
      <c r="D237" s="2" t="str">
        <f>CONCATENATE("Electricity Exports from ",Domestic!C$8, " to ",Domestic!K$5)</f>
        <v>Electricity Exports from R3 to R8</v>
      </c>
      <c r="E237" s="99" t="str">
        <f t="shared" si="25"/>
        <v/>
      </c>
      <c r="F237" s="99" t="str">
        <f t="shared" si="26"/>
        <v/>
      </c>
      <c r="G237" s="99" t="str">
        <f t="shared" si="27"/>
        <v/>
      </c>
    </row>
    <row r="238" spans="2:7">
      <c r="B238" s="2" t="s">
        <v>169</v>
      </c>
      <c r="C238" s="2" t="str">
        <f>CONCATENATE("EXPELC",RIGHT(Domestic!L$5,1))</f>
        <v>EXPELC9</v>
      </c>
      <c r="D238" s="2" t="str">
        <f>CONCATENATE("Electricity Exports from ",Domestic!C$8, " to ",Domestic!L$5)</f>
        <v>Electricity Exports from R3 to R9</v>
      </c>
      <c r="E238" s="99" t="str">
        <f t="shared" si="25"/>
        <v/>
      </c>
      <c r="F238" s="99" t="str">
        <f t="shared" si="26"/>
        <v/>
      </c>
      <c r="G238" s="99" t="str">
        <f t="shared" si="27"/>
        <v/>
      </c>
    </row>
    <row r="239" spans="2:7">
      <c r="B239" s="2" t="s">
        <v>36</v>
      </c>
    </row>
    <row r="240" spans="2:7">
      <c r="B240" s="2" t="s">
        <v>65</v>
      </c>
      <c r="C240" s="2" t="str">
        <f>CONCATENATE("EXPELC",RIGHT(Domestic!D$5,1))</f>
        <v>EXPELC1</v>
      </c>
      <c r="D240" s="2" t="str">
        <f>CONCATENATE("Electricity Exports from ",Domestic!C$9, " to ",Domestic!D$5)</f>
        <v>Electricity Exports from R4 to R1</v>
      </c>
      <c r="E240" s="99" t="str">
        <f>IF(B240="* Not Allowed","","PJ")</f>
        <v>PJ</v>
      </c>
      <c r="F240" s="99" t="str">
        <f>IF(B240="* Not Allowed","","PJ/a")</f>
        <v>PJ/a</v>
      </c>
      <c r="G240" s="99" t="str">
        <f>IF(B240="* Not Allowed","","TCH,SRCENCP,SEP_EXP")</f>
        <v>TCH,SRCENCP,SEP_EXP</v>
      </c>
    </row>
    <row r="241" spans="2:7">
      <c r="B241" s="2" t="s">
        <v>65</v>
      </c>
      <c r="C241" s="2" t="str">
        <f>CONCATENATE("EXPELC",RIGHT(Domestic!E$5,1))</f>
        <v>EXPELC2</v>
      </c>
      <c r="D241" s="2" t="str">
        <f>CONCATENATE("Electricity Exports from ",Domestic!C$9, " to ",Domestic!E$5)</f>
        <v>Electricity Exports from R4 to R2</v>
      </c>
      <c r="E241" s="99" t="str">
        <f t="shared" ref="E241:E248" si="28">IF(B241="* Not Allowed","","PJ")</f>
        <v>PJ</v>
      </c>
      <c r="F241" s="99" t="str">
        <f t="shared" ref="F241:F248" si="29">IF(B241="* Not Allowed","","PJ/a")</f>
        <v>PJ/a</v>
      </c>
      <c r="G241" s="99" t="str">
        <f t="shared" ref="G241:G248" si="30">IF(B241="* Not Allowed","","TCH,SRCENCP,SEP_EXP")</f>
        <v>TCH,SRCENCP,SEP_EXP</v>
      </c>
    </row>
    <row r="242" spans="2:7">
      <c r="B242" s="2" t="s">
        <v>65</v>
      </c>
      <c r="C242" s="2" t="str">
        <f>CONCATENATE("EXPELC",RIGHT(Domestic!F$5,1))</f>
        <v>EXPELC3</v>
      </c>
      <c r="D242" s="2" t="str">
        <f>CONCATENATE("Electricity Exports from ",Domestic!C$9, " to ",Domestic!F$5)</f>
        <v>Electricity Exports from R4 to R3</v>
      </c>
      <c r="E242" s="99" t="str">
        <f t="shared" si="28"/>
        <v>PJ</v>
      </c>
      <c r="F242" s="99" t="str">
        <f t="shared" si="29"/>
        <v>PJ/a</v>
      </c>
      <c r="G242" s="99" t="str">
        <f t="shared" si="30"/>
        <v>TCH,SRCENCP,SEP_EXP</v>
      </c>
    </row>
    <row r="243" spans="2:7">
      <c r="B243" s="2" t="s">
        <v>169</v>
      </c>
      <c r="C243" s="2" t="str">
        <f>CONCATENATE("EXPELC",RIGHT(Domestic!G$5,1))</f>
        <v>EXPELC4</v>
      </c>
      <c r="D243" s="2" t="str">
        <f>CONCATENATE("Electricity Exports from ",Domestic!C$9, " to ",Domestic!G$5)</f>
        <v>Electricity Exports from R4 to R4</v>
      </c>
      <c r="E243" s="99" t="str">
        <f t="shared" si="28"/>
        <v/>
      </c>
      <c r="F243" s="99" t="str">
        <f t="shared" si="29"/>
        <v/>
      </c>
      <c r="G243" s="99" t="str">
        <f t="shared" si="30"/>
        <v/>
      </c>
    </row>
    <row r="244" spans="2:7">
      <c r="B244" s="2" t="s">
        <v>169</v>
      </c>
      <c r="C244" s="2" t="str">
        <f>CONCATENATE("EXPELC",RIGHT(Domestic!H$5,1))</f>
        <v>EXPELC5</v>
      </c>
      <c r="D244" s="2" t="str">
        <f>CONCATENATE("Electricity Exports from ",Domestic!C$9, " to ",Domestic!H$5)</f>
        <v>Electricity Exports from R4 to R5</v>
      </c>
      <c r="E244" s="99" t="str">
        <f t="shared" si="28"/>
        <v/>
      </c>
      <c r="F244" s="99" t="str">
        <f t="shared" si="29"/>
        <v/>
      </c>
      <c r="G244" s="99" t="str">
        <f t="shared" si="30"/>
        <v/>
      </c>
    </row>
    <row r="245" spans="2:7">
      <c r="B245" s="2" t="s">
        <v>169</v>
      </c>
      <c r="C245" s="2" t="str">
        <f>CONCATENATE("EXPELC",RIGHT(Domestic!I$5,1))</f>
        <v>EXPELC6</v>
      </c>
      <c r="D245" s="2" t="str">
        <f>CONCATENATE("Electricity Exports from ",Domestic!C$9, " to ",Domestic!I$5)</f>
        <v>Electricity Exports from R4 to R6</v>
      </c>
      <c r="E245" s="99" t="str">
        <f t="shared" si="28"/>
        <v/>
      </c>
      <c r="F245" s="99" t="str">
        <f t="shared" si="29"/>
        <v/>
      </c>
      <c r="G245" s="99" t="str">
        <f t="shared" si="30"/>
        <v/>
      </c>
    </row>
    <row r="246" spans="2:7">
      <c r="B246" s="2" t="s">
        <v>169</v>
      </c>
      <c r="C246" s="2" t="str">
        <f>CONCATENATE("EXPELC",RIGHT(Domestic!J$5,1))</f>
        <v>EXPELC7</v>
      </c>
      <c r="D246" s="2" t="str">
        <f>CONCATENATE("Electricity Exports from ",Domestic!C$9, " to ",Domestic!J$5)</f>
        <v>Electricity Exports from R4 to R7</v>
      </c>
      <c r="E246" s="99" t="str">
        <f t="shared" si="28"/>
        <v/>
      </c>
      <c r="F246" s="99" t="str">
        <f t="shared" si="29"/>
        <v/>
      </c>
      <c r="G246" s="99" t="str">
        <f t="shared" si="30"/>
        <v/>
      </c>
    </row>
    <row r="247" spans="2:7">
      <c r="B247" s="2" t="s">
        <v>169</v>
      </c>
      <c r="C247" s="2" t="str">
        <f>CONCATENATE("EXPELC",RIGHT(Domestic!K$5,1))</f>
        <v>EXPELC8</v>
      </c>
      <c r="D247" s="2" t="str">
        <f>CONCATENATE("Electricity Exports from ",Domestic!C$9, " to ",Domestic!K$5)</f>
        <v>Electricity Exports from R4 to R8</v>
      </c>
      <c r="E247" s="99" t="str">
        <f t="shared" si="28"/>
        <v/>
      </c>
      <c r="F247" s="99" t="str">
        <f t="shared" si="29"/>
        <v/>
      </c>
      <c r="G247" s="99" t="str">
        <f t="shared" si="30"/>
        <v/>
      </c>
    </row>
    <row r="248" spans="2:7">
      <c r="B248" s="2" t="s">
        <v>169</v>
      </c>
      <c r="C248" s="2" t="str">
        <f>CONCATENATE("EXPELC",RIGHT(Domestic!L$5,1))</f>
        <v>EXPELC9</v>
      </c>
      <c r="D248" s="2" t="str">
        <f>CONCATENATE("Electricity Exports from ",Domestic!C$9, " to ",Domestic!L$5)</f>
        <v>Electricity Exports from R4 to R9</v>
      </c>
      <c r="E248" s="99" t="str">
        <f t="shared" si="28"/>
        <v/>
      </c>
      <c r="F248" s="99" t="str">
        <f t="shared" si="29"/>
        <v/>
      </c>
      <c r="G248" s="99" t="str">
        <f t="shared" si="30"/>
        <v/>
      </c>
    </row>
    <row r="249" spans="2:7">
      <c r="B249" s="2" t="s">
        <v>37</v>
      </c>
    </row>
    <row r="250" spans="2:7">
      <c r="B250" s="2" t="s">
        <v>66</v>
      </c>
      <c r="C250" s="2" t="str">
        <f>CONCATENATE("EXPELC",RIGHT(Domestic!D$5,1))</f>
        <v>EXPELC1</v>
      </c>
      <c r="D250" s="2" t="str">
        <f>CONCATENATE("Electricity Exports from ",Domestic!C$10, " to ",Domestic!D$5)</f>
        <v>Electricity Exports from R5 to R1</v>
      </c>
      <c r="E250" s="99" t="str">
        <f>IF(B250="* Not Allowed","","PJ")</f>
        <v>PJ</v>
      </c>
      <c r="F250" s="99" t="str">
        <f>IF(B250="* Not Allowed","","PJ/a")</f>
        <v>PJ/a</v>
      </c>
      <c r="G250" s="99" t="str">
        <f>IF(B250="* Not Allowed","","TCH,SRCENCP,SEP_EXP")</f>
        <v>TCH,SRCENCP,SEP_EXP</v>
      </c>
    </row>
    <row r="251" spans="2:7">
      <c r="B251" s="2" t="s">
        <v>66</v>
      </c>
      <c r="C251" s="2" t="str">
        <f>CONCATENATE("EXPELC",RIGHT(Domestic!E$5,1))</f>
        <v>EXPELC2</v>
      </c>
      <c r="D251" s="2" t="str">
        <f>CONCATENATE("Electricity Exports from ",Domestic!C$10, " to ",Domestic!E$5)</f>
        <v>Electricity Exports from R5 to R2</v>
      </c>
      <c r="E251" s="99" t="str">
        <f t="shared" ref="E251:E258" si="31">IF(B251="* Not Allowed","","PJ")</f>
        <v>PJ</v>
      </c>
      <c r="F251" s="99" t="str">
        <f t="shared" ref="F251:F258" si="32">IF(B251="* Not Allowed","","PJ/a")</f>
        <v>PJ/a</v>
      </c>
      <c r="G251" s="99" t="str">
        <f t="shared" ref="G251:G258" si="33">IF(B251="* Not Allowed","","TCH,SRCENCP,SEP_EXP")</f>
        <v>TCH,SRCENCP,SEP_EXP</v>
      </c>
    </row>
    <row r="252" spans="2:7">
      <c r="B252" s="2" t="s">
        <v>66</v>
      </c>
      <c r="C252" s="2" t="str">
        <f>CONCATENATE("EXPELC",RIGHT(Domestic!F$5,1))</f>
        <v>EXPELC3</v>
      </c>
      <c r="D252" s="2" t="str">
        <f>CONCATENATE("Electricity Exports from ",Domestic!C$10, " to ",Domestic!F$5)</f>
        <v>Electricity Exports from R5 to R3</v>
      </c>
      <c r="E252" s="99" t="str">
        <f t="shared" si="31"/>
        <v>PJ</v>
      </c>
      <c r="F252" s="99" t="str">
        <f t="shared" si="32"/>
        <v>PJ/a</v>
      </c>
      <c r="G252" s="99" t="str">
        <f t="shared" si="33"/>
        <v>TCH,SRCENCP,SEP_EXP</v>
      </c>
    </row>
    <row r="253" spans="2:7">
      <c r="B253" s="2" t="s">
        <v>169</v>
      </c>
      <c r="C253" s="2" t="str">
        <f>CONCATENATE("EXPELC",RIGHT(Domestic!G$5,1))</f>
        <v>EXPELC4</v>
      </c>
      <c r="D253" s="2" t="str">
        <f>CONCATENATE("Electricity Exports from ",Domestic!C$10, " to ",Domestic!G$5)</f>
        <v>Electricity Exports from R5 to R4</v>
      </c>
      <c r="E253" s="99" t="str">
        <f t="shared" si="31"/>
        <v/>
      </c>
      <c r="F253" s="99" t="str">
        <f t="shared" si="32"/>
        <v/>
      </c>
      <c r="G253" s="99" t="str">
        <f t="shared" si="33"/>
        <v/>
      </c>
    </row>
    <row r="254" spans="2:7">
      <c r="B254" s="2" t="s">
        <v>169</v>
      </c>
      <c r="C254" s="2" t="str">
        <f>CONCATENATE("EXPELC",RIGHT(Domestic!H$5,1))</f>
        <v>EXPELC5</v>
      </c>
      <c r="D254" s="2" t="str">
        <f>CONCATENATE("Electricity Exports from ",Domestic!C$10, " to ",Domestic!H$5)</f>
        <v>Electricity Exports from R5 to R5</v>
      </c>
      <c r="E254" s="99" t="str">
        <f t="shared" si="31"/>
        <v/>
      </c>
      <c r="F254" s="99" t="str">
        <f t="shared" si="32"/>
        <v/>
      </c>
      <c r="G254" s="99" t="str">
        <f t="shared" si="33"/>
        <v/>
      </c>
    </row>
    <row r="255" spans="2:7">
      <c r="B255" s="2" t="s">
        <v>66</v>
      </c>
      <c r="C255" s="2" t="str">
        <f>CONCATENATE("EXPELC",RIGHT(Domestic!I$5,1))</f>
        <v>EXPELC6</v>
      </c>
      <c r="D255" s="2" t="str">
        <f>CONCATENATE("Electricity Exports from ",Domestic!C$10, " to ",Domestic!I$5)</f>
        <v>Electricity Exports from R5 to R6</v>
      </c>
      <c r="E255" s="99" t="str">
        <f t="shared" si="31"/>
        <v>PJ</v>
      </c>
      <c r="F255" s="99" t="str">
        <f t="shared" si="32"/>
        <v>PJ/a</v>
      </c>
      <c r="G255" s="99" t="str">
        <f t="shared" si="33"/>
        <v>TCH,SRCENCP,SEP_EXP</v>
      </c>
    </row>
    <row r="256" spans="2:7">
      <c r="B256" s="2" t="s">
        <v>169</v>
      </c>
      <c r="C256" s="2" t="str">
        <f>CONCATENATE("EXPELC",RIGHT(Domestic!J$5,1))</f>
        <v>EXPELC7</v>
      </c>
      <c r="D256" s="2" t="str">
        <f>CONCATENATE("Electricity Exports from ",Domestic!C$10, " to ",Domestic!J$5)</f>
        <v>Electricity Exports from R5 to R7</v>
      </c>
      <c r="E256" s="99" t="str">
        <f t="shared" si="31"/>
        <v/>
      </c>
      <c r="F256" s="99" t="str">
        <f t="shared" si="32"/>
        <v/>
      </c>
      <c r="G256" s="99" t="str">
        <f t="shared" si="33"/>
        <v/>
      </c>
    </row>
    <row r="257" spans="2:7">
      <c r="B257" s="2" t="s">
        <v>169</v>
      </c>
      <c r="C257" s="2" t="str">
        <f>CONCATENATE("EXPELC",RIGHT(Domestic!K$5,1))</f>
        <v>EXPELC8</v>
      </c>
      <c r="D257" s="2" t="str">
        <f>CONCATENATE("Electricity Exports from ",Domestic!C$10, " to ",Domestic!K$5)</f>
        <v>Electricity Exports from R5 to R8</v>
      </c>
      <c r="E257" s="99" t="str">
        <f t="shared" si="31"/>
        <v/>
      </c>
      <c r="F257" s="99" t="str">
        <f t="shared" si="32"/>
        <v/>
      </c>
      <c r="G257" s="99" t="str">
        <f t="shared" si="33"/>
        <v/>
      </c>
    </row>
    <row r="258" spans="2:7">
      <c r="B258" s="2" t="str">
        <f>IF(Domestic!L$10="","* Not Allowed",Domestic!C$10)</f>
        <v>* Not Allowed</v>
      </c>
      <c r="C258" s="2" t="str">
        <f>CONCATENATE("EXPELC",RIGHT(Domestic!L$5,1))</f>
        <v>EXPELC9</v>
      </c>
      <c r="D258" s="2" t="str">
        <f>CONCATENATE("Electricity Exports from ",Domestic!C$10, " to ",Domestic!L$5)</f>
        <v>Electricity Exports from R5 to R9</v>
      </c>
      <c r="E258" s="99" t="str">
        <f t="shared" si="31"/>
        <v/>
      </c>
      <c r="F258" s="99" t="str">
        <f t="shared" si="32"/>
        <v/>
      </c>
      <c r="G258" s="99" t="str">
        <f t="shared" si="33"/>
        <v/>
      </c>
    </row>
    <row r="259" spans="2:7">
      <c r="B259" s="2" t="s">
        <v>38</v>
      </c>
    </row>
    <row r="260" spans="2:7">
      <c r="B260" s="2" t="s">
        <v>67</v>
      </c>
      <c r="C260" s="2" t="str">
        <f>CONCATENATE("EXPELC",RIGHT(Domestic!D$5,1))</f>
        <v>EXPELC1</v>
      </c>
      <c r="D260" s="2" t="str">
        <f>CONCATENATE("Electricity Exports from ",Domestic!C$11, " to ",Domestic!D$5)</f>
        <v>Electricity Exports from R6 to R1</v>
      </c>
      <c r="E260" s="99" t="str">
        <f>IF(B260="* Not Allowed","","PJ")</f>
        <v>PJ</v>
      </c>
      <c r="F260" s="99" t="str">
        <f>IF(B260="* Not Allowed","","PJ/a")</f>
        <v>PJ/a</v>
      </c>
      <c r="G260" s="99" t="str">
        <f>IF(B260="* Not Allowed","","TCH,SRCENCP,SEP_EXP")</f>
        <v>TCH,SRCENCP,SEP_EXP</v>
      </c>
    </row>
    <row r="261" spans="2:7">
      <c r="B261" s="2" t="s">
        <v>169</v>
      </c>
      <c r="C261" s="2" t="str">
        <f>CONCATENATE("EXPELC",RIGHT(Domestic!E$5,1))</f>
        <v>EXPELC2</v>
      </c>
      <c r="D261" s="2" t="str">
        <f>CONCATENATE("Electricity Exports from ",Domestic!C$11, " to ",Domestic!E$5)</f>
        <v>Electricity Exports from R6 to R2</v>
      </c>
      <c r="E261" s="99" t="str">
        <f t="shared" ref="E261:E268" si="34">IF(B261="* Not Allowed","","PJ")</f>
        <v/>
      </c>
      <c r="F261" s="99" t="str">
        <f t="shared" ref="F261:F268" si="35">IF(B261="* Not Allowed","","PJ/a")</f>
        <v/>
      </c>
      <c r="G261" s="99" t="str">
        <f t="shared" ref="G261:G268" si="36">IF(B261="* Not Allowed","","TCH,SRCENCP,SEP_EXP")</f>
        <v/>
      </c>
    </row>
    <row r="262" spans="2:7">
      <c r="B262" s="2" t="s">
        <v>169</v>
      </c>
      <c r="C262" s="2" t="str">
        <f>CONCATENATE("EXPELC",RIGHT(Domestic!F$5,1))</f>
        <v>EXPELC3</v>
      </c>
      <c r="D262" s="2" t="str">
        <f>CONCATENATE("Electricity Exports from ",Domestic!C$11, " to ",Domestic!F$5)</f>
        <v>Electricity Exports from R6 to R3</v>
      </c>
      <c r="E262" s="99" t="str">
        <f t="shared" si="34"/>
        <v/>
      </c>
      <c r="F262" s="99" t="str">
        <f t="shared" si="35"/>
        <v/>
      </c>
      <c r="G262" s="99" t="str">
        <f t="shared" si="36"/>
        <v/>
      </c>
    </row>
    <row r="263" spans="2:7">
      <c r="B263" s="2" t="s">
        <v>169</v>
      </c>
      <c r="C263" s="2" t="str">
        <f>CONCATENATE("EXPELC",RIGHT(Domestic!G$5,1))</f>
        <v>EXPELC4</v>
      </c>
      <c r="D263" s="2" t="str">
        <f>CONCATENATE("Electricity Exports from ",Domestic!C$11, " to ",Domestic!G$5)</f>
        <v>Electricity Exports from R6 to R4</v>
      </c>
      <c r="E263" s="99" t="str">
        <f t="shared" si="34"/>
        <v/>
      </c>
      <c r="F263" s="99" t="str">
        <f t="shared" si="35"/>
        <v/>
      </c>
      <c r="G263" s="99" t="str">
        <f t="shared" si="36"/>
        <v/>
      </c>
    </row>
    <row r="264" spans="2:7">
      <c r="B264" s="2" t="s">
        <v>67</v>
      </c>
      <c r="C264" s="2" t="str">
        <f>CONCATENATE("EXPELC",RIGHT(Domestic!H$5,1))</f>
        <v>EXPELC5</v>
      </c>
      <c r="D264" s="2" t="str">
        <f>CONCATENATE("Electricity Exports from ",Domestic!C$11, " to ",Domestic!H$5)</f>
        <v>Electricity Exports from R6 to R5</v>
      </c>
      <c r="E264" s="99" t="str">
        <f t="shared" si="34"/>
        <v>PJ</v>
      </c>
      <c r="F264" s="99" t="str">
        <f t="shared" si="35"/>
        <v>PJ/a</v>
      </c>
      <c r="G264" s="99" t="str">
        <f t="shared" si="36"/>
        <v>TCH,SRCENCP,SEP_EXP</v>
      </c>
    </row>
    <row r="265" spans="2:7">
      <c r="B265" s="2" t="s">
        <v>169</v>
      </c>
      <c r="C265" s="2" t="str">
        <f>CONCATENATE("EXPELC",RIGHT(Domestic!I$5,1))</f>
        <v>EXPELC6</v>
      </c>
      <c r="D265" s="2" t="str">
        <f>CONCATENATE("Electricity Exports from ",Domestic!C$11, " to ",Domestic!I$5)</f>
        <v>Electricity Exports from R6 to R6</v>
      </c>
      <c r="E265" s="99" t="str">
        <f t="shared" si="34"/>
        <v/>
      </c>
      <c r="F265" s="99" t="str">
        <f t="shared" si="35"/>
        <v/>
      </c>
      <c r="G265" s="99" t="str">
        <f t="shared" si="36"/>
        <v/>
      </c>
    </row>
    <row r="266" spans="2:7">
      <c r="B266" s="2" t="s">
        <v>169</v>
      </c>
      <c r="C266" s="2" t="str">
        <f>CONCATENATE("EXPELC",RIGHT(Domestic!J$5,1))</f>
        <v>EXPELC7</v>
      </c>
      <c r="D266" s="2" t="str">
        <f>CONCATENATE("Electricity Exports from ",Domestic!C$11, " to ",Domestic!J$5)</f>
        <v>Electricity Exports from R6 to R7</v>
      </c>
      <c r="E266" s="99" t="str">
        <f t="shared" si="34"/>
        <v/>
      </c>
      <c r="F266" s="99" t="str">
        <f t="shared" si="35"/>
        <v/>
      </c>
      <c r="G266" s="99" t="str">
        <f t="shared" si="36"/>
        <v/>
      </c>
    </row>
    <row r="267" spans="2:7">
      <c r="B267" s="2" t="s">
        <v>169</v>
      </c>
      <c r="C267" s="2" t="str">
        <f>CONCATENATE("EXPELC",RIGHT(Domestic!K$5,1))</f>
        <v>EXPELC8</v>
      </c>
      <c r="D267" s="2" t="str">
        <f>CONCATENATE("Electricity Exports from ",Domestic!C$11, " to ",Domestic!K$5)</f>
        <v>Electricity Exports from R6 to R8</v>
      </c>
      <c r="E267" s="99" t="str">
        <f t="shared" si="34"/>
        <v/>
      </c>
      <c r="F267" s="99" t="str">
        <f t="shared" si="35"/>
        <v/>
      </c>
      <c r="G267" s="99" t="str">
        <f t="shared" si="36"/>
        <v/>
      </c>
    </row>
    <row r="268" spans="2:7">
      <c r="B268" s="2" t="s">
        <v>169</v>
      </c>
      <c r="C268" s="2" t="str">
        <f>CONCATENATE("EXPELC",RIGHT(Domestic!L$5,1))</f>
        <v>EXPELC9</v>
      </c>
      <c r="D268" s="2" t="str">
        <f>CONCATENATE("Electricity Exports from ",Domestic!C$11, " to ",Domestic!L$5)</f>
        <v>Electricity Exports from R6 to R9</v>
      </c>
      <c r="E268" s="99" t="str">
        <f t="shared" si="34"/>
        <v/>
      </c>
      <c r="F268" s="99" t="str">
        <f t="shared" si="35"/>
        <v/>
      </c>
      <c r="G268" s="99" t="str">
        <f t="shared" si="36"/>
        <v/>
      </c>
    </row>
    <row r="270" spans="2:7">
      <c r="B270" s="2" t="s">
        <v>39</v>
      </c>
    </row>
    <row r="271" spans="2:7">
      <c r="B271" s="2" t="s">
        <v>33</v>
      </c>
    </row>
    <row r="272" spans="2:7">
      <c r="B272" s="2" t="s">
        <v>169</v>
      </c>
      <c r="C272" s="2" t="str">
        <f>CONCATENATE("IMPELC",Domestic!C6,RIGHT(Domestic!D$5,1))</f>
        <v>IMPELCR11</v>
      </c>
      <c r="D272" s="2" t="str">
        <f>CONCATENATE("Electricity Imports from ",Domestic!C6," to ",Domestic!D$5)</f>
        <v>Electricity Imports from R1 to R1</v>
      </c>
      <c r="E272" s="99"/>
      <c r="F272" s="99"/>
      <c r="G272" s="99"/>
    </row>
    <row r="273" spans="2:7">
      <c r="B273" s="2" t="s">
        <v>63</v>
      </c>
      <c r="C273" s="2" t="str">
        <f>CONCATENATE("IMPELC",Domestic!C7,RIGHT(Domestic!D$5,1))</f>
        <v>IMPELCR21</v>
      </c>
      <c r="D273" s="2" t="str">
        <f>CONCATENATE("Electricity Imports from ",Domestic!C7," to ",Domestic!D$5)</f>
        <v>Electricity Imports from R2 to R1</v>
      </c>
      <c r="E273" s="99" t="s">
        <v>25</v>
      </c>
      <c r="F273" s="99" t="s">
        <v>40</v>
      </c>
      <c r="G273" s="99" t="s">
        <v>41</v>
      </c>
    </row>
    <row r="274" spans="2:7">
      <c r="B274" s="2" t="s">
        <v>63</v>
      </c>
      <c r="C274" s="2" t="str">
        <f>CONCATENATE("IMPELC",Domestic!C8,RIGHT(Domestic!D$5,1))</f>
        <v>IMPELCR31</v>
      </c>
      <c r="D274" s="2" t="str">
        <f>CONCATENATE("Electricity Imports from ",Domestic!C8," to ",Domestic!D$5)</f>
        <v>Electricity Imports from R3 to R1</v>
      </c>
      <c r="E274" s="99" t="s">
        <v>25</v>
      </c>
      <c r="F274" s="99" t="s">
        <v>40</v>
      </c>
      <c r="G274" s="99" t="s">
        <v>41</v>
      </c>
    </row>
    <row r="275" spans="2:7">
      <c r="B275" s="2" t="s">
        <v>63</v>
      </c>
      <c r="C275" s="2" t="str">
        <f>CONCATENATE("IMPELC",Domestic!C9,RIGHT(Domestic!D$5,1))</f>
        <v>IMPELCR41</v>
      </c>
      <c r="D275" s="2" t="str">
        <f>CONCATENATE("Electricity Imports from ",Domestic!C9," to ",Domestic!D$5)</f>
        <v>Electricity Imports from R4 to R1</v>
      </c>
      <c r="E275" s="99" t="s">
        <v>25</v>
      </c>
      <c r="F275" s="99" t="s">
        <v>40</v>
      </c>
      <c r="G275" s="99" t="s">
        <v>41</v>
      </c>
    </row>
    <row r="276" spans="2:7">
      <c r="B276" s="2" t="s">
        <v>63</v>
      </c>
      <c r="C276" s="2" t="str">
        <f>CONCATENATE("IMPELC",Domestic!C10,RIGHT(Domestic!D$5,1))</f>
        <v>IMPELCR51</v>
      </c>
      <c r="D276" s="2" t="str">
        <f>CONCATENATE("Electricity Imports from ",Domestic!C10," to ",Domestic!D$5)</f>
        <v>Electricity Imports from R5 to R1</v>
      </c>
      <c r="E276" s="99" t="s">
        <v>25</v>
      </c>
      <c r="F276" s="99" t="s">
        <v>40</v>
      </c>
      <c r="G276" s="99" t="s">
        <v>41</v>
      </c>
    </row>
    <row r="277" spans="2:7">
      <c r="B277" s="2" t="s">
        <v>63</v>
      </c>
      <c r="C277" s="2" t="str">
        <f>CONCATENATE("IMPELC",Domestic!C11,RIGHT(Domestic!D$5,1))</f>
        <v>IMPELCR61</v>
      </c>
      <c r="D277" s="2" t="str">
        <f>CONCATENATE("Electricity Imports from ",Domestic!C11," to ",Domestic!D$5)</f>
        <v>Electricity Imports from R6 to R1</v>
      </c>
      <c r="E277" s="99" t="s">
        <v>25</v>
      </c>
      <c r="F277" s="99" t="s">
        <v>40</v>
      </c>
      <c r="G277" s="99" t="s">
        <v>41</v>
      </c>
    </row>
    <row r="278" spans="2:7">
      <c r="B278" s="2" t="s">
        <v>169</v>
      </c>
      <c r="C278" s="2" t="str">
        <f>CONCATENATE("IMPELC",Domestic!C12,RIGHT(Domestic!D$5,1))</f>
        <v>IMPELCR71</v>
      </c>
      <c r="D278" s="2" t="str">
        <f>CONCATENATE("Electricity Imports from ",Domestic!C12," to ",Domestic!D$5)</f>
        <v>Electricity Imports from R7 to R1</v>
      </c>
    </row>
    <row r="279" spans="2:7">
      <c r="B279" s="2" t="s">
        <v>169</v>
      </c>
      <c r="C279" s="2" t="str">
        <f>CONCATENATE("IMPELC",Domestic!C13,RIGHT(Domestic!D$5,1))</f>
        <v>IMPELCR81</v>
      </c>
      <c r="D279" s="2" t="str">
        <f>CONCATENATE("Electricity Imports from ",Domestic!C13," to ",Domestic!D$5)</f>
        <v>Electricity Imports from R8 to R1</v>
      </c>
    </row>
    <row r="280" spans="2:7">
      <c r="B280" s="2" t="s">
        <v>169</v>
      </c>
      <c r="C280" s="2" t="str">
        <f>CONCATENATE("IMPELC",Domestic!C14,RIGHT(Domestic!D$5,1))</f>
        <v>IMPELCR91</v>
      </c>
      <c r="D280" s="2" t="str">
        <f>CONCATENATE("Electricity Imports from ",Domestic!C14," to ",Domestic!D$5)</f>
        <v>Electricity Imports from R9 to R1</v>
      </c>
    </row>
    <row r="281" spans="2:7">
      <c r="B281" s="2" t="s">
        <v>34</v>
      </c>
    </row>
    <row r="282" spans="2:7">
      <c r="B282" s="2" t="s">
        <v>27</v>
      </c>
      <c r="C282" s="2" t="str">
        <f>CONCATENATE("IMPELC",Domestic!C6,RIGHT(Domestic!E$5,1))</f>
        <v>IMPELCR12</v>
      </c>
      <c r="D282" s="2" t="str">
        <f>CONCATENATE("Electricity Imports from ",Domestic!C6," to ",Domestic!E$5)</f>
        <v>Electricity Imports from R1 to R2</v>
      </c>
      <c r="E282" s="99" t="s">
        <v>25</v>
      </c>
      <c r="F282" s="99" t="s">
        <v>40</v>
      </c>
      <c r="G282" s="99" t="s">
        <v>41</v>
      </c>
    </row>
    <row r="283" spans="2:7">
      <c r="B283" s="2" t="s">
        <v>169</v>
      </c>
      <c r="C283" s="2" t="str">
        <f>CONCATENATE("IMPELC",Domestic!C7,RIGHT(Domestic!E$5,1))</f>
        <v>IMPELCR22</v>
      </c>
      <c r="D283" s="2" t="str">
        <f>CONCATENATE("Electricity Imports from ",Domestic!C7," to ",Domestic!E$5)</f>
        <v>Electricity Imports from R2 to R2</v>
      </c>
    </row>
    <row r="284" spans="2:7">
      <c r="B284" s="2" t="s">
        <v>27</v>
      </c>
      <c r="C284" s="2" t="str">
        <f>CONCATENATE("IMPELC",Domestic!C8,RIGHT(Domestic!E$5,1))</f>
        <v>IMPELCR32</v>
      </c>
      <c r="D284" s="2" t="str">
        <f>CONCATENATE("Electricity Imports from ",Domestic!C8," to ",Domestic!E$5)</f>
        <v>Electricity Imports from R3 to R2</v>
      </c>
      <c r="E284" s="99" t="s">
        <v>25</v>
      </c>
      <c r="F284" s="99" t="s">
        <v>40</v>
      </c>
      <c r="G284" s="99" t="s">
        <v>41</v>
      </c>
    </row>
    <row r="285" spans="2:7">
      <c r="B285" s="2" t="s">
        <v>27</v>
      </c>
      <c r="C285" s="2" t="str">
        <f>CONCATENATE("IMPELC",Domestic!C9,RIGHT(Domestic!E$5,1))</f>
        <v>IMPELCR42</v>
      </c>
      <c r="D285" s="2" t="str">
        <f>CONCATENATE("Electricity Imports from ",Domestic!C9," to ",Domestic!E$5)</f>
        <v>Electricity Imports from R4 to R2</v>
      </c>
      <c r="E285" s="99" t="s">
        <v>25</v>
      </c>
      <c r="F285" s="99" t="s">
        <v>40</v>
      </c>
      <c r="G285" s="99" t="s">
        <v>41</v>
      </c>
    </row>
    <row r="286" spans="2:7">
      <c r="B286" s="2" t="s">
        <v>27</v>
      </c>
      <c r="C286" s="2" t="str">
        <f>CONCATENATE("IMPELC",Domestic!C10,RIGHT(Domestic!E$5,1))</f>
        <v>IMPELCR52</v>
      </c>
      <c r="D286" s="2" t="str">
        <f>CONCATENATE("Electricity Imports from ",Domestic!C10," to ",Domestic!E$5)</f>
        <v>Electricity Imports from R5 to R2</v>
      </c>
      <c r="E286" s="99" t="s">
        <v>25</v>
      </c>
      <c r="F286" s="99" t="s">
        <v>40</v>
      </c>
      <c r="G286" s="99" t="s">
        <v>41</v>
      </c>
    </row>
    <row r="287" spans="2:7">
      <c r="B287" s="2" t="s">
        <v>169</v>
      </c>
      <c r="C287" s="2" t="str">
        <f>CONCATENATE("IMPELC",Domestic!C11,RIGHT(Domestic!E$5,1))</f>
        <v>IMPELCR62</v>
      </c>
      <c r="D287" s="2" t="str">
        <f>CONCATENATE("Electricity Imports from ",Domestic!C11," to ",Domestic!E$5)</f>
        <v>Electricity Imports from R6 to R2</v>
      </c>
    </row>
    <row r="288" spans="2:7">
      <c r="B288" s="2" t="s">
        <v>169</v>
      </c>
      <c r="C288" s="2" t="str">
        <f>CONCATENATE("IMPELC",Domestic!C12,RIGHT(Domestic!E$5,1))</f>
        <v>IMPELCR72</v>
      </c>
      <c r="D288" s="2" t="str">
        <f>CONCATENATE("Electricity Imports from ",Domestic!C12," to ",Domestic!E$5)</f>
        <v>Electricity Imports from R7 to R2</v>
      </c>
    </row>
    <row r="289" spans="2:7">
      <c r="B289" s="2" t="s">
        <v>169</v>
      </c>
      <c r="C289" s="2" t="str">
        <f>CONCATENATE("IMPELC",Domestic!C13,RIGHT(Domestic!E$5,1))</f>
        <v>IMPELCR82</v>
      </c>
      <c r="D289" s="2" t="str">
        <f>CONCATENATE("Electricity Imports from ",Domestic!C13," to ",Domestic!E$5)</f>
        <v>Electricity Imports from R8 to R2</v>
      </c>
      <c r="G289" t="str">
        <f t="shared" ref="G289:G290" si="37">IF(B289="* Not Allowed","","TCH,SRCENCP,SEP_IMP")</f>
        <v/>
      </c>
    </row>
    <row r="290" spans="2:7">
      <c r="B290" s="2" t="s">
        <v>169</v>
      </c>
      <c r="C290" s="2" t="str">
        <f>CONCATENATE("IMPELC",Domestic!C14,RIGHT(Domestic!E$5,1))</f>
        <v>IMPELCR92</v>
      </c>
      <c r="D290" s="2" t="str">
        <f>CONCATENATE("Electricity Imports from ",Domestic!C14," to ",Domestic!E$5)</f>
        <v>Electricity Imports from R9 to R2</v>
      </c>
      <c r="G290" t="str">
        <f t="shared" si="37"/>
        <v/>
      </c>
    </row>
    <row r="291" spans="2:7">
      <c r="B291" s="2" t="s">
        <v>35</v>
      </c>
    </row>
    <row r="292" spans="2:7">
      <c r="B292" s="2" t="s">
        <v>64</v>
      </c>
      <c r="C292" s="2" t="str">
        <f>CONCATENATE("IMPELC",Domestic!C6,RIGHT(Domestic!F$5,1))</f>
        <v>IMPELCR13</v>
      </c>
      <c r="D292" s="2" t="str">
        <f>CONCATENATE("Electricity Imports from ",Domestic!C6," to ",Domestic!F$5)</f>
        <v>Electricity Imports from R1 to R3</v>
      </c>
      <c r="E292" s="99" t="s">
        <v>25</v>
      </c>
      <c r="F292" s="99" t="s">
        <v>40</v>
      </c>
      <c r="G292" s="99" t="s">
        <v>41</v>
      </c>
    </row>
    <row r="293" spans="2:7">
      <c r="B293" s="2" t="s">
        <v>64</v>
      </c>
      <c r="C293" s="2" t="str">
        <f>CONCATENATE("IMPELC",Domestic!C7,RIGHT(Domestic!F$5,1))</f>
        <v>IMPELCR23</v>
      </c>
      <c r="D293" s="2" t="str">
        <f>CONCATENATE("Electricity Imports from ",Domestic!C7," to ",Domestic!F$5)</f>
        <v>Electricity Imports from R2 to R3</v>
      </c>
      <c r="E293" s="99" t="s">
        <v>25</v>
      </c>
      <c r="F293" s="99" t="s">
        <v>40</v>
      </c>
      <c r="G293" s="99" t="s">
        <v>41</v>
      </c>
    </row>
    <row r="294" spans="2:7">
      <c r="B294" s="2" t="s">
        <v>169</v>
      </c>
      <c r="C294" s="2" t="str">
        <f>CONCATENATE("IMPELC",Domestic!C8,RIGHT(Domestic!F$5,1))</f>
        <v>IMPELCR33</v>
      </c>
      <c r="D294" s="2" t="str">
        <f>CONCATENATE("Electricity Imports from ",Domestic!C8," to ",Domestic!F$5)</f>
        <v>Electricity Imports from R3 to R3</v>
      </c>
    </row>
    <row r="295" spans="2:7">
      <c r="B295" s="2" t="s">
        <v>64</v>
      </c>
      <c r="C295" s="2" t="str">
        <f>CONCATENATE("IMPELC",Domestic!C9,RIGHT(Domestic!F$5,1))</f>
        <v>IMPELCR43</v>
      </c>
      <c r="D295" s="2" t="str">
        <f>CONCATENATE("Electricity Imports from ",Domestic!C9," to ",Domestic!F$5)</f>
        <v>Electricity Imports from R4 to R3</v>
      </c>
      <c r="E295" s="99" t="s">
        <v>25</v>
      </c>
      <c r="F295" s="99" t="s">
        <v>40</v>
      </c>
      <c r="G295" s="99" t="s">
        <v>41</v>
      </c>
    </row>
    <row r="296" spans="2:7">
      <c r="B296" s="2" t="s">
        <v>64</v>
      </c>
      <c r="C296" s="2" t="str">
        <f>CONCATENATE("IMPELC",Domestic!C10,RIGHT(Domestic!F$5,1))</f>
        <v>IMPELCR53</v>
      </c>
      <c r="D296" s="2" t="str">
        <f>CONCATENATE("Electricity Imports from ",Domestic!C10," to ",Domestic!F$5)</f>
        <v>Electricity Imports from R5 to R3</v>
      </c>
      <c r="E296" s="99" t="s">
        <v>25</v>
      </c>
      <c r="F296" s="99" t="s">
        <v>40</v>
      </c>
      <c r="G296" s="99" t="s">
        <v>41</v>
      </c>
    </row>
    <row r="297" spans="2:7">
      <c r="B297" s="2" t="s">
        <v>169</v>
      </c>
      <c r="C297" s="2" t="str">
        <f>CONCATENATE("IMPELC",Domestic!C11,RIGHT(Domestic!F$5,1))</f>
        <v>IMPELCR63</v>
      </c>
      <c r="D297" s="2" t="str">
        <f>CONCATENATE("Electricity Imports from ",Domestic!C11," to ",Domestic!F$5)</f>
        <v>Electricity Imports from R6 to R3</v>
      </c>
    </row>
    <row r="298" spans="2:7">
      <c r="B298" s="2" t="s">
        <v>169</v>
      </c>
      <c r="C298" s="2" t="str">
        <f>CONCATENATE("IMPELC",Domestic!C12,RIGHT(Domestic!F$5,1))</f>
        <v>IMPELCR73</v>
      </c>
      <c r="D298" s="2" t="str">
        <f>CONCATENATE("Electricity Imports from ",Domestic!C12," to ",Domestic!F$5)</f>
        <v>Electricity Imports from R7 to R3</v>
      </c>
    </row>
    <row r="299" spans="2:7">
      <c r="B299" s="2" t="s">
        <v>169</v>
      </c>
      <c r="C299" s="2" t="str">
        <f>CONCATENATE("IMPELC",Domestic!C13,RIGHT(Domestic!F$5,1))</f>
        <v>IMPELCR83</v>
      </c>
      <c r="D299" s="2" t="str">
        <f>CONCATENATE("Electricity Imports from ",Domestic!C13," to ",Domestic!F$5)</f>
        <v>Electricity Imports from R8 to R3</v>
      </c>
    </row>
    <row r="300" spans="2:7">
      <c r="B300" s="2" t="s">
        <v>169</v>
      </c>
      <c r="C300" s="2" t="str">
        <f>CONCATENATE("IMPELC",Domestic!C14,RIGHT(Domestic!F$5,1))</f>
        <v>IMPELCR93</v>
      </c>
      <c r="D300" s="2" t="str">
        <f>CONCATENATE("Electricity Imports from ",Domestic!C14," to ",Domestic!F$5)</f>
        <v>Electricity Imports from R9 to R3</v>
      </c>
    </row>
    <row r="301" spans="2:7">
      <c r="B301" s="2" t="s">
        <v>36</v>
      </c>
    </row>
    <row r="302" spans="2:7">
      <c r="B302" s="2" t="s">
        <v>65</v>
      </c>
      <c r="C302" s="2" t="str">
        <f>CONCATENATE("IMPELC",Domestic!C6,RIGHT(Domestic!G$5,1))</f>
        <v>IMPELCR14</v>
      </c>
      <c r="D302" s="2" t="str">
        <f>CONCATENATE("Electricity Imports from ",Domestic!C6," to ",Domestic!G$5)</f>
        <v>Electricity Imports from R1 to R4</v>
      </c>
      <c r="E302" s="99" t="s">
        <v>25</v>
      </c>
      <c r="F302" s="99" t="s">
        <v>40</v>
      </c>
      <c r="G302" s="99" t="s">
        <v>41</v>
      </c>
    </row>
    <row r="303" spans="2:7">
      <c r="B303" s="2" t="s">
        <v>65</v>
      </c>
      <c r="C303" s="2" t="str">
        <f>CONCATENATE("IMPELC",Domestic!C7,RIGHT(Domestic!G$5,1))</f>
        <v>IMPELCR24</v>
      </c>
      <c r="D303" s="2" t="str">
        <f>CONCATENATE("Electricity Imports from ",Domestic!C7," to ",Domestic!G$5)</f>
        <v>Electricity Imports from R2 to R4</v>
      </c>
      <c r="E303" s="99" t="s">
        <v>25</v>
      </c>
      <c r="F303" s="99" t="s">
        <v>40</v>
      </c>
      <c r="G303" s="99" t="s">
        <v>41</v>
      </c>
    </row>
    <row r="304" spans="2:7">
      <c r="B304" s="2" t="s">
        <v>65</v>
      </c>
      <c r="C304" s="2" t="str">
        <f>CONCATENATE("IMPELC",Domestic!C8,RIGHT(Domestic!G$5,1))</f>
        <v>IMPELCR34</v>
      </c>
      <c r="D304" s="2" t="str">
        <f>CONCATENATE("Electricity Imports from ",Domestic!C8," to ",Domestic!G$5)</f>
        <v>Electricity Imports from R3 to R4</v>
      </c>
      <c r="E304" s="99" t="s">
        <v>25</v>
      </c>
      <c r="F304" s="99" t="s">
        <v>40</v>
      </c>
      <c r="G304" s="99" t="s">
        <v>41</v>
      </c>
    </row>
    <row r="305" spans="2:7">
      <c r="B305" s="2" t="s">
        <v>169</v>
      </c>
      <c r="C305" s="2" t="str">
        <f>CONCATENATE("IMPELC",Domestic!C9,RIGHT(Domestic!G$5,1))</f>
        <v>IMPELCR44</v>
      </c>
      <c r="D305" s="2" t="str">
        <f>CONCATENATE("Electricity Imports from ",Domestic!C9," to ",Domestic!G$5)</f>
        <v>Electricity Imports from R4 to R4</v>
      </c>
    </row>
    <row r="306" spans="2:7">
      <c r="B306" s="2" t="s">
        <v>169</v>
      </c>
      <c r="C306" s="2" t="str">
        <f>CONCATENATE("IMPELC",Domestic!C10,RIGHT(Domestic!G$5,1))</f>
        <v>IMPELCR54</v>
      </c>
      <c r="D306" s="2" t="str">
        <f>CONCATENATE("Electricity Imports from ",Domestic!C10," to ",Domestic!G$5)</f>
        <v>Electricity Imports from R5 to R4</v>
      </c>
    </row>
    <row r="307" spans="2:7">
      <c r="B307" s="2" t="s">
        <v>169</v>
      </c>
      <c r="C307" s="2" t="str">
        <f>CONCATENATE("IMPELC",Domestic!C11,RIGHT(Domestic!G$5,1))</f>
        <v>IMPELCR64</v>
      </c>
      <c r="D307" s="2" t="str">
        <f>CONCATENATE("Electricity Imports from ",Domestic!C11," to ",Domestic!G$5)</f>
        <v>Electricity Imports from R6 to R4</v>
      </c>
    </row>
    <row r="308" spans="2:7">
      <c r="B308" s="2" t="s">
        <v>169</v>
      </c>
      <c r="C308" s="2" t="str">
        <f>CONCATENATE("IMPELC",Domestic!C12,RIGHT(Domestic!G$5,1))</f>
        <v>IMPELCR74</v>
      </c>
      <c r="D308" s="2" t="str">
        <f>CONCATENATE("Electricity Imports from ",Domestic!C12," to ",Domestic!G$5)</f>
        <v>Electricity Imports from R7 to R4</v>
      </c>
    </row>
    <row r="309" spans="2:7">
      <c r="B309" s="2" t="s">
        <v>169</v>
      </c>
      <c r="C309" s="2" t="str">
        <f>CONCATENATE("IMPELC",Domestic!C13,RIGHT(Domestic!G$5,1))</f>
        <v>IMPELCR84</v>
      </c>
      <c r="D309" s="2" t="str">
        <f>CONCATENATE("Electricity Imports from ",Domestic!C13," to ",Domestic!G$5)</f>
        <v>Electricity Imports from R8 to R4</v>
      </c>
    </row>
    <row r="310" spans="2:7">
      <c r="B310" s="2" t="s">
        <v>169</v>
      </c>
      <c r="C310" s="2" t="str">
        <f>CONCATENATE("IMPELC",Domestic!C14,RIGHT(Domestic!G$5,1))</f>
        <v>IMPELCR94</v>
      </c>
      <c r="D310" s="2" t="str">
        <f>CONCATENATE("Electricity Imports from ",Domestic!C14," to ",Domestic!G$5)</f>
        <v>Electricity Imports from R9 to R4</v>
      </c>
    </row>
    <row r="311" spans="2:7">
      <c r="B311" s="2" t="s">
        <v>37</v>
      </c>
    </row>
    <row r="312" spans="2:7">
      <c r="B312" s="2" t="s">
        <v>66</v>
      </c>
      <c r="C312" s="2" t="str">
        <f>CONCATENATE("IMPELC",Domestic!C6,RIGHT(Domestic!H$5,1))</f>
        <v>IMPELCR15</v>
      </c>
      <c r="D312" s="2" t="str">
        <f>CONCATENATE("Electricity Imports from ",Domestic!C6," to ",Domestic!H$5)</f>
        <v>Electricity Imports from R1 to R5</v>
      </c>
      <c r="E312" s="99" t="s">
        <v>25</v>
      </c>
      <c r="F312" s="99" t="s">
        <v>40</v>
      </c>
      <c r="G312" s="99" t="s">
        <v>41</v>
      </c>
    </row>
    <row r="313" spans="2:7">
      <c r="B313" s="2" t="s">
        <v>66</v>
      </c>
      <c r="C313" s="2" t="str">
        <f>CONCATENATE("IMPELC",Domestic!C7,RIGHT(Domestic!H$5,1))</f>
        <v>IMPELCR25</v>
      </c>
      <c r="D313" s="2" t="str">
        <f>CONCATENATE("Electricity Imports from ",Domestic!C7," to ",Domestic!H$5)</f>
        <v>Electricity Imports from R2 to R5</v>
      </c>
      <c r="E313" s="99" t="s">
        <v>25</v>
      </c>
      <c r="F313" s="99" t="s">
        <v>40</v>
      </c>
      <c r="G313" s="99" t="s">
        <v>41</v>
      </c>
    </row>
    <row r="314" spans="2:7">
      <c r="B314" s="2" t="s">
        <v>66</v>
      </c>
      <c r="C314" s="2" t="str">
        <f>CONCATENATE("IMPELC",Domestic!C8,RIGHT(Domestic!H$5,1))</f>
        <v>IMPELCR35</v>
      </c>
      <c r="D314" s="2" t="str">
        <f>CONCATENATE("Electricity Imports from ",Domestic!C8," to ",Domestic!H$5)</f>
        <v>Electricity Imports from R3 to R5</v>
      </c>
      <c r="E314" s="99" t="s">
        <v>25</v>
      </c>
      <c r="F314" s="99" t="s">
        <v>40</v>
      </c>
      <c r="G314" s="99" t="s">
        <v>41</v>
      </c>
    </row>
    <row r="315" spans="2:7">
      <c r="B315" s="2" t="s">
        <v>169</v>
      </c>
      <c r="C315" s="2" t="str">
        <f>CONCATENATE("IMPELC",Domestic!C9,RIGHT(Domestic!H$5,1))</f>
        <v>IMPELCR45</v>
      </c>
      <c r="D315" s="2" t="str">
        <f>CONCATENATE("Electricity Imports from ",Domestic!C9," to ",Domestic!H$5)</f>
        <v>Electricity Imports from R4 to R5</v>
      </c>
    </row>
    <row r="316" spans="2:7">
      <c r="B316" s="2" t="s">
        <v>169</v>
      </c>
      <c r="C316" s="2" t="str">
        <f>CONCATENATE("IMPELC",Domestic!C10,RIGHT(Domestic!H$5,1))</f>
        <v>IMPELCR55</v>
      </c>
      <c r="D316" s="2" t="str">
        <f>CONCATENATE("Electricity Imports from ",Domestic!C10," to ",Domestic!H$5)</f>
        <v>Electricity Imports from R5 to R5</v>
      </c>
    </row>
    <row r="317" spans="2:7">
      <c r="B317" s="2" t="s">
        <v>66</v>
      </c>
      <c r="C317" s="2" t="str">
        <f>CONCATENATE("IMPELC",Domestic!C11,RIGHT(Domestic!H$5,1))</f>
        <v>IMPELCR65</v>
      </c>
      <c r="D317" s="2" t="str">
        <f>CONCATENATE("Electricity Imports from ",Domestic!C11," to ",Domestic!H$5)</f>
        <v>Electricity Imports from R6 to R5</v>
      </c>
      <c r="E317" s="99" t="s">
        <v>25</v>
      </c>
      <c r="F317" s="99" t="s">
        <v>40</v>
      </c>
      <c r="G317" s="99" t="s">
        <v>41</v>
      </c>
    </row>
    <row r="318" spans="2:7">
      <c r="B318" s="2" t="s">
        <v>169</v>
      </c>
      <c r="C318" s="2" t="str">
        <f>CONCATENATE("IMPELC",Domestic!C12,RIGHT(Domestic!H$5,1))</f>
        <v>IMPELCR75</v>
      </c>
      <c r="D318" s="2" t="str">
        <f>CONCATENATE("Electricity Imports from ",Domestic!C12," to ",Domestic!H$5)</f>
        <v>Electricity Imports from R7 to R5</v>
      </c>
    </row>
    <row r="319" spans="2:7">
      <c r="B319" s="2" t="s">
        <v>169</v>
      </c>
      <c r="C319" s="2" t="str">
        <f>CONCATENATE("IMPELC",Domestic!C13,RIGHT(Domestic!H$5,1))</f>
        <v>IMPELCR85</v>
      </c>
      <c r="D319" s="2" t="str">
        <f>CONCATENATE("Electricity Imports from ",Domestic!C13," to ",Domestic!H$5)</f>
        <v>Electricity Imports from R8 to R5</v>
      </c>
    </row>
    <row r="320" spans="2:7">
      <c r="B320" s="2" t="s">
        <v>169</v>
      </c>
      <c r="C320" s="2" t="str">
        <f>CONCATENATE("IMPELC",Domestic!C14,RIGHT(Domestic!H$5,1))</f>
        <v>IMPELCR95</v>
      </c>
      <c r="D320" s="2" t="str">
        <f>CONCATENATE("Electricity Imports from ",Domestic!C14," to ",Domestic!H$5)</f>
        <v>Electricity Imports from R9 to R5</v>
      </c>
    </row>
    <row r="321" spans="2:8">
      <c r="B321" s="2" t="s">
        <v>38</v>
      </c>
    </row>
    <row r="322" spans="2:8">
      <c r="B322" s="2" t="s">
        <v>67</v>
      </c>
      <c r="C322" s="2" t="str">
        <f>CONCATENATE("IMPELC",Domestic!C6,RIGHT(Domestic!I$5,1))</f>
        <v>IMPELCR16</v>
      </c>
      <c r="D322" s="2" t="str">
        <f>CONCATENATE("Electricity Imports from ",Domestic!C6," to ",Domestic!I$5)</f>
        <v>Electricity Imports from R1 to R6</v>
      </c>
      <c r="E322" s="99" t="s">
        <v>25</v>
      </c>
      <c r="F322" s="99" t="s">
        <v>40</v>
      </c>
      <c r="G322" s="99" t="s">
        <v>41</v>
      </c>
    </row>
    <row r="323" spans="2:8">
      <c r="B323" s="2" t="s">
        <v>169</v>
      </c>
      <c r="C323" s="2" t="str">
        <f>CONCATENATE("IMPELC",Domestic!C7,RIGHT(Domestic!I$5,1))</f>
        <v>IMPELCR26</v>
      </c>
      <c r="D323" s="2" t="str">
        <f>CONCATENATE("Electricity Imports from ",Domestic!C7," to ",Domestic!I$5)</f>
        <v>Electricity Imports from R2 to R6</v>
      </c>
    </row>
    <row r="324" spans="2:8">
      <c r="B324" s="2" t="s">
        <v>169</v>
      </c>
      <c r="C324" s="2" t="str">
        <f>CONCATENATE("IMPELC",Domestic!C8,RIGHT(Domestic!I$5,1))</f>
        <v>IMPELCR36</v>
      </c>
      <c r="D324" s="2" t="str">
        <f>CONCATENATE("Electricity Imports from ",Domestic!C8," to ",Domestic!I$5)</f>
        <v>Electricity Imports from R3 to R6</v>
      </c>
    </row>
    <row r="325" spans="2:8">
      <c r="B325" s="2" t="s">
        <v>169</v>
      </c>
      <c r="C325" s="2" t="str">
        <f>CONCATENATE("IMPELC",Domestic!C9,RIGHT(Domestic!I$5,1))</f>
        <v>IMPELCR46</v>
      </c>
      <c r="D325" s="2" t="str">
        <f>CONCATENATE("Electricity Imports from ",Domestic!C9," to ",Domestic!I$5)</f>
        <v>Electricity Imports from R4 to R6</v>
      </c>
    </row>
    <row r="326" spans="2:8">
      <c r="B326" s="2" t="s">
        <v>67</v>
      </c>
      <c r="C326" s="2" t="str">
        <f>CONCATENATE("IMPELC",Domestic!C10,RIGHT(Domestic!I$5,1))</f>
        <v>IMPELCR56</v>
      </c>
      <c r="D326" s="2" t="str">
        <f>CONCATENATE("Electricity Imports from ",Domestic!C10," to ",Domestic!I$5)</f>
        <v>Electricity Imports from R5 to R6</v>
      </c>
      <c r="E326" s="99" t="s">
        <v>25</v>
      </c>
      <c r="F326" s="99" t="s">
        <v>40</v>
      </c>
      <c r="G326" s="99" t="s">
        <v>41</v>
      </c>
    </row>
    <row r="327" spans="2:8">
      <c r="B327" s="2" t="s">
        <v>169</v>
      </c>
      <c r="C327" s="2" t="str">
        <f>CONCATENATE("IMPELC",Domestic!C11,RIGHT(Domestic!I$5,1))</f>
        <v>IMPELCR66</v>
      </c>
      <c r="D327" s="2" t="str">
        <f>CONCATENATE("Electricity Imports from ",Domestic!C11," to ",Domestic!I$5)</f>
        <v>Electricity Imports from R6 to R6</v>
      </c>
    </row>
    <row r="328" spans="2:8">
      <c r="B328" s="2" t="s">
        <v>169</v>
      </c>
      <c r="C328" s="2" t="str">
        <f>CONCATENATE("IMPELC",Domestic!C12,RIGHT(Domestic!I$5,1))</f>
        <v>IMPELCR76</v>
      </c>
      <c r="D328" s="2" t="str">
        <f>CONCATENATE("Electricity Imports from ",Domestic!C12," to ",Domestic!I$5)</f>
        <v>Electricity Imports from R7 to R6</v>
      </c>
    </row>
    <row r="329" spans="2:8">
      <c r="B329" s="2" t="s">
        <v>169</v>
      </c>
      <c r="C329" s="2" t="str">
        <f>CONCATENATE("IMPELC",Domestic!C13,RIGHT(Domestic!I$5,1))</f>
        <v>IMPELCR86</v>
      </c>
      <c r="D329" s="2" t="str">
        <f>CONCATENATE("Electricity Imports from ",Domestic!C13," to ",Domestic!I$5)</f>
        <v>Electricity Imports from R8 to R6</v>
      </c>
    </row>
    <row r="330" spans="2:8">
      <c r="B330" s="2" t="s">
        <v>169</v>
      </c>
      <c r="C330" s="2" t="str">
        <f>CONCATENATE("IMPELC",Domestic!C14,RIGHT(Domestic!I$5,1))</f>
        <v>IMPELCR96</v>
      </c>
      <c r="D330" s="2" t="str">
        <f>CONCATENATE("Electricity Imports from ",Domestic!C14," to ",Domestic!I$5)</f>
        <v>Electricity Imports from R9 to R6</v>
      </c>
    </row>
    <row r="331" spans="2:8">
      <c r="B331" s="2" t="s">
        <v>45</v>
      </c>
      <c r="C331" s="1"/>
      <c r="D331" s="1"/>
      <c r="E331" s="99"/>
      <c r="F331" s="99"/>
      <c r="G331" s="99"/>
      <c r="H331" s="1"/>
    </row>
    <row r="332" spans="2:8">
      <c r="B332" s="2" t="s">
        <v>82</v>
      </c>
      <c r="C332" s="2" t="str">
        <f>CONCATENATE("EXPELC",International!C7,RIGHT(International!N$6,1))</f>
        <v>EXPELCMX9</v>
      </c>
      <c r="D332" s="2" t="s">
        <v>203</v>
      </c>
      <c r="E332" s="99" t="s">
        <v>25</v>
      </c>
      <c r="F332" s="99" t="s">
        <v>40</v>
      </c>
      <c r="G332" s="99" t="s">
        <v>47</v>
      </c>
    </row>
    <row r="333" spans="2:8">
      <c r="B333" s="2" t="s">
        <v>82</v>
      </c>
      <c r="C333" s="2" t="str">
        <f>CONCATENATE("EXPELC",International!C8,RIGHT(International!N$6,1))</f>
        <v>EXPELCBC9</v>
      </c>
      <c r="D333" s="2" t="s">
        <v>203</v>
      </c>
      <c r="E333" s="99" t="s">
        <v>25</v>
      </c>
      <c r="F333" s="99" t="s">
        <v>40</v>
      </c>
      <c r="G333" s="99" t="s">
        <v>47</v>
      </c>
    </row>
    <row r="334" spans="2:8">
      <c r="B334" s="2" t="s">
        <v>82</v>
      </c>
      <c r="C334" s="2" t="str">
        <f>CONCATENATE("EXPELC",International!C9,RIGHT(International!M$6,1))</f>
        <v>EXPELCMA4</v>
      </c>
      <c r="D334" s="2" t="s">
        <v>171</v>
      </c>
      <c r="E334" s="99" t="s">
        <v>25</v>
      </c>
      <c r="F334" s="99" t="s">
        <v>40</v>
      </c>
      <c r="G334" s="99" t="s">
        <v>47</v>
      </c>
    </row>
    <row r="335" spans="2:8">
      <c r="B335" s="2" t="s">
        <v>82</v>
      </c>
      <c r="C335" s="2" t="str">
        <f>CONCATENATE("EXPELC",International!C10,RIGHT(International!K$6,1))</f>
        <v>EXPELCON2</v>
      </c>
      <c r="D335" s="2" t="s">
        <v>172</v>
      </c>
      <c r="E335" s="99" t="s">
        <v>25</v>
      </c>
      <c r="F335" s="99" t="s">
        <v>40</v>
      </c>
      <c r="G335" s="99" t="s">
        <v>47</v>
      </c>
    </row>
    <row r="336" spans="2:8">
      <c r="B336" s="2" t="s">
        <v>82</v>
      </c>
      <c r="C336" s="2" t="str">
        <f>CONCATENATE("EXPELC",International!C10,RIGHT(International!L$6,1))</f>
        <v>EXPELCON3</v>
      </c>
      <c r="D336" s="2" t="s">
        <v>173</v>
      </c>
      <c r="E336" s="99" t="s">
        <v>25</v>
      </c>
      <c r="F336" s="99" t="s">
        <v>40</v>
      </c>
      <c r="G336" s="99" t="s">
        <v>47</v>
      </c>
    </row>
    <row r="337" spans="2:7">
      <c r="B337" s="2" t="s">
        <v>82</v>
      </c>
      <c r="C337" s="2" t="str">
        <f>CONCATENATE("EXPELC",International!C10,RIGHT(International!M$6,1))</f>
        <v>EXPELCON4</v>
      </c>
      <c r="D337" s="2" t="s">
        <v>174</v>
      </c>
      <c r="E337" s="99" t="s">
        <v>25</v>
      </c>
      <c r="F337" s="99" t="s">
        <v>40</v>
      </c>
      <c r="G337" s="99" t="s">
        <v>47</v>
      </c>
    </row>
    <row r="338" spans="2:7">
      <c r="B338" s="2" t="s">
        <v>46</v>
      </c>
      <c r="C338" s="2" t="str">
        <f>CONCATENATE("EXPELC",International!C11,RIGHT(International!J$6,1))</f>
        <v>EXPELCQU1</v>
      </c>
      <c r="D338" s="2" t="s">
        <v>175</v>
      </c>
      <c r="E338" s="99" t="s">
        <v>25</v>
      </c>
      <c r="F338" s="99" t="s">
        <v>40</v>
      </c>
      <c r="G338" s="99" t="s">
        <v>47</v>
      </c>
    </row>
    <row r="339" spans="2:7">
      <c r="B339" s="2" t="s">
        <v>82</v>
      </c>
      <c r="C339" s="2" t="str">
        <f>CONCATENATE("EXPELC",International!C11,RIGHT(International!K$6,1))</f>
        <v>EXPELCQU2</v>
      </c>
      <c r="D339" s="2" t="s">
        <v>176</v>
      </c>
      <c r="E339" s="99" t="s">
        <v>25</v>
      </c>
      <c r="F339" s="99" t="s">
        <v>40</v>
      </c>
      <c r="G339" s="99" t="s">
        <v>47</v>
      </c>
    </row>
    <row r="340" spans="2:7">
      <c r="B340" s="2" t="s">
        <v>46</v>
      </c>
      <c r="C340" s="2" t="str">
        <f>CONCATENATE("EXPELC",International!C12,RIGHT(International!J$6,1))</f>
        <v>EXPELCNB1</v>
      </c>
      <c r="D340" s="2" t="s">
        <v>177</v>
      </c>
      <c r="E340" s="99" t="s">
        <v>25</v>
      </c>
      <c r="F340" s="99" t="s">
        <v>40</v>
      </c>
      <c r="G340" s="99" t="s">
        <v>47</v>
      </c>
    </row>
    <row r="341" spans="2:7">
      <c r="B341" s="2" t="s">
        <v>45</v>
      </c>
      <c r="E341" s="99"/>
      <c r="F341" s="99"/>
      <c r="G341" s="99"/>
    </row>
    <row r="342" spans="2:7">
      <c r="B342" s="2" t="s">
        <v>82</v>
      </c>
      <c r="C342" s="2" t="str">
        <f>CONCATENATE("IMPELC",International!C7,RIGHT(International!N$6,1))</f>
        <v>IMPELCMX9</v>
      </c>
      <c r="D342" s="2" t="s">
        <v>204</v>
      </c>
      <c r="E342" s="99" t="s">
        <v>25</v>
      </c>
      <c r="F342" s="99" t="s">
        <v>40</v>
      </c>
      <c r="G342" s="99" t="s">
        <v>41</v>
      </c>
    </row>
    <row r="343" spans="2:7">
      <c r="B343" s="2" t="s">
        <v>82</v>
      </c>
      <c r="C343" s="2" t="str">
        <f>CONCATENATE("IMPELC",International!C8,RIGHT(International!N$6,1))</f>
        <v>IMPELCBC9</v>
      </c>
      <c r="D343" s="2" t="s">
        <v>204</v>
      </c>
      <c r="E343" s="99" t="s">
        <v>25</v>
      </c>
      <c r="F343" s="99" t="s">
        <v>40</v>
      </c>
      <c r="G343" s="99" t="s">
        <v>41</v>
      </c>
    </row>
    <row r="344" spans="2:7">
      <c r="B344" s="2" t="s">
        <v>82</v>
      </c>
      <c r="C344" s="2" t="str">
        <f>CONCATENATE("IMPELC",International!C9,RIGHT(International!M$6,1))</f>
        <v>IMPELCMA4</v>
      </c>
      <c r="D344" s="2" t="s">
        <v>178</v>
      </c>
      <c r="E344" s="99" t="s">
        <v>25</v>
      </c>
      <c r="F344" s="99" t="s">
        <v>40</v>
      </c>
      <c r="G344" s="99" t="s">
        <v>41</v>
      </c>
    </row>
    <row r="345" spans="2:7">
      <c r="B345" s="2" t="s">
        <v>82</v>
      </c>
      <c r="C345" s="2" t="str">
        <f>CONCATENATE("IMPELC",International!C10,RIGHT(International!K$6,1))</f>
        <v>IMPELCON2</v>
      </c>
      <c r="D345" s="2" t="s">
        <v>179</v>
      </c>
      <c r="E345" s="99" t="s">
        <v>25</v>
      </c>
      <c r="F345" s="99" t="s">
        <v>40</v>
      </c>
      <c r="G345" s="99" t="s">
        <v>41</v>
      </c>
    </row>
    <row r="346" spans="2:7">
      <c r="B346" s="2" t="s">
        <v>82</v>
      </c>
      <c r="C346" s="2" t="str">
        <f>CONCATENATE("IMPELC",International!C10,RIGHT(International!L$6,1))</f>
        <v>IMPELCON3</v>
      </c>
      <c r="D346" s="2" t="s">
        <v>180</v>
      </c>
      <c r="E346" s="99" t="s">
        <v>25</v>
      </c>
      <c r="F346" s="99" t="s">
        <v>40</v>
      </c>
      <c r="G346" s="99" t="s">
        <v>41</v>
      </c>
    </row>
    <row r="347" spans="2:7">
      <c r="B347" s="2" t="s">
        <v>82</v>
      </c>
      <c r="C347" s="2" t="str">
        <f>CONCATENATE("IMPELC",International!C10,RIGHT(International!M$6,1))</f>
        <v>IMPELCON4</v>
      </c>
      <c r="D347" s="2" t="s">
        <v>181</v>
      </c>
      <c r="E347" s="99" t="s">
        <v>25</v>
      </c>
      <c r="F347" s="99" t="s">
        <v>40</v>
      </c>
      <c r="G347" s="99" t="s">
        <v>41</v>
      </c>
    </row>
    <row r="348" spans="2:7">
      <c r="B348" s="2" t="s">
        <v>63</v>
      </c>
      <c r="C348" s="2" t="str">
        <f>CONCATENATE("IMPELC",International!C11,RIGHT(International!J$6,1))</f>
        <v>IMPELCQU1</v>
      </c>
      <c r="D348" s="2" t="s">
        <v>182</v>
      </c>
      <c r="E348" s="99" t="s">
        <v>25</v>
      </c>
      <c r="F348" s="99" t="s">
        <v>40</v>
      </c>
      <c r="G348" s="99" t="s">
        <v>41</v>
      </c>
    </row>
    <row r="349" spans="2:7">
      <c r="B349" s="2" t="s">
        <v>82</v>
      </c>
      <c r="C349" s="2" t="str">
        <f>CONCATENATE("IMPELC",International!C11,RIGHT(International!K$6,1))</f>
        <v>IMPELCQU2</v>
      </c>
      <c r="D349" s="2" t="s">
        <v>183</v>
      </c>
      <c r="E349" s="99" t="s">
        <v>25</v>
      </c>
      <c r="F349" s="99" t="s">
        <v>40</v>
      </c>
      <c r="G349" s="99" t="s">
        <v>41</v>
      </c>
    </row>
    <row r="350" spans="2:7">
      <c r="B350" s="2" t="s">
        <v>63</v>
      </c>
      <c r="C350" s="2" t="str">
        <f>CONCATENATE("IMPELC",International!C12,RIGHT(International!J$6,1))</f>
        <v>IMPELCNB1</v>
      </c>
      <c r="D350" s="2" t="s">
        <v>184</v>
      </c>
      <c r="E350" s="99" t="s">
        <v>25</v>
      </c>
      <c r="F350" s="99" t="s">
        <v>40</v>
      </c>
      <c r="G350" s="99" t="s">
        <v>41</v>
      </c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2024-04-11T14:49:29+00:00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A769CCA2-14BF-448A-961D-15705FA56BA2}"/>
</file>

<file path=customXml/itemProps2.xml><?xml version="1.0" encoding="utf-8"?>
<ds:datastoreItem xmlns:ds="http://schemas.openxmlformats.org/officeDocument/2006/customXml" ds:itemID="{426DD8AC-640F-4324-A75D-C683E2B75CB0}">
  <ds:schemaRefs>
    <ds:schemaRef ds:uri="http://schemas.microsoft.com/office/2006/metadata/properties"/>
    <ds:schemaRef ds:uri="http://schemas.microsoft.com/office/infopath/2007/PartnerControls"/>
    <ds:schemaRef ds:uri="13d1ff91-c56c-48a5-881f-c0ec757c423c"/>
    <ds:schemaRef ds:uri="b61e3246-ffdd-47fd-afd5-fb211f629678"/>
  </ds:schemaRefs>
</ds:datastoreItem>
</file>

<file path=customXml/itemProps3.xml><?xml version="1.0" encoding="utf-8"?>
<ds:datastoreItem xmlns:ds="http://schemas.openxmlformats.org/officeDocument/2006/customXml" ds:itemID="{6A9A5832-6DDE-4EFA-A5F7-79A742F7EDB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E09D7AC-A537-4026-8457-8ED4010B5EF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ANSv6.1-Home</vt:lpstr>
      <vt:lpstr>Commodities</vt:lpstr>
      <vt:lpstr>Technologies</vt:lpstr>
      <vt:lpstr>TechData_DomELC_XLim</vt:lpstr>
      <vt:lpstr>TechData_HistELC_TRD</vt:lpstr>
      <vt:lpstr>Historical_trade</vt:lpstr>
      <vt:lpstr>Domestic_NYC</vt:lpstr>
      <vt:lpstr>Domestic</vt:lpstr>
      <vt:lpstr>International</vt:lpstr>
      <vt:lpstr>OLD</vt:lpstr>
      <vt:lpstr>TechData_IntELC_XLim</vt:lpstr>
      <vt:lpstr>TechData_IntELC_Trd-PB</vt:lpstr>
    </vt:vector>
  </TitlesOfParts>
  <Company>Noble-Soft Systems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Ken Noble</dc:creator>
  <cp:lastModifiedBy>Romain Chaffanjon</cp:lastModifiedBy>
  <cp:lastPrinted>2005-06-23T04:07:43Z</cp:lastPrinted>
  <dcterms:created xsi:type="dcterms:W3CDTF">2005-05-01T12:39:10Z</dcterms:created>
  <dcterms:modified xsi:type="dcterms:W3CDTF">2024-03-09T13:58:06Z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678426086902618</vt:r8>
  </property>
  <property fmtid="{D5CDD505-2E9C-101B-9397-08002B2CF9AE}" pid="3" name="ContentTypeId">
    <vt:lpwstr>0x010100C63D01357E587A4FA86952B3800C7D45</vt:lpwstr>
  </property>
  <property fmtid="{D5CDD505-2E9C-101B-9397-08002B2CF9AE}" pid="4" name="MediaServiceImageTags">
    <vt:lpwstr/>
  </property>
  <property fmtid="{D5CDD505-2E9C-101B-9397-08002B2CF9AE}" pid="5" name="TaxKeyword">
    <vt:lpwstr/>
  </property>
</Properties>
</file>