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16"/>
  <workbookPr/>
  <mc:AlternateContent xmlns:mc="http://schemas.openxmlformats.org/markup-compatibility/2006">
    <mc:Choice Requires="x15">
      <x15ac:absPath xmlns:x15ac="http://schemas.microsoft.com/office/spreadsheetml/2010/11/ac" url="C:\VEDA\Veda_models\COMET_NYC_v15.0.9\SubRES_TMPL\"/>
    </mc:Choice>
  </mc:AlternateContent>
  <xr:revisionPtr revIDLastSave="1" documentId="13_ncr:1_{C445E684-F566-476B-AB15-E044E33AC53F}" xr6:coauthVersionLast="47" xr6:coauthVersionMax="47" xr10:uidLastSave="{15A2737A-2D77-4B28-B95B-5BEF56EB74AA}"/>
  <bookViews>
    <workbookView xWindow="28680" yWindow="-120" windowWidth="29040" windowHeight="15840" firstSheet="4" activeTab="6" xr2:uid="{00000000-000D-0000-FFFF-FFFF00000000}"/>
  </bookViews>
  <sheets>
    <sheet name="Commodities" sheetId="16" r:id="rId1"/>
    <sheet name="Technologies" sheetId="17" r:id="rId2"/>
    <sheet name="PROD" sheetId="18" r:id="rId3"/>
    <sheet name="STG" sheetId="20" r:id="rId4"/>
    <sheet name="ELC" sheetId="19" r:id="rId5"/>
    <sheet name="TRANS" sheetId="6" r:id="rId6"/>
    <sheet name="NREL" sheetId="14" r:id="rId7"/>
    <sheet name="IEA" sheetId="13" r:id="rId8"/>
    <sheet name="Inflation" sheetId="12" r:id="rId9"/>
    <sheet name="Conversion" sheetId="15" r:id="rId10"/>
  </sheets>
  <externalReferences>
    <externalReference r:id="rId11"/>
  </externalReferences>
  <definedNames>
    <definedName name="AnswerData">#REF!</definedName>
    <definedName name="BDSEFF" comment="Biomass Dutch Oven/Susp. Burner Boiler Efficiency">#REF!</definedName>
    <definedName name="BFBEFF" comment="Boiler Fluidized Bed Boiler Efficiency">#REF!</definedName>
    <definedName name="BFCEFF" comment="Biomass Fuel Cell Boiler Efficiency">#REF!</definedName>
    <definedName name="blah">#REF!</definedName>
    <definedName name="bprint">#REF!</definedName>
    <definedName name="BSGEFF" comment="Biomass Suspension Grate Boiler Efficiency">#REF!</definedName>
    <definedName name="BSOEFF" comment="Boiler Stoker/Sloped Grate/Other Boiler">#REF!</definedName>
    <definedName name="BST_AF">#REF!</definedName>
    <definedName name="BST2_INV" comment="Boiler/Steam Turbine System 2 INVCOST">#REF!</definedName>
    <definedName name="BST3_INV" comment="Boiler/Steam Turbine System 3 INVCOST">#REF!</definedName>
    <definedName name="CCT_AF">#REF!</definedName>
    <definedName name="CCT2_INV" comment="Combined Cycle/Combustion Turbine System 2 INVCOST">#REF!</definedName>
    <definedName name="CCT3_INV" comment="Combined Cycle/Combustion Turbine System 3 INVCOST">#REF!</definedName>
    <definedName name="CCT4_INV" comment="Combined Cycle/Combustion Turbine System 4 INVCOST">#REF!</definedName>
    <definedName name="CCT5_INV" comment="Combined Cycle/Combustion Turbine System 5 INVCOST">#REF!</definedName>
    <definedName name="CFBEFF" comment="Coal Fluidized Bed Boiler Efficiency">#REF!</definedName>
    <definedName name="CMM_SUPPLY_CRV_TABLE">#REF!</definedName>
    <definedName name="cprint">#REF!</definedName>
    <definedName name="CPVEFF" comment="Pulverized coal boiler efficiency">#REF!</definedName>
    <definedName name="CSOEFF" comment="Coal Stoker/Sloped Grate/Other Boiler Efficiency">#REF!</definedName>
    <definedName name="DSTEFF" comment="Distillate Fuel Oil Boiler Efficiency">#REF!</definedName>
    <definedName name="exch_rate">#REF!</definedName>
    <definedName name="FCL_AF">#REF!</definedName>
    <definedName name="FCL2_INV" comment="Fuel Cell System 2 INVCOST">#REF!</definedName>
    <definedName name="FCL3_INV" comment="Fuel Cell System 3 INVCOST">#REF!</definedName>
    <definedName name="fitfile">#REF!</definedName>
    <definedName name="INF">#REF!</definedName>
    <definedName name="million_short_tons_to_short_ton">#REF!</definedName>
    <definedName name="MMBTU_to_PJ">#REF!</definedName>
    <definedName name="MT2_INV" comment="Microturbine System 2 INVCOST">#REF!</definedName>
    <definedName name="MT3_INV" comment="Microturbine System 3 INVCOST">#REF!</definedName>
    <definedName name="neb">#REF!</definedName>
    <definedName name="PPP">#REF!</definedName>
    <definedName name="PPPEX">#REF!</definedName>
    <definedName name="rail_coal">#REF!</definedName>
    <definedName name="REG1_AF">#REF!</definedName>
    <definedName name="REG1_INV" comment="Reciprocating Engine System 1 INVCOST">#REF!</definedName>
    <definedName name="REG2_AF" comment="Reciprocating Engine System 2 Availability Factor">#REF!</definedName>
    <definedName name="REG3_AF" comment="Reciprocating Engine System 3 Availability Factor">#REF!</definedName>
    <definedName name="REG3_INV" comment="Reciprocating Engine System 3 INVCOST">#REF!</definedName>
    <definedName name="REG4_AF" comment="Reciprocating Engine System 4 Availability Factor">#REF!</definedName>
    <definedName name="REG5_AF" comment="Reciprocating Engine System 5 Availability Factor">#REF!</definedName>
    <definedName name="REG5_INV" comment="Reciprocating Engine System 5 INVCOST">#REF!</definedName>
    <definedName name="RFLEFF" comment="Residual Fuel Oil Boiler Efficiency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7" i="19" l="1"/>
  <c r="AG7" i="19"/>
  <c r="AF8" i="19"/>
  <c r="AG8" i="19"/>
  <c r="AF9" i="19"/>
  <c r="AG9" i="19"/>
  <c r="AF10" i="19"/>
  <c r="AG10" i="19"/>
  <c r="AE8" i="19"/>
  <c r="AE9" i="19"/>
  <c r="AE10" i="19"/>
  <c r="AE7" i="19"/>
  <c r="C15" i="16"/>
  <c r="C14" i="16"/>
  <c r="D21" i="17"/>
  <c r="AM16" i="20"/>
  <c r="AL16" i="20"/>
  <c r="AK16" i="20"/>
  <c r="AJ16" i="20"/>
  <c r="AI16" i="20"/>
  <c r="AH16" i="20"/>
  <c r="AG16" i="20"/>
  <c r="AF16" i="20"/>
  <c r="AE16" i="20"/>
  <c r="AD16" i="20"/>
  <c r="AC16" i="20"/>
  <c r="AB16" i="20"/>
  <c r="AA16" i="20"/>
  <c r="Z16" i="20"/>
  <c r="Y16" i="20"/>
  <c r="X16" i="20"/>
  <c r="W16" i="20"/>
  <c r="V16" i="20"/>
  <c r="U16" i="20"/>
  <c r="T16" i="20"/>
  <c r="S16" i="20"/>
  <c r="R16" i="20"/>
  <c r="Q16" i="20"/>
  <c r="P16" i="20"/>
  <c r="O16" i="20"/>
  <c r="N16" i="20"/>
  <c r="M16" i="20"/>
  <c r="L16" i="20"/>
  <c r="K16" i="20"/>
  <c r="J16" i="20"/>
  <c r="B16" i="20"/>
  <c r="C21" i="17" s="1"/>
  <c r="C13" i="16" l="1"/>
  <c r="Q10" i="19" l="1"/>
  <c r="Q8" i="19" l="1"/>
  <c r="Q9" i="19"/>
  <c r="Q7" i="19"/>
  <c r="AY8" i="18"/>
  <c r="AY9" i="18"/>
  <c r="AY10" i="18"/>
  <c r="AY11" i="18"/>
  <c r="AY12" i="18"/>
  <c r="AY13" i="18"/>
  <c r="AY7" i="18"/>
  <c r="D26" i="17" l="1"/>
  <c r="D27" i="17"/>
  <c r="D28" i="17"/>
  <c r="C28" i="17"/>
  <c r="C27" i="17"/>
  <c r="C26" i="17"/>
  <c r="D23" i="17" l="1"/>
  <c r="D24" i="17"/>
  <c r="D22" i="17"/>
  <c r="D25" i="17"/>
  <c r="C25" i="17"/>
  <c r="B9" i="19"/>
  <c r="C24" i="17" s="1"/>
  <c r="B8" i="19"/>
  <c r="C23" i="17" s="1"/>
  <c r="B7" i="19"/>
  <c r="C22" i="17" s="1"/>
  <c r="D15" i="17"/>
  <c r="D16" i="17"/>
  <c r="D17" i="17"/>
  <c r="D18" i="17"/>
  <c r="D19" i="17"/>
  <c r="D20" i="17"/>
  <c r="D14" i="17"/>
  <c r="B13" i="18"/>
  <c r="C20" i="17" s="1"/>
  <c r="B12" i="18"/>
  <c r="C19" i="17" s="1"/>
  <c r="B11" i="18"/>
  <c r="C18" i="17" s="1"/>
  <c r="B10" i="18"/>
  <c r="C17" i="17" s="1"/>
  <c r="B9" i="18"/>
  <c r="C16" i="17" s="1"/>
  <c r="B8" i="18"/>
  <c r="C15" i="17" s="1"/>
  <c r="B7" i="18"/>
  <c r="C14" i="17" s="1"/>
  <c r="B19" i="6" l="1"/>
  <c r="B20" i="6"/>
  <c r="B21" i="6"/>
  <c r="B18" i="6"/>
  <c r="C9" i="17"/>
  <c r="C8" i="17"/>
  <c r="C7" i="17"/>
  <c r="C6" i="17"/>
  <c r="F6" i="6"/>
  <c r="C4" i="15"/>
  <c r="C26" i="14" s="1"/>
  <c r="C10" i="16"/>
  <c r="C11" i="16"/>
  <c r="C12" i="16"/>
  <c r="C9" i="16"/>
  <c r="D6" i="17"/>
  <c r="D7" i="17"/>
  <c r="D8" i="17"/>
  <c r="D9" i="17"/>
  <c r="D10" i="17"/>
  <c r="D11" i="17"/>
  <c r="D12" i="17"/>
  <c r="D13" i="17"/>
  <c r="C11" i="17" l="1"/>
  <c r="C12" i="17"/>
  <c r="C13" i="17"/>
  <c r="C10" i="17"/>
  <c r="J12" i="6" l="1"/>
  <c r="K12" i="6" s="1"/>
  <c r="L12" i="6" s="1"/>
  <c r="M12" i="6" s="1"/>
  <c r="N12" i="6" s="1"/>
  <c r="J10" i="6"/>
  <c r="K10" i="6" s="1"/>
  <c r="L10" i="6" s="1"/>
  <c r="M10" i="6" s="1"/>
  <c r="N10" i="6" s="1"/>
  <c r="O10" i="6" s="1"/>
  <c r="F10" i="6"/>
  <c r="F12" i="6" s="1"/>
  <c r="J8" i="6"/>
  <c r="K8" i="6" s="1"/>
  <c r="L8" i="6" s="1"/>
  <c r="M8" i="6" s="1"/>
  <c r="N8" i="6" s="1"/>
  <c r="O8" i="6" s="1"/>
  <c r="F8" i="6"/>
  <c r="J6" i="6"/>
  <c r="K6" i="6" s="1"/>
  <c r="L6" i="6" s="1"/>
  <c r="M6" i="6" s="1"/>
  <c r="N6" i="6" s="1"/>
  <c r="O6" i="6" s="1"/>
  <c r="C24" i="14"/>
  <c r="C25" i="14" s="1"/>
  <c r="D24" i="14"/>
  <c r="E24" i="14"/>
  <c r="F24" i="14"/>
  <c r="G24" i="14"/>
  <c r="G25" i="14" s="1"/>
  <c r="H24" i="14"/>
  <c r="I24" i="14"/>
  <c r="I25" i="14" s="1"/>
  <c r="J24" i="14"/>
  <c r="J25" i="14" s="1"/>
  <c r="K24" i="14"/>
  <c r="K25" i="14" s="1"/>
  <c r="F25" i="14"/>
  <c r="H25" i="14"/>
  <c r="H26" i="14"/>
  <c r="I26" i="14"/>
  <c r="J26" i="14"/>
  <c r="K26" i="14"/>
  <c r="D26" i="14"/>
  <c r="E26" i="14"/>
  <c r="F26" i="14"/>
  <c r="G26" i="14"/>
  <c r="D25" i="14"/>
  <c r="E25" i="14"/>
  <c r="C2" i="15"/>
  <c r="W4" i="12"/>
  <c r="V4" i="12"/>
  <c r="U4" i="12"/>
  <c r="T4" i="12"/>
  <c r="S4" i="12"/>
  <c r="R4" i="12"/>
  <c r="Q4" i="12"/>
  <c r="P4" i="12"/>
  <c r="O4" i="12"/>
  <c r="N4" i="12"/>
  <c r="M4" i="12"/>
  <c r="L4" i="12"/>
  <c r="K4" i="12"/>
  <c r="J4" i="12"/>
  <c r="K5" i="12" s="1"/>
  <c r="L5" i="12" s="1"/>
  <c r="M5" i="12" s="1"/>
  <c r="N5" i="12" s="1"/>
  <c r="O5" i="12" s="1"/>
  <c r="P5" i="12" s="1"/>
  <c r="Q5" i="12" s="1"/>
  <c r="R5" i="12" s="1"/>
  <c r="S5" i="12" s="1"/>
  <c r="T5" i="12" s="1"/>
  <c r="U5" i="12" s="1"/>
  <c r="V5" i="12" s="1"/>
  <c r="W5" i="12" s="1"/>
  <c r="X5" i="12" s="1"/>
  <c r="Y5" i="12" s="1"/>
  <c r="Z5" i="12" s="1"/>
  <c r="AA5" i="12" s="1"/>
  <c r="AB5" i="12" s="1"/>
  <c r="AC5" i="12" s="1"/>
  <c r="AD5" i="12" s="1"/>
  <c r="AE5" i="12" s="1"/>
  <c r="AF5" i="12" s="1"/>
  <c r="AG5" i="12" s="1"/>
  <c r="AH5" i="12" s="1"/>
  <c r="AI5" i="12" s="1"/>
  <c r="AJ5" i="12" s="1"/>
  <c r="AK5" i="12" s="1"/>
  <c r="AL5" i="12" s="1"/>
  <c r="AM5" i="12" s="1"/>
  <c r="AN5" i="12" s="1"/>
  <c r="AO5" i="12" s="1"/>
  <c r="AP5" i="12" s="1"/>
  <c r="AQ5" i="12" s="1"/>
  <c r="AR5" i="12" s="1"/>
  <c r="AS5" i="12" s="1"/>
  <c r="AT5" i="12" s="1"/>
  <c r="AU5" i="12" s="1"/>
  <c r="AV5" i="12" s="1"/>
  <c r="AW5" i="12" s="1"/>
  <c r="AX5" i="12" s="1"/>
  <c r="AY5" i="12" s="1"/>
  <c r="AZ5" i="12" s="1"/>
  <c r="BA5" i="12" s="1"/>
  <c r="BB5" i="12" s="1"/>
  <c r="BC5" i="12" s="1"/>
  <c r="BD5" i="12" s="1"/>
  <c r="BE5" i="12" s="1"/>
  <c r="BF5" i="12" s="1"/>
  <c r="BG5" i="12" s="1"/>
  <c r="BH5" i="12" s="1"/>
  <c r="I4" i="12"/>
  <c r="I5" i="12" s="1"/>
  <c r="H4" i="12"/>
  <c r="G4" i="12"/>
  <c r="F4" i="12"/>
  <c r="E4" i="12"/>
  <c r="I10" i="6" l="1"/>
  <c r="G10" i="6"/>
  <c r="H10" i="6"/>
  <c r="I8" i="6"/>
  <c r="I6" i="6"/>
  <c r="G8" i="6"/>
  <c r="H8" i="6"/>
  <c r="G6" i="6"/>
  <c r="H6" i="6"/>
  <c r="H5" i="12"/>
  <c r="G5" i="12" s="1"/>
  <c r="F5" i="12" s="1"/>
  <c r="E5" i="12" s="1"/>
  <c r="G12" i="6" l="1"/>
  <c r="I12" i="6"/>
  <c r="H12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Maurizio Gargiulo</author>
  </authors>
  <commentList>
    <comment ref="B5" authorId="0" shapeId="0" xr:uid="{4F45DE30-6911-4963-A198-CA51AE0FCDE5}">
      <text>
        <r>
          <rPr>
            <sz val="8"/>
            <color indexed="81"/>
            <rFont val="Tahoma"/>
            <family val="2"/>
          </rPr>
          <t xml:space="preserve">Sets declarations are </t>
        </r>
        <r>
          <rPr>
            <sz val="8"/>
            <color indexed="81"/>
            <rFont val="Tahoma"/>
            <family val="2"/>
          </rPr>
          <t>inherited. 
Allowed Process Sets</t>
        </r>
        <r>
          <rPr>
            <b/>
            <sz val="8"/>
            <color indexed="81"/>
            <rFont val="Tahoma"/>
            <family val="2"/>
          </rPr>
          <t xml:space="preserve">
ELE </t>
        </r>
        <r>
          <rPr>
            <sz val="8"/>
            <color indexed="81"/>
            <rFont val="Tahoma"/>
            <family val="2"/>
          </rPr>
          <t>(Thermal Electric Power Plant)</t>
        </r>
        <r>
          <rPr>
            <b/>
            <sz val="8"/>
            <color indexed="81"/>
            <rFont val="Tahoma"/>
            <family val="2"/>
          </rPr>
          <t xml:space="preserve">
CHP </t>
        </r>
        <r>
          <rPr>
            <sz val="8"/>
            <color indexed="81"/>
            <rFont val="Tahoma"/>
            <family val="2"/>
          </rPr>
          <t>(Combined Heat and Power)</t>
        </r>
        <r>
          <rPr>
            <b/>
            <sz val="8"/>
            <color indexed="81"/>
            <rFont val="Tahoma"/>
            <family val="2"/>
          </rPr>
          <t xml:space="preserve">
STGTSS </t>
        </r>
        <r>
          <rPr>
            <sz val="8"/>
            <color indexed="81"/>
            <rFont val="Tahoma"/>
            <family val="2"/>
          </rPr>
          <t>(Pump Storage)</t>
        </r>
        <r>
          <rPr>
            <b/>
            <sz val="8"/>
            <color indexed="81"/>
            <rFont val="Tahoma"/>
            <family val="2"/>
          </rPr>
          <t xml:space="preserve">
STGIPS</t>
        </r>
        <r>
          <rPr>
            <sz val="8"/>
            <color indexed="81"/>
            <rFont val="Tahoma"/>
            <family val="2"/>
          </rPr>
          <t xml:space="preserve"> (Pump Storage IP)</t>
        </r>
        <r>
          <rPr>
            <b/>
            <sz val="8"/>
            <color indexed="81"/>
            <rFont val="Tahoma"/>
            <family val="2"/>
          </rPr>
          <t xml:space="preserve">
PRE </t>
        </r>
        <r>
          <rPr>
            <sz val="8"/>
            <color indexed="81"/>
            <rFont val="Tahoma"/>
            <family val="2"/>
          </rPr>
          <t>(Genric Process/Technology)</t>
        </r>
        <r>
          <rPr>
            <b/>
            <sz val="8"/>
            <color indexed="81"/>
            <rFont val="Tahoma"/>
            <family val="2"/>
          </rPr>
          <t xml:space="preserve">
DMD</t>
        </r>
        <r>
          <rPr>
            <sz val="8"/>
            <color indexed="81"/>
            <rFont val="Tahoma"/>
            <family val="2"/>
          </rPr>
          <t xml:space="preserve"> (Demand Device)</t>
        </r>
        <r>
          <rPr>
            <b/>
            <sz val="8"/>
            <color indexed="81"/>
            <rFont val="Tahoma"/>
            <family val="2"/>
          </rPr>
          <t xml:space="preserve">
IMP </t>
        </r>
        <r>
          <rPr>
            <sz val="8"/>
            <color indexed="81"/>
            <rFont val="Tahoma"/>
            <family val="2"/>
          </rPr>
          <t xml:space="preserve">(Import)
</t>
        </r>
        <r>
          <rPr>
            <b/>
            <sz val="8"/>
            <color indexed="81"/>
            <rFont val="Tahoma"/>
            <family val="2"/>
          </rPr>
          <t>EXP</t>
        </r>
        <r>
          <rPr>
            <sz val="8"/>
            <color indexed="81"/>
            <rFont val="Tahoma"/>
            <family val="2"/>
          </rPr>
          <t xml:space="preserve"> (Export)</t>
        </r>
        <r>
          <rPr>
            <b/>
            <sz val="8"/>
            <color indexed="81"/>
            <rFont val="Tahoma"/>
            <family val="2"/>
          </rPr>
          <t xml:space="preserve">
MIN </t>
        </r>
        <r>
          <rPr>
            <sz val="8"/>
            <color indexed="81"/>
            <rFont val="Tahoma"/>
            <family val="2"/>
          </rPr>
          <t>(Mining Process)</t>
        </r>
        <r>
          <rPr>
            <b/>
            <sz val="8"/>
            <color indexed="81"/>
            <rFont val="Tahoma"/>
            <family val="2"/>
          </rPr>
          <t xml:space="preserve">
RNW </t>
        </r>
        <r>
          <rPr>
            <sz val="8"/>
            <color indexed="81"/>
            <rFont val="Tahoma"/>
            <family val="2"/>
          </rPr>
          <t>(Renewable Technology)</t>
        </r>
        <r>
          <rPr>
            <b/>
            <sz val="8"/>
            <color indexed="81"/>
            <rFont val="Tahoma"/>
            <family val="2"/>
          </rPr>
          <t xml:space="preserve">
HPL</t>
        </r>
        <r>
          <rPr>
            <sz val="8"/>
            <color indexed="81"/>
            <rFont val="Tahoma"/>
            <family val="2"/>
          </rPr>
          <t xml:space="preserve"> (Heating Plant)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Kathleen Vaillancourt</author>
  </authors>
  <commentList>
    <comment ref="AN10" authorId="0" shapeId="0" xr:uid="{B4D5784A-D82A-4FB2-8B5F-522B0C2C0625}">
      <text>
        <r>
          <rPr>
            <b/>
            <sz val="9"/>
            <color indexed="81"/>
            <rFont val="Tahoma"/>
            <family val="2"/>
          </rPr>
          <t>Kathleen Vaillancourt:</t>
        </r>
        <r>
          <rPr>
            <sz val="9"/>
            <color indexed="81"/>
            <rFont val="Tahoma"/>
            <family val="2"/>
          </rPr>
          <t xml:space="preserve">
Zen in MB project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Marie Pied</author>
  </authors>
  <commentList>
    <comment ref="C9" authorId="0" shapeId="0" xr:uid="{56D2E315-CBF0-47FB-933B-1079008EAFAC}">
      <text>
        <r>
          <rPr>
            <b/>
            <sz val="9"/>
            <color indexed="81"/>
            <rFont val="Tahoma"/>
            <family val="2"/>
          </rPr>
          <t>Marie Pied:</t>
        </r>
        <r>
          <rPr>
            <sz val="9"/>
            <color indexed="81"/>
            <rFont val="Tahoma"/>
            <family val="2"/>
          </rPr>
          <t xml:space="preserve">
Vérifier que ce ne soit pas trop utilisé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Marie Pied</author>
    <author>esmia</author>
  </authors>
  <commentList>
    <comment ref="C7" authorId="0" shapeId="0" xr:uid="{6568B81A-A1F6-4362-8687-30093C6B07F2}">
      <text>
        <r>
          <rPr>
            <b/>
            <sz val="9"/>
            <color indexed="81"/>
            <rFont val="Tahoma"/>
            <family val="2"/>
          </rPr>
          <t>Marie Pied:</t>
        </r>
        <r>
          <rPr>
            <sz val="9"/>
            <color indexed="81"/>
            <rFont val="Tahoma"/>
            <family val="2"/>
          </rPr>
          <t xml:space="preserve">
Assume constant cost. Other cost scenario possible.
</t>
        </r>
      </text>
    </comment>
    <comment ref="AE7" authorId="1" shapeId="0" xr:uid="{8317C0D0-FF8C-471D-A450-462517B29F90}">
      <text>
        <r>
          <rPr>
            <b/>
            <sz val="9"/>
            <color indexed="81"/>
            <rFont val="Tahoma"/>
            <family val="2"/>
          </rPr>
          <t>esmia:</t>
        </r>
        <r>
          <rPr>
            <sz val="9"/>
            <color indexed="81"/>
            <rFont val="Tahoma"/>
            <family val="2"/>
          </rPr>
          <t xml:space="preserve">
20% Reserve Margin</t>
        </r>
      </text>
    </comment>
    <comment ref="C8" authorId="0" shapeId="0" xr:uid="{D83C57D8-3C51-4830-834B-4471B4F47831}">
      <text>
        <r>
          <rPr>
            <b/>
            <sz val="9"/>
            <color indexed="81"/>
            <rFont val="Tahoma"/>
            <family val="2"/>
          </rPr>
          <t>Marie Pied:</t>
        </r>
        <r>
          <rPr>
            <sz val="9"/>
            <color indexed="81"/>
            <rFont val="Tahoma"/>
            <family val="2"/>
          </rPr>
          <t xml:space="preserve">
Assume constant cost. Other cost scenario possible.
</t>
        </r>
      </text>
    </comment>
    <comment ref="C9" authorId="0" shapeId="0" xr:uid="{5D7E4E3C-93FF-4C90-941A-208C2F99331A}">
      <text>
        <r>
          <rPr>
            <b/>
            <sz val="9"/>
            <color indexed="81"/>
            <rFont val="Tahoma"/>
            <family val="2"/>
          </rPr>
          <t>Marie Pied:</t>
        </r>
        <r>
          <rPr>
            <sz val="9"/>
            <color indexed="81"/>
            <rFont val="Tahoma"/>
            <family val="2"/>
          </rPr>
          <t xml:space="preserve">
Assume constant cost. Other cost scenario possible.
</t>
        </r>
      </text>
    </comment>
  </commentList>
</comments>
</file>

<file path=xl/sharedStrings.xml><?xml version="1.0" encoding="utf-8"?>
<sst xmlns="http://schemas.openxmlformats.org/spreadsheetml/2006/main" count="576" uniqueCount="235">
  <si>
    <t>Commodities</t>
  </si>
  <si>
    <t>R0,R1,R2,R3,R4,R5,R6</t>
  </si>
  <si>
    <t>~FI_Comm</t>
  </si>
  <si>
    <t>Region</t>
  </si>
  <si>
    <t>CommName</t>
  </si>
  <si>
    <t>CommDesc</t>
  </si>
  <si>
    <t>Unit</t>
  </si>
  <si>
    <t>Csets</t>
  </si>
  <si>
    <t>LimType</t>
  </si>
  <si>
    <t>CTSLvl</t>
  </si>
  <si>
    <t>PeakTS</t>
  </si>
  <si>
    <t>Ctype</t>
  </si>
  <si>
    <t>*Hydrogen</t>
  </si>
  <si>
    <t>R2,R3,R4,R5,R6</t>
  </si>
  <si>
    <t>Hydrogen from High Temperature Electrolysis</t>
  </si>
  <si>
    <t>PJ</t>
  </si>
  <si>
    <t>NRG</t>
  </si>
  <si>
    <t>Hydrogen from Low Temperature Electrolysis</t>
  </si>
  <si>
    <t>Hydrogen from Steam Methane Reforming</t>
  </si>
  <si>
    <t>Hydrogen from Biomass Gasification</t>
  </si>
  <si>
    <t>R1,R2,R3,R4,R5,R6</t>
  </si>
  <si>
    <t>Hydrogen from Electrolysis</t>
  </si>
  <si>
    <t>DAYNITE</t>
  </si>
  <si>
    <t>ANNUAL</t>
  </si>
  <si>
    <t>Hydrogen out of Storage</t>
  </si>
  <si>
    <t>Hydrogen for Electricity sector</t>
  </si>
  <si>
    <t>~FI_Process</t>
  </si>
  <si>
    <t>Sets</t>
  </si>
  <si>
    <t>TechName</t>
  </si>
  <si>
    <t>TechDesc</t>
  </si>
  <si>
    <t>Tact</t>
  </si>
  <si>
    <t>Tcap</t>
  </si>
  <si>
    <t>Tslvl</t>
  </si>
  <si>
    <t>PrimaryCG</t>
  </si>
  <si>
    <t>Vintage</t>
  </si>
  <si>
    <t>*Process Set Membership</t>
  </si>
  <si>
    <t>Technology Name</t>
  </si>
  <si>
    <t>Technology Description</t>
  </si>
  <si>
    <t>Activity Unit</t>
  </si>
  <si>
    <t>Capacity Unit</t>
  </si>
  <si>
    <t>TimeSlice level of Process Activity</t>
  </si>
  <si>
    <t>Primary Commodity Group</t>
  </si>
  <si>
    <t>Vintage Tracking</t>
  </si>
  <si>
    <t>MIN</t>
  </si>
  <si>
    <t>PJa</t>
  </si>
  <si>
    <t>PRE</t>
  </si>
  <si>
    <t>GW</t>
  </si>
  <si>
    <t>NRGI</t>
  </si>
  <si>
    <t>ELE</t>
  </si>
  <si>
    <t>STG</t>
  </si>
  <si>
    <t>STS</t>
  </si>
  <si>
    <t>DATA extracted and adapted from NATEM (ESMIA Consultants). 27 February 2024</t>
  </si>
  <si>
    <t>~FI_T</t>
  </si>
  <si>
    <t>*TechDesc</t>
  </si>
  <si>
    <t>Comm-IN</t>
  </si>
  <si>
    <t>COMM-OUT</t>
  </si>
  <si>
    <t>Share~UP</t>
  </si>
  <si>
    <t>Share~LO</t>
  </si>
  <si>
    <t>NCAP_START</t>
  </si>
  <si>
    <t>NCAP_ILED</t>
  </si>
  <si>
    <t>NCAP_TLIFE</t>
  </si>
  <si>
    <t>NCAP_AFA</t>
  </si>
  <si>
    <t>NCAP_DRATE</t>
  </si>
  <si>
    <t>NCAP_COST~2017</t>
  </si>
  <si>
    <t>NCAP_COST~2019</t>
  </si>
  <si>
    <t>NCAP_COST~2020</t>
  </si>
  <si>
    <t>NCAP_COST~2025</t>
  </si>
  <si>
    <t>NCAP_COST~2030</t>
  </si>
  <si>
    <t>NCAP_COST~2035</t>
  </si>
  <si>
    <t>NCAP_COST~2040</t>
  </si>
  <si>
    <t>NCAP_COST~2045</t>
  </si>
  <si>
    <t>NCAP_COST~2050</t>
  </si>
  <si>
    <t>NCAP_FOM~2017</t>
  </si>
  <si>
    <t>NCAP_FOM~2019</t>
  </si>
  <si>
    <t>NCAP_FOM~2020</t>
  </si>
  <si>
    <t>NCAP_FOM~2025</t>
  </si>
  <si>
    <t>NCAP_FOM~2030</t>
  </si>
  <si>
    <t>NCAP_FOM~2035</t>
  </si>
  <si>
    <t>NCAP_FOM~2040</t>
  </si>
  <si>
    <t>NCAP_FOM~2045</t>
  </si>
  <si>
    <t>NCAP_FOM~2050</t>
  </si>
  <si>
    <t>ACT_COST~2017</t>
  </si>
  <si>
    <t>ACT_COST~2019</t>
  </si>
  <si>
    <t>ACT_COST~2020</t>
  </si>
  <si>
    <t>ACT_COST~2025</t>
  </si>
  <si>
    <t>ACT_COST~2030</t>
  </si>
  <si>
    <t>ACT_COST~2035</t>
  </si>
  <si>
    <t>ACT_COST~2040</t>
  </si>
  <si>
    <t>ACT_COST~2045</t>
  </si>
  <si>
    <t>ACT_COST~2050</t>
  </si>
  <si>
    <t>EFF</t>
  </si>
  <si>
    <t>EFF~2017</t>
  </si>
  <si>
    <t>EFF~2019</t>
  </si>
  <si>
    <t>EFF~2020</t>
  </si>
  <si>
    <t>EFF~2025</t>
  </si>
  <si>
    <t>EFF~2030</t>
  </si>
  <si>
    <t>EFF~2035</t>
  </si>
  <si>
    <t>EFF~2040</t>
  </si>
  <si>
    <t>EFF~2045</t>
  </si>
  <si>
    <t>EFF~2050</t>
  </si>
  <si>
    <t>Cap2Act</t>
  </si>
  <si>
    <t>NCAP_AF~UP</t>
  </si>
  <si>
    <t>NCAP_AF~UP~WP</t>
  </si>
  <si>
    <t>NCAP_AF~UP~SP</t>
  </si>
  <si>
    <t>NCAP_AF~UP~IP</t>
  </si>
  <si>
    <t>*Production</t>
  </si>
  <si>
    <t>%</t>
  </si>
  <si>
    <t>$/kW</t>
  </si>
  <si>
    <t>$/kW/year</t>
  </si>
  <si>
    <t>$/GJreal</t>
  </si>
  <si>
    <t>H2.Hydrogen.Electrolysis.Alkaline.CEN.Small.</t>
  </si>
  <si>
    <t>ELC</t>
  </si>
  <si>
    <t>H2G</t>
  </si>
  <si>
    <t>H2.Hydrogen.Electrolysis.Alkaline.CEN.Medium.</t>
  </si>
  <si>
    <t>H2.Hydrogen.Electrolysis.Alkaline.CEN.Large.</t>
  </si>
  <si>
    <t>H2.Hydrogen.Electrolysis.Polymer electrolyte membrane.CEN.Small.</t>
  </si>
  <si>
    <t>H2.Hydrogen.Electrolysis.Polymer electrolyte membrane.CEN.Medium.</t>
  </si>
  <si>
    <t>H2.Hydrogen.Electrolysis.Polymer electrolyte membrane.CEN.Large.</t>
  </si>
  <si>
    <t>H2.Hydrogen.Electrolysis.Solid oxide electrolyzer cell.CEN.Standard.</t>
  </si>
  <si>
    <t>*NCAP_ILED</t>
  </si>
  <si>
    <t>STG_EFF</t>
  </si>
  <si>
    <t>STG_EFF~2017</t>
  </si>
  <si>
    <t>STG_EFF~2019</t>
  </si>
  <si>
    <t>STG_EFF~2020</t>
  </si>
  <si>
    <t>STG_EFF~2025</t>
  </si>
  <si>
    <t>STG_EFF~2030</t>
  </si>
  <si>
    <t>STG_EFF~2035</t>
  </si>
  <si>
    <t>STG_EFF~2040</t>
  </si>
  <si>
    <t>STG_EFF~2045</t>
  </si>
  <si>
    <t>STG_EFF~2050</t>
  </si>
  <si>
    <t>* Storage</t>
  </si>
  <si>
    <t>$/GJmax</t>
  </si>
  <si>
    <t>$/Gjmax /year</t>
  </si>
  <si>
    <t>SH2STOTANELC40</t>
  </si>
  <si>
    <t>H2.Hydrogen Storage.Storage Tank.ELC</t>
  </si>
  <si>
    <t>H2GSTG</t>
  </si>
  <si>
    <t>SH2STOCAVELC40</t>
  </si>
  <si>
    <t>H2.Hydrogen Storage.Salt Cavern.ELC</t>
  </si>
  <si>
    <t>SH2STOPIPELC40</t>
  </si>
  <si>
    <t>H2.Hydrogen Storage.Storage Pipe.ELC</t>
  </si>
  <si>
    <t>Comm-IN-A</t>
  </si>
  <si>
    <t>Input</t>
  </si>
  <si>
    <t>*Output</t>
  </si>
  <si>
    <t>*Hydrogen Transmission</t>
  </si>
  <si>
    <t>$/GJ</t>
  </si>
  <si>
    <t>H2.Hydrogen distribution.Pipeline Transmission.Large.New</t>
  </si>
  <si>
    <t>ELCH2G</t>
  </si>
  <si>
    <t>*Capacity~min</t>
  </si>
  <si>
    <t>*Capacity~max</t>
  </si>
  <si>
    <t>Peak</t>
  </si>
  <si>
    <t>NCAP_AFA~UP</t>
  </si>
  <si>
    <t>NCAP_AFA~LO</t>
  </si>
  <si>
    <t>NCAP_AFC~LO~WP</t>
  </si>
  <si>
    <t>NCAP_AFC~LO~SP</t>
  </si>
  <si>
    <t>NCAP_AFC~LO~IP</t>
  </si>
  <si>
    <t>* Consumption</t>
  </si>
  <si>
    <t>kW</t>
  </si>
  <si>
    <t>Year</t>
  </si>
  <si>
    <t>Years</t>
  </si>
  <si>
    <t>EHH2.Hydrogen.Fuel Cell.CEN.Small.New.</t>
  </si>
  <si>
    <t>EHH2.Hydrogen.Fuel Cell.CEN.Medium.New.</t>
  </si>
  <si>
    <t>EHH2.Hydrogen.Fuel Cell.CEN.Large.New.</t>
  </si>
  <si>
    <t>EHH2CTCSTD40</t>
  </si>
  <si>
    <t>EHH2.Hydrogen.Combustion turbine.CEN.Standard.New.</t>
  </si>
  <si>
    <t>CommOUT</t>
  </si>
  <si>
    <t>ACT_COST~2055</t>
  </si>
  <si>
    <t>ACT_BND~UP~2025</t>
  </si>
  <si>
    <t>ACT_BND~UP~2050</t>
  </si>
  <si>
    <t>*Hydrogen from high temp electrolysis</t>
  </si>
  <si>
    <t>MINH2GHTE</t>
  </si>
  <si>
    <t>MIN.Hydrogen from high temp electrolysis</t>
  </si>
  <si>
    <t>H2GHTE</t>
  </si>
  <si>
    <t>*Hydrogen from low temp electrolysis</t>
  </si>
  <si>
    <t>MINH2GLTE</t>
  </si>
  <si>
    <t>MIN.Hydrogen from low temp electrolysis</t>
  </si>
  <si>
    <t>H2GLTE</t>
  </si>
  <si>
    <t>*Hydrogen from steam methane reforming</t>
  </si>
  <si>
    <t>MINH2GSMR</t>
  </si>
  <si>
    <t>MIN.Hydrogen from steam methane reforming</t>
  </si>
  <si>
    <t>H2GSMR</t>
  </si>
  <si>
    <t>*Hydrogen from Biomass gasification</t>
  </si>
  <si>
    <t>MINH2GGAS</t>
  </si>
  <si>
    <t>MIN.Hydrogen from biomass gasification</t>
  </si>
  <si>
    <t>H2GGAS</t>
  </si>
  <si>
    <t>CommIN</t>
  </si>
  <si>
    <t>Collector: H2G from HTE</t>
  </si>
  <si>
    <t>TRNH2</t>
  </si>
  <si>
    <t>Collector: H2G from LTE</t>
  </si>
  <si>
    <t>Collector: H2G from SMR</t>
  </si>
  <si>
    <t>Collector: H2G from GAS</t>
  </si>
  <si>
    <t>Source: https://atb.nrel.gov/transportation/2020/hydrogen</t>
  </si>
  <si>
    <t>Fuel Name</t>
  </si>
  <si>
    <t>Hydrogen</t>
  </si>
  <si>
    <t>Fuel Pathway</t>
  </si>
  <si>
    <t>Steam Methane Reform Future High</t>
  </si>
  <si>
    <t>Biomass gasification</t>
  </si>
  <si>
    <t>Low temp electrolysis Future</t>
  </si>
  <si>
    <t>Hi temp electrolysis Future</t>
  </si>
  <si>
    <t>Steam Methane Reform</t>
  </si>
  <si>
    <t>Low temp electrolysis</t>
  </si>
  <si>
    <t>Hi temp electrolysis</t>
  </si>
  <si>
    <t>Byproduct (ChlorAlk High)</t>
  </si>
  <si>
    <t>Byproduct (Cracking High)</t>
  </si>
  <si>
    <t>Scenario</t>
  </si>
  <si>
    <t>Future Model, High Vol</t>
  </si>
  <si>
    <t>Current Model, Current Vol</t>
  </si>
  <si>
    <t>Current Model, High Vol</t>
  </si>
  <si>
    <t>Fuel Price ($/gge)</t>
  </si>
  <si>
    <t>Fixed Capital Investment ($)</t>
  </si>
  <si>
    <t>-</t>
  </si>
  <si>
    <t>Fixed Operating Cost ($/yr)</t>
  </si>
  <si>
    <t>Mature Industry Feedstock Production Cost ($/yr)</t>
  </si>
  <si>
    <t>Other (non-feedstock) Variable Operating Cost ($/yr)</t>
  </si>
  <si>
    <t>Throughput Capacity (MT/day)</t>
  </si>
  <si>
    <t>Total Product Yield (Gal/mmBtu)</t>
  </si>
  <si>
    <t>CO2e Emissions (Well to Tank) (g/mmBtu)</t>
  </si>
  <si>
    <t>NOX Emissions (Well to Tank) (g/mmBtu)</t>
  </si>
  <si>
    <t>SOX Emissions (Well to Tank) (g/mmBtu)</t>
  </si>
  <si>
    <t>PM Emissions (Well to Tank) (g/mmBtu)</t>
  </si>
  <si>
    <t>CO2e Emissions (Well to Wheels) (g/mmBtu)</t>
  </si>
  <si>
    <t>NOX Emissions (Well to Wheels) (g/mmBtu)</t>
  </si>
  <si>
    <t>SOX Emissions (Well to Wheels) (g/mmBtu)</t>
  </si>
  <si>
    <t>PM Emissions (Well to Wheels) (g/mmBtu)</t>
  </si>
  <si>
    <t>Fuel Price ($ 2010 /PJ)</t>
  </si>
  <si>
    <t>Fuel Price ($ 2010 /kg)</t>
  </si>
  <si>
    <t>CO2 (Mt/PJ)</t>
  </si>
  <si>
    <t>source: https://www.iea.org/data-and-statistics/charts/global-average-levelised-cost-of-hydrogen-production-by-energy-source-and-technology-2019-and-2050</t>
  </si>
  <si>
    <t>https://fred.stlouisfed.org/series/FPCPITOTLZGUSA</t>
  </si>
  <si>
    <t>n</t>
  </si>
  <si>
    <t>FPCPITOTLZGUSA</t>
  </si>
  <si>
    <t>Inflation</t>
  </si>
  <si>
    <t>Cumlated ref 2010</t>
  </si>
  <si>
    <t>gge to PJ</t>
  </si>
  <si>
    <t>HHV hydrogen (MJ/kg)</t>
  </si>
  <si>
    <t>mmbtu to pj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</si>
</sst>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\Te\x\t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0.000"/>
    <numFmt numFmtId="168" formatCode="m\o\n\th\ d\,\ yyyy"/>
    <numFmt numFmtId="169" formatCode="#.00"/>
    <numFmt numFmtId="170" formatCode="#."/>
    <numFmt numFmtId="171" formatCode="yyyy"/>
    <numFmt numFmtId="172" formatCode="0.0"/>
    <numFmt numFmtId="173" formatCode="0.0000"/>
    <numFmt numFmtId="174" formatCode="_(* #,##0_);_(* \(#,##0\);_(* &quot;-&quot;??_);_(@_)"/>
    <numFmt numFmtId="175" formatCode="_-* #,##0.000_-;\-* #,##0.000_-;_-* &quot;-&quot;??_-;_-@_-"/>
  </numFmts>
  <fonts count="4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u/>
      <sz val="10"/>
      <color theme="10"/>
      <name val="Arial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0"/>
      <color indexed="8"/>
      <name val="Arial"/>
      <family val="2"/>
    </font>
    <font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8"/>
      <name val="Calibri"/>
      <family val="2"/>
      <scheme val="minor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u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9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rgb="FF000000"/>
      </patternFill>
    </fill>
    <fill>
      <patternFill patternType="solid">
        <fgColor rgb="FFFFFF99"/>
        <bgColor rgb="FF000000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30">
    <xf numFmtId="0" fontId="0" fillId="0" borderId="0"/>
    <xf numFmtId="0" fontId="2" fillId="0" borderId="0"/>
    <xf numFmtId="0" fontId="2" fillId="0" borderId="0"/>
    <xf numFmtId="0" fontId="8" fillId="0" borderId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10" fillId="0" borderId="0">
      <protection locked="0"/>
    </xf>
    <xf numFmtId="169" fontId="10" fillId="0" borderId="0">
      <protection locked="0"/>
    </xf>
    <xf numFmtId="170" fontId="11" fillId="0" borderId="0">
      <protection locked="0"/>
    </xf>
    <xf numFmtId="170" fontId="11" fillId="0" borderId="0">
      <protection locked="0"/>
    </xf>
    <xf numFmtId="0" fontId="2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71" fontId="2" fillId="0" borderId="0" applyFill="0" applyBorder="0" applyAlignment="0" applyProtection="0">
      <alignment wrapText="1"/>
    </xf>
    <xf numFmtId="171" fontId="2" fillId="0" borderId="0" applyFill="0" applyBorder="0" applyAlignment="0" applyProtection="0">
      <alignment wrapText="1"/>
    </xf>
    <xf numFmtId="171" fontId="2" fillId="0" borderId="0" applyFill="0" applyBorder="0" applyAlignment="0" applyProtection="0">
      <alignment wrapText="1"/>
    </xf>
    <xf numFmtId="171" fontId="2" fillId="0" borderId="0" applyFill="0" applyBorder="0" applyAlignment="0" applyProtection="0">
      <alignment wrapText="1"/>
    </xf>
    <xf numFmtId="0" fontId="4" fillId="0" borderId="0" applyNumberFormat="0" applyFill="0" applyBorder="0">
      <alignment horizontal="center" wrapText="1"/>
    </xf>
    <xf numFmtId="0" fontId="4" fillId="0" borderId="0" applyNumberFormat="0" applyFill="0" applyBorder="0">
      <alignment horizontal="center" wrapText="1"/>
    </xf>
    <xf numFmtId="0" fontId="4" fillId="0" borderId="0" applyNumberFormat="0" applyFill="0" applyBorder="0">
      <alignment horizontal="center" wrapText="1"/>
    </xf>
    <xf numFmtId="0" fontId="4" fillId="0" borderId="0" applyNumberFormat="0" applyFill="0" applyBorder="0">
      <alignment horizontal="center" wrapText="1"/>
    </xf>
    <xf numFmtId="170" fontId="10" fillId="0" borderId="5">
      <protection locked="0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7" fillId="0" borderId="4" applyNumberFormat="0" applyProtection="0">
      <alignment wrapText="1"/>
    </xf>
    <xf numFmtId="0" fontId="1" fillId="0" borderId="6" applyNumberFormat="0" applyProtection="0">
      <alignment vertical="top"/>
    </xf>
    <xf numFmtId="0" fontId="7" fillId="0" borderId="7" applyNumberFormat="0" applyFill="0" applyProtection="0">
      <alignment wrapText="1"/>
    </xf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6" borderId="0" applyNumberFormat="0" applyBorder="0" applyAlignment="0" applyProtection="0"/>
    <xf numFmtId="0" fontId="17" fillId="8" borderId="0" applyNumberFormat="0" applyBorder="0" applyAlignment="0" applyProtection="0"/>
    <xf numFmtId="0" fontId="17" fillId="5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8" borderId="0" applyNumberFormat="0" applyBorder="0" applyAlignment="0" applyProtection="0"/>
    <xf numFmtId="0" fontId="17" fillId="6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0" borderId="0" applyNumberFormat="0" applyBorder="0" applyAlignment="0" applyProtection="0"/>
    <xf numFmtId="0" fontId="18" fillId="8" borderId="0" applyNumberFormat="0" applyBorder="0" applyAlignment="0" applyProtection="0"/>
    <xf numFmtId="0" fontId="18" fillId="5" borderId="0" applyNumberFormat="0" applyBorder="0" applyAlignment="0" applyProtection="0"/>
    <xf numFmtId="0" fontId="18" fillId="13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9" fillId="17" borderId="0" applyNumberFormat="0" applyBorder="0" applyAlignment="0" applyProtection="0"/>
    <xf numFmtId="0" fontId="20" fillId="18" borderId="8" applyNumberFormat="0" applyAlignment="0" applyProtection="0"/>
    <xf numFmtId="0" fontId="21" fillId="19" borderId="9" applyNumberFormat="0" applyAlignment="0" applyProtection="0"/>
    <xf numFmtId="0" fontId="22" fillId="0" borderId="0" applyNumberFormat="0" applyFill="0" applyBorder="0" applyAlignment="0" applyProtection="0"/>
    <xf numFmtId="0" fontId="23" fillId="8" borderId="0" applyNumberFormat="0" applyBorder="0" applyAlignment="0" applyProtection="0"/>
    <xf numFmtId="0" fontId="24" fillId="0" borderId="10" applyNumberFormat="0" applyFill="0" applyAlignment="0" applyProtection="0"/>
    <xf numFmtId="0" fontId="25" fillId="0" borderId="11" applyNumberFormat="0" applyFill="0" applyAlignment="0" applyProtection="0"/>
    <xf numFmtId="0" fontId="26" fillId="0" borderId="12" applyNumberFormat="0" applyFill="0" applyAlignment="0" applyProtection="0"/>
    <xf numFmtId="0" fontId="26" fillId="0" borderId="0" applyNumberFormat="0" applyFill="0" applyBorder="0" applyAlignment="0" applyProtection="0"/>
    <xf numFmtId="0" fontId="27" fillId="9" borderId="8" applyNumberFormat="0" applyAlignment="0" applyProtection="0"/>
    <xf numFmtId="0" fontId="14" fillId="0" borderId="13" applyNumberFormat="0" applyFill="0" applyAlignment="0" applyProtection="0"/>
    <xf numFmtId="0" fontId="28" fillId="9" borderId="0" applyNumberFormat="0" applyBorder="0" applyAlignment="0" applyProtection="0"/>
    <xf numFmtId="0" fontId="2" fillId="6" borderId="14" applyNumberFormat="0" applyFont="0" applyAlignment="0" applyProtection="0"/>
    <xf numFmtId="0" fontId="29" fillId="18" borderId="15" applyNumberFormat="0" applyAlignment="0" applyProtection="0"/>
    <xf numFmtId="0" fontId="30" fillId="0" borderId="0" applyNumberFormat="0" applyFill="0" applyBorder="0" applyAlignment="0" applyProtection="0"/>
    <xf numFmtId="0" fontId="13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6" borderId="0" applyNumberFormat="0" applyBorder="0" applyAlignment="0" applyProtection="0"/>
    <xf numFmtId="0" fontId="17" fillId="8" borderId="0" applyNumberFormat="0" applyBorder="0" applyAlignment="0" applyProtection="0"/>
    <xf numFmtId="0" fontId="17" fillId="5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8" borderId="0" applyNumberFormat="0" applyBorder="0" applyAlignment="0" applyProtection="0"/>
    <xf numFmtId="0" fontId="17" fillId="6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0" borderId="0" applyNumberFormat="0" applyBorder="0" applyAlignment="0" applyProtection="0"/>
    <xf numFmtId="0" fontId="18" fillId="8" borderId="0" applyNumberFormat="0" applyBorder="0" applyAlignment="0" applyProtection="0"/>
    <xf numFmtId="0" fontId="18" fillId="5" borderId="0" applyNumberFormat="0" applyBorder="0" applyAlignment="0" applyProtection="0"/>
    <xf numFmtId="0" fontId="18" fillId="13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9" fillId="17" borderId="0" applyNumberFormat="0" applyBorder="0" applyAlignment="0" applyProtection="0"/>
    <xf numFmtId="0" fontId="20" fillId="18" borderId="8" applyNumberFormat="0" applyAlignment="0" applyProtection="0"/>
    <xf numFmtId="0" fontId="21" fillId="19" borderId="9" applyNumberFormat="0" applyAlignment="0" applyProtection="0"/>
    <xf numFmtId="0" fontId="22" fillId="0" borderId="0" applyNumberFormat="0" applyFill="0" applyBorder="0" applyAlignment="0" applyProtection="0"/>
    <xf numFmtId="0" fontId="23" fillId="8" borderId="0" applyNumberFormat="0" applyBorder="0" applyAlignment="0" applyProtection="0"/>
    <xf numFmtId="0" fontId="24" fillId="0" borderId="10" applyNumberFormat="0" applyFill="0" applyAlignment="0" applyProtection="0"/>
    <xf numFmtId="0" fontId="25" fillId="0" borderId="11" applyNumberFormat="0" applyFill="0" applyAlignment="0" applyProtection="0"/>
    <xf numFmtId="0" fontId="26" fillId="0" borderId="12" applyNumberFormat="0" applyFill="0" applyAlignment="0" applyProtection="0"/>
    <xf numFmtId="0" fontId="26" fillId="0" borderId="0" applyNumberFormat="0" applyFill="0" applyBorder="0" applyAlignment="0" applyProtection="0"/>
    <xf numFmtId="0" fontId="27" fillId="9" borderId="8" applyNumberFormat="0" applyAlignment="0" applyProtection="0"/>
    <xf numFmtId="0" fontId="14" fillId="0" borderId="13" applyNumberFormat="0" applyFill="0" applyAlignment="0" applyProtection="0"/>
    <xf numFmtId="0" fontId="28" fillId="9" borderId="0" applyNumberFormat="0" applyBorder="0" applyAlignment="0" applyProtection="0"/>
    <xf numFmtId="0" fontId="2" fillId="6" borderId="14" applyNumberFormat="0" applyFont="0" applyAlignment="0" applyProtection="0"/>
    <xf numFmtId="0" fontId="29" fillId="18" borderId="15" applyNumberFormat="0" applyAlignment="0" applyProtection="0"/>
    <xf numFmtId="0" fontId="30" fillId="0" borderId="0" applyNumberFormat="0" applyFill="0" applyBorder="0" applyAlignment="0" applyProtection="0"/>
    <xf numFmtId="0" fontId="13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1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</cellStyleXfs>
  <cellXfs count="137">
    <xf numFmtId="0" fontId="0" fillId="0" borderId="0" xfId="0"/>
    <xf numFmtId="0" fontId="2" fillId="0" borderId="0" xfId="0" applyFont="1" applyAlignment="1">
      <alignment vertical="center"/>
    </xf>
    <xf numFmtId="0" fontId="2" fillId="0" borderId="0" xfId="2"/>
    <xf numFmtId="0" fontId="3" fillId="0" borderId="0" xfId="2" applyFont="1"/>
    <xf numFmtId="0" fontId="4" fillId="3" borderId="2" xfId="2" applyFont="1" applyFill="1" applyBorder="1"/>
    <xf numFmtId="0" fontId="2" fillId="2" borderId="3" xfId="2" applyFill="1" applyBorder="1" applyAlignment="1">
      <alignment horizontal="left" wrapText="1"/>
    </xf>
    <xf numFmtId="0" fontId="0" fillId="3" borderId="0" xfId="0" applyFill="1"/>
    <xf numFmtId="0" fontId="15" fillId="2" borderId="0" xfId="2" applyFont="1" applyFill="1" applyAlignment="1">
      <alignment vertical="center"/>
    </xf>
    <xf numFmtId="11" fontId="0" fillId="0" borderId="0" xfId="0" applyNumberFormat="1"/>
    <xf numFmtId="0" fontId="32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172" fontId="0" fillId="0" borderId="0" xfId="0" applyNumberFormat="1"/>
    <xf numFmtId="0" fontId="2" fillId="3" borderId="0" xfId="2" applyFill="1" applyAlignment="1">
      <alignment vertical="center"/>
    </xf>
    <xf numFmtId="0" fontId="2" fillId="2" borderId="0" xfId="2" applyFill="1" applyAlignment="1">
      <alignment vertical="center"/>
    </xf>
    <xf numFmtId="0" fontId="32" fillId="2" borderId="0" xfId="2" applyFont="1" applyFill="1" applyAlignment="1">
      <alignment vertical="center"/>
    </xf>
    <xf numFmtId="0" fontId="2" fillId="0" borderId="0" xfId="2" applyAlignment="1">
      <alignment vertical="center"/>
    </xf>
    <xf numFmtId="0" fontId="4" fillId="0" borderId="0" xfId="2" applyFont="1" applyAlignment="1">
      <alignment vertical="center"/>
    </xf>
    <xf numFmtId="3" fontId="0" fillId="0" borderId="0" xfId="0" applyNumberFormat="1"/>
    <xf numFmtId="167" fontId="0" fillId="0" borderId="0" xfId="0" applyNumberFormat="1"/>
    <xf numFmtId="2" fontId="0" fillId="0" borderId="0" xfId="0" applyNumberFormat="1"/>
    <xf numFmtId="2" fontId="0" fillId="0" borderId="0" xfId="38" applyNumberFormat="1" applyFont="1"/>
    <xf numFmtId="9" fontId="0" fillId="0" borderId="0" xfId="38" applyFont="1"/>
    <xf numFmtId="14" fontId="0" fillId="0" borderId="0" xfId="0" applyNumberFormat="1"/>
    <xf numFmtId="0" fontId="4" fillId="2" borderId="0" xfId="2" applyFont="1" applyFill="1" applyAlignment="1">
      <alignment vertical="center"/>
    </xf>
    <xf numFmtId="0" fontId="16" fillId="0" borderId="0" xfId="2" applyFont="1"/>
    <xf numFmtId="164" fontId="3" fillId="0" borderId="0" xfId="2" applyNumberFormat="1" applyFont="1"/>
    <xf numFmtId="164" fontId="4" fillId="2" borderId="1" xfId="2" applyNumberFormat="1" applyFont="1" applyFill="1" applyBorder="1" applyAlignment="1">
      <alignment horizontal="left"/>
    </xf>
    <xf numFmtId="0" fontId="2" fillId="3" borderId="0" xfId="2" applyFill="1"/>
    <xf numFmtId="0" fontId="2" fillId="2" borderId="0" xfId="2" applyFill="1"/>
    <xf numFmtId="0" fontId="3" fillId="0" borderId="0" xfId="2" applyFont="1" applyAlignment="1">
      <alignment horizontal="left"/>
    </xf>
    <xf numFmtId="0" fontId="4" fillId="2" borderId="0" xfId="2" applyFont="1" applyFill="1"/>
    <xf numFmtId="0" fontId="16" fillId="3" borderId="0" xfId="2" applyFont="1" applyFill="1"/>
    <xf numFmtId="2" fontId="2" fillId="3" borderId="0" xfId="122" applyNumberFormat="1" applyFill="1" applyAlignment="1">
      <alignment horizontal="right"/>
    </xf>
    <xf numFmtId="4" fontId="2" fillId="3" borderId="0" xfId="2" applyNumberFormat="1" applyFill="1"/>
    <xf numFmtId="0" fontId="33" fillId="0" borderId="0" xfId="0" applyFont="1"/>
    <xf numFmtId="0" fontId="34" fillId="0" borderId="0" xfId="0" applyFont="1"/>
    <xf numFmtId="0" fontId="33" fillId="0" borderId="0" xfId="0" applyFont="1" applyAlignment="1">
      <alignment horizontal="center"/>
    </xf>
    <xf numFmtId="0" fontId="35" fillId="0" borderId="0" xfId="0" applyFont="1"/>
    <xf numFmtId="0" fontId="33" fillId="3" borderId="1" xfId="0" applyFont="1" applyFill="1" applyBorder="1" applyAlignment="1">
      <alignment horizontal="center" vertical="center" wrapText="1"/>
    </xf>
    <xf numFmtId="2" fontId="33" fillId="3" borderId="1" xfId="123" applyNumberFormat="1" applyFont="1" applyFill="1" applyBorder="1" applyAlignment="1">
      <alignment horizontal="center" vertical="center" wrapText="1"/>
    </xf>
    <xf numFmtId="0" fontId="33" fillId="3" borderId="17" xfId="0" applyFont="1" applyFill="1" applyBorder="1" applyAlignment="1">
      <alignment horizontal="center" vertical="center" wrapText="1"/>
    </xf>
    <xf numFmtId="0" fontId="33" fillId="3" borderId="18" xfId="37" applyFont="1" applyFill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2" fontId="36" fillId="2" borderId="19" xfId="123" applyNumberFormat="1" applyFont="1" applyFill="1" applyBorder="1" applyAlignment="1">
      <alignment horizontal="left"/>
    </xf>
    <xf numFmtId="2" fontId="33" fillId="2" borderId="19" xfId="123" applyNumberFormat="1" applyFont="1" applyFill="1" applyBorder="1" applyAlignment="1">
      <alignment horizontal="left"/>
    </xf>
    <xf numFmtId="2" fontId="1" fillId="2" borderId="19" xfId="123" applyNumberFormat="1" applyFont="1" applyFill="1" applyBorder="1" applyAlignment="1">
      <alignment horizontal="left"/>
    </xf>
    <xf numFmtId="2" fontId="33" fillId="2" borderId="19" xfId="123" applyNumberFormat="1" applyFont="1" applyFill="1" applyBorder="1" applyAlignment="1">
      <alignment horizontal="center"/>
    </xf>
    <xf numFmtId="2" fontId="33" fillId="2" borderId="19" xfId="123" applyNumberFormat="1" applyFont="1" applyFill="1" applyBorder="1" applyAlignment="1">
      <alignment horizontal="center" vertical="center"/>
    </xf>
    <xf numFmtId="2" fontId="33" fillId="2" borderId="20" xfId="123" applyNumberFormat="1" applyFont="1" applyFill="1" applyBorder="1" applyAlignment="1">
      <alignment horizontal="center" vertical="center"/>
    </xf>
    <xf numFmtId="2" fontId="33" fillId="2" borderId="21" xfId="123" applyNumberFormat="1" applyFont="1" applyFill="1" applyBorder="1" applyAlignment="1">
      <alignment horizontal="center" vertical="center"/>
    </xf>
    <xf numFmtId="2" fontId="33" fillId="2" borderId="22" xfId="123" applyNumberFormat="1" applyFont="1" applyFill="1" applyBorder="1" applyAlignment="1">
      <alignment horizontal="center"/>
    </xf>
    <xf numFmtId="2" fontId="35" fillId="0" borderId="0" xfId="0" applyNumberFormat="1" applyFont="1"/>
    <xf numFmtId="0" fontId="33" fillId="20" borderId="0" xfId="0" applyFont="1" applyFill="1"/>
    <xf numFmtId="0" fontId="33" fillId="3" borderId="0" xfId="0" applyFont="1" applyFill="1"/>
    <xf numFmtId="9" fontId="33" fillId="3" borderId="0" xfId="17" applyFont="1" applyFill="1" applyBorder="1" applyAlignment="1">
      <alignment horizontal="center"/>
    </xf>
    <xf numFmtId="1" fontId="33" fillId="3" borderId="0" xfId="0" applyNumberFormat="1" applyFont="1" applyFill="1" applyAlignment="1">
      <alignment horizontal="center"/>
    </xf>
    <xf numFmtId="2" fontId="33" fillId="3" borderId="0" xfId="0" applyNumberFormat="1" applyFont="1" applyFill="1" applyAlignment="1">
      <alignment horizontal="center"/>
    </xf>
    <xf numFmtId="173" fontId="33" fillId="3" borderId="0" xfId="0" applyNumberFormat="1" applyFont="1" applyFill="1" applyAlignment="1">
      <alignment horizontal="center"/>
    </xf>
    <xf numFmtId="173" fontId="33" fillId="3" borderId="23" xfId="0" applyNumberFormat="1" applyFont="1" applyFill="1" applyBorder="1" applyAlignment="1">
      <alignment horizontal="center"/>
    </xf>
    <xf numFmtId="9" fontId="33" fillId="3" borderId="24" xfId="17" applyFont="1" applyFill="1" applyBorder="1" applyAlignment="1">
      <alignment horizontal="center"/>
    </xf>
    <xf numFmtId="0" fontId="33" fillId="3" borderId="25" xfId="0" applyFont="1" applyFill="1" applyBorder="1" applyAlignment="1">
      <alignment horizontal="center"/>
    </xf>
    <xf numFmtId="2" fontId="33" fillId="20" borderId="0" xfId="0" applyNumberFormat="1" applyFont="1" applyFill="1"/>
    <xf numFmtId="0" fontId="2" fillId="0" borderId="0" xfId="0" applyFont="1"/>
    <xf numFmtId="164" fontId="4" fillId="3" borderId="0" xfId="124" applyNumberFormat="1" applyFont="1" applyFill="1"/>
    <xf numFmtId="0" fontId="2" fillId="3" borderId="0" xfId="0" applyFont="1" applyFill="1"/>
    <xf numFmtId="164" fontId="2" fillId="3" borderId="0" xfId="0" applyNumberFormat="1" applyFont="1" applyFill="1"/>
    <xf numFmtId="164" fontId="2" fillId="3" borderId="0" xfId="0" applyNumberFormat="1" applyFont="1" applyFill="1" applyAlignment="1">
      <alignment horizontal="center"/>
    </xf>
    <xf numFmtId="0" fontId="2" fillId="0" borderId="0" xfId="37"/>
    <xf numFmtId="0" fontId="39" fillId="0" borderId="0" xfId="125" applyFont="1"/>
    <xf numFmtId="0" fontId="1" fillId="0" borderId="0" xfId="125"/>
    <xf numFmtId="0" fontId="33" fillId="0" borderId="0" xfId="125" applyFont="1"/>
    <xf numFmtId="0" fontId="3" fillId="0" borderId="0" xfId="0" applyFont="1"/>
    <xf numFmtId="2" fontId="0" fillId="0" borderId="0" xfId="0" applyNumberFormat="1" applyAlignment="1">
      <alignment horizontal="right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2" fontId="2" fillId="3" borderId="1" xfId="123" applyNumberFormat="1" applyFill="1" applyBorder="1" applyAlignment="1">
      <alignment horizontal="center" vertical="center" wrapText="1"/>
    </xf>
    <xf numFmtId="0" fontId="2" fillId="3" borderId="2" xfId="37" applyFill="1" applyBorder="1" applyAlignment="1">
      <alignment horizontal="center" vertical="center"/>
    </xf>
    <xf numFmtId="2" fontId="4" fillId="2" borderId="19" xfId="0" quotePrefix="1" applyNumberFormat="1" applyFont="1" applyFill="1" applyBorder="1"/>
    <xf numFmtId="0" fontId="2" fillId="21" borderId="19" xfId="0" applyFont="1" applyFill="1" applyBorder="1" applyAlignment="1">
      <alignment horizontal="left" vertical="center" wrapText="1"/>
    </xf>
    <xf numFmtId="2" fontId="2" fillId="2" borderId="19" xfId="123" applyNumberFormat="1" applyFill="1" applyBorder="1" applyAlignment="1">
      <alignment horizontal="left" wrapText="1"/>
    </xf>
    <xf numFmtId="2" fontId="2" fillId="2" borderId="19" xfId="123" applyNumberFormat="1" applyFill="1" applyBorder="1" applyAlignment="1">
      <alignment horizontal="center" vertical="center" wrapText="1"/>
    </xf>
    <xf numFmtId="2" fontId="2" fillId="3" borderId="0" xfId="0" applyNumberFormat="1" applyFont="1" applyFill="1" applyAlignment="1">
      <alignment horizontal="left"/>
    </xf>
    <xf numFmtId="0" fontId="2" fillId="22" borderId="0" xfId="0" applyFont="1" applyFill="1"/>
    <xf numFmtId="9" fontId="40" fillId="22" borderId="0" xfId="36" applyFont="1" applyFill="1"/>
    <xf numFmtId="1" fontId="2" fillId="22" borderId="0" xfId="0" applyNumberFormat="1" applyFont="1" applyFill="1"/>
    <xf numFmtId="174" fontId="40" fillId="22" borderId="0" xfId="126" applyNumberFormat="1" applyFont="1" applyFill="1"/>
    <xf numFmtId="9" fontId="2" fillId="22" borderId="0" xfId="36" applyFont="1" applyFill="1"/>
    <xf numFmtId="175" fontId="2" fillId="3" borderId="0" xfId="5" applyNumberFormat="1" applyFont="1" applyFill="1" applyBorder="1"/>
    <xf numFmtId="0" fontId="2" fillId="3" borderId="26" xfId="0" applyFont="1" applyFill="1" applyBorder="1"/>
    <xf numFmtId="2" fontId="2" fillId="3" borderId="26" xfId="0" applyNumberFormat="1" applyFont="1" applyFill="1" applyBorder="1" applyAlignment="1">
      <alignment horizontal="left"/>
    </xf>
    <xf numFmtId="0" fontId="2" fillId="22" borderId="26" xfId="0" applyFont="1" applyFill="1" applyBorder="1"/>
    <xf numFmtId="1" fontId="2" fillId="22" borderId="26" xfId="0" applyNumberFormat="1" applyFont="1" applyFill="1" applyBorder="1"/>
    <xf numFmtId="174" fontId="40" fillId="22" borderId="26" xfId="126" applyNumberFormat="1" applyFont="1" applyFill="1" applyBorder="1"/>
    <xf numFmtId="9" fontId="2" fillId="22" borderId="26" xfId="36" applyFont="1" applyFill="1" applyBorder="1"/>
    <xf numFmtId="175" fontId="2" fillId="3" borderId="26" xfId="5" applyNumberFormat="1" applyFont="1" applyFill="1" applyBorder="1"/>
    <xf numFmtId="2" fontId="2" fillId="22" borderId="26" xfId="0" applyNumberFormat="1" applyFont="1" applyFill="1" applyBorder="1"/>
    <xf numFmtId="174" fontId="2" fillId="22" borderId="26" xfId="126" applyNumberFormat="1" applyFont="1" applyFill="1" applyBorder="1"/>
    <xf numFmtId="164" fontId="2" fillId="3" borderId="0" xfId="124" applyNumberFormat="1" applyFill="1"/>
    <xf numFmtId="0" fontId="42" fillId="0" borderId="0" xfId="0" applyFont="1"/>
    <xf numFmtId="0" fontId="33" fillId="23" borderId="1" xfId="0" applyFont="1" applyFill="1" applyBorder="1" applyAlignment="1">
      <alignment horizontal="center" vertical="center" wrapText="1"/>
    </xf>
    <xf numFmtId="0" fontId="33" fillId="23" borderId="1" xfId="0" applyFont="1" applyFill="1" applyBorder="1" applyAlignment="1">
      <alignment horizontal="left" vertical="center" wrapText="1"/>
    </xf>
    <xf numFmtId="2" fontId="33" fillId="23" borderId="1" xfId="123" applyNumberFormat="1" applyFont="1" applyFill="1" applyBorder="1" applyAlignment="1">
      <alignment horizontal="center" vertical="center" wrapText="1"/>
    </xf>
    <xf numFmtId="0" fontId="33" fillId="23" borderId="17" xfId="0" applyFont="1" applyFill="1" applyBorder="1" applyAlignment="1">
      <alignment horizontal="center" vertical="center" wrapText="1"/>
    </xf>
    <xf numFmtId="2" fontId="43" fillId="24" borderId="19" xfId="0" quotePrefix="1" applyNumberFormat="1" applyFont="1" applyFill="1" applyBorder="1"/>
    <xf numFmtId="0" fontId="33" fillId="24" borderId="19" xfId="0" applyFont="1" applyFill="1" applyBorder="1" applyAlignment="1">
      <alignment horizontal="left" vertical="center" wrapText="1"/>
    </xf>
    <xf numFmtId="2" fontId="33" fillId="24" borderId="19" xfId="123" applyNumberFormat="1" applyFont="1" applyFill="1" applyBorder="1" applyAlignment="1">
      <alignment horizontal="center" wrapText="1"/>
    </xf>
    <xf numFmtId="2" fontId="33" fillId="24" borderId="19" xfId="123" applyNumberFormat="1" applyFont="1" applyFill="1" applyBorder="1" applyAlignment="1">
      <alignment horizontal="center" vertical="center" wrapText="1"/>
    </xf>
    <xf numFmtId="2" fontId="33" fillId="24" borderId="21" xfId="123" applyNumberFormat="1" applyFont="1" applyFill="1" applyBorder="1" applyAlignment="1">
      <alignment horizontal="center" vertical="center" wrapText="1"/>
    </xf>
    <xf numFmtId="9" fontId="33" fillId="23" borderId="0" xfId="127" applyNumberFormat="1" applyFont="1" applyFill="1" applyAlignment="1">
      <alignment horizontal="center"/>
    </xf>
    <xf numFmtId="1" fontId="33" fillId="23" borderId="0" xfId="0" applyNumberFormat="1" applyFont="1" applyFill="1" applyAlignment="1">
      <alignment horizontal="center"/>
    </xf>
    <xf numFmtId="9" fontId="33" fillId="23" borderId="0" xfId="17" applyFont="1" applyFill="1" applyAlignment="1">
      <alignment horizontal="center"/>
    </xf>
    <xf numFmtId="43" fontId="33" fillId="23" borderId="0" xfId="126" applyFont="1" applyFill="1" applyBorder="1" applyAlignment="1">
      <alignment horizontal="center"/>
    </xf>
    <xf numFmtId="9" fontId="33" fillId="23" borderId="24" xfId="17" applyFont="1" applyFill="1" applyBorder="1" applyAlignment="1">
      <alignment horizontal="center"/>
    </xf>
    <xf numFmtId="9" fontId="33" fillId="23" borderId="0" xfId="17" applyFont="1" applyFill="1" applyBorder="1" applyAlignment="1">
      <alignment horizontal="center"/>
    </xf>
    <xf numFmtId="2" fontId="33" fillId="23" borderId="0" xfId="0" applyNumberFormat="1" applyFont="1" applyFill="1" applyAlignment="1">
      <alignment horizontal="center"/>
    </xf>
    <xf numFmtId="0" fontId="33" fillId="23" borderId="0" xfId="0" applyFont="1" applyFill="1"/>
    <xf numFmtId="2" fontId="33" fillId="23" borderId="0" xfId="0" applyNumberFormat="1" applyFont="1" applyFill="1" applyAlignment="1">
      <alignment horizontal="left"/>
    </xf>
    <xf numFmtId="0" fontId="41" fillId="0" borderId="0" xfId="0" applyFont="1"/>
    <xf numFmtId="0" fontId="41" fillId="23" borderId="0" xfId="0" applyFont="1" applyFill="1"/>
    <xf numFmtId="2" fontId="41" fillId="23" borderId="0" xfId="0" applyNumberFormat="1" applyFont="1" applyFill="1" applyAlignment="1">
      <alignment horizontal="left"/>
    </xf>
    <xf numFmtId="9" fontId="41" fillId="23" borderId="0" xfId="127" applyNumberFormat="1" applyFont="1" applyFill="1" applyAlignment="1">
      <alignment horizontal="center"/>
    </xf>
    <xf numFmtId="0" fontId="45" fillId="0" borderId="0" xfId="0" applyFont="1"/>
    <xf numFmtId="0" fontId="45" fillId="0" borderId="0" xfId="0" applyFont="1" applyAlignment="1">
      <alignment horizontal="center" vertical="center"/>
    </xf>
    <xf numFmtId="2" fontId="44" fillId="23" borderId="0" xfId="0" applyNumberFormat="1" applyFont="1" applyFill="1" applyAlignment="1">
      <alignment horizontal="left"/>
    </xf>
    <xf numFmtId="43" fontId="0" fillId="0" borderId="0" xfId="0" applyNumberFormat="1"/>
    <xf numFmtId="164" fontId="46" fillId="3" borderId="0" xfId="0" applyNumberFormat="1" applyFont="1" applyFill="1"/>
    <xf numFmtId="172" fontId="2" fillId="22" borderId="0" xfId="0" applyNumberFormat="1" applyFont="1" applyFill="1"/>
    <xf numFmtId="172" fontId="2" fillId="22" borderId="26" xfId="0" applyNumberFormat="1" applyFont="1" applyFill="1" applyBorder="1"/>
    <xf numFmtId="9" fontId="2" fillId="3" borderId="0" xfId="38" applyFont="1" applyFill="1" applyBorder="1"/>
    <xf numFmtId="172" fontId="2" fillId="22" borderId="2" xfId="0" applyNumberFormat="1" applyFont="1" applyFill="1" applyBorder="1"/>
    <xf numFmtId="2" fontId="2" fillId="3" borderId="0" xfId="2" applyNumberFormat="1" applyFill="1" applyAlignment="1">
      <alignment vertical="center"/>
    </xf>
    <xf numFmtId="0" fontId="41" fillId="0" borderId="0" xfId="0" applyFont="1" applyAlignment="1">
      <alignment horizontal="center"/>
    </xf>
    <xf numFmtId="0" fontId="2" fillId="3" borderId="1" xfId="0" applyFont="1" applyFill="1" applyBorder="1" applyAlignment="1">
      <alignment vertical="center" wrapText="1"/>
    </xf>
    <xf numFmtId="0" fontId="41" fillId="3" borderId="0" xfId="0" applyFont="1" applyFill="1" applyAlignment="1">
      <alignment horizontal="center"/>
    </xf>
    <xf numFmtId="9" fontId="33" fillId="3" borderId="0" xfId="17" applyFont="1" applyFill="1" applyAlignment="1">
      <alignment horizontal="center"/>
    </xf>
    <xf numFmtId="0" fontId="41" fillId="3" borderId="0" xfId="0" applyFont="1" applyFill="1"/>
    <xf numFmtId="9" fontId="33" fillId="23" borderId="0" xfId="38" applyFont="1" applyFill="1" applyBorder="1" applyAlignment="1">
      <alignment horizontal="center"/>
    </xf>
  </cellXfs>
  <cellStyles count="130">
    <cellStyle name="20% - Accent1 2" xfId="80" xr:uid="{1A388A53-7C66-4FB2-A326-B520131418E0}"/>
    <cellStyle name="20% - Accent1 3" xfId="39" xr:uid="{F606F5F7-D47D-4125-B99B-BA6A4A92E8D2}"/>
    <cellStyle name="20% - Accent2 2" xfId="81" xr:uid="{0A02E9BA-C008-4676-9A6E-DA77A207C573}"/>
    <cellStyle name="20% - Accent2 3" xfId="40" xr:uid="{D8727630-DF4E-4983-B5A9-CCEEB7B52834}"/>
    <cellStyle name="20% - Accent3 2" xfId="82" xr:uid="{0AF30832-59E6-4926-95C6-3B125BBB39FD}"/>
    <cellStyle name="20% - Accent3 3" xfId="41" xr:uid="{9554B40C-7029-4CD7-808C-8D1A4BDF1A13}"/>
    <cellStyle name="20% - Accent4 2" xfId="83" xr:uid="{88C2182C-867D-40F4-8FBB-A918325A5510}"/>
    <cellStyle name="20% - Accent4 3" xfId="42" xr:uid="{16FF56A7-442F-4D93-9580-5C8F26E0EC7A}"/>
    <cellStyle name="20% - Accent5 2" xfId="84" xr:uid="{383BE3C0-41AB-4660-9545-FFC6B22281CC}"/>
    <cellStyle name="20% - Accent5 3" xfId="43" xr:uid="{B6A44182-2CC2-45B5-9E3A-6B8C370BFAA1}"/>
    <cellStyle name="20% - Accent6 2" xfId="85" xr:uid="{6655B3D8-DAD1-4407-BA4E-5A99BB627715}"/>
    <cellStyle name="20% - Accent6 3" xfId="44" xr:uid="{BB4CB4AC-64B7-4C3A-B81B-79E22D1F524C}"/>
    <cellStyle name="40% - Accent1 2" xfId="86" xr:uid="{FC7FB532-59CD-45AE-9DAC-62EFBE7A5207}"/>
    <cellStyle name="40% - Accent1 3" xfId="45" xr:uid="{BEFEF8F3-00B6-4F3C-A315-48616340E291}"/>
    <cellStyle name="40% - Accent2 2" xfId="87" xr:uid="{1EE7D2C3-618F-43DC-905B-0E393F6FD44A}"/>
    <cellStyle name="40% - Accent2 3" xfId="46" xr:uid="{2805CE0A-966E-4C8C-B210-47CA60CF9899}"/>
    <cellStyle name="40% - Accent3 2" xfId="88" xr:uid="{4CEF550A-C5F3-4B32-8F57-40C46304218C}"/>
    <cellStyle name="40% - Accent3 3" xfId="47" xr:uid="{8F72B29A-7400-42B0-B5C4-40A7A1EB72C9}"/>
    <cellStyle name="40% - Accent4 2" xfId="89" xr:uid="{322E0C67-DA9D-406C-9C23-65C3033DBAEE}"/>
    <cellStyle name="40% - Accent4 3" xfId="48" xr:uid="{B479E1A0-52D2-4CDC-9973-DE725CA522D1}"/>
    <cellStyle name="40% - Accent5 2" xfId="90" xr:uid="{FA5FF9D2-931C-45FA-BF3A-85A42EA04A4E}"/>
    <cellStyle name="40% - Accent5 3" xfId="49" xr:uid="{5863AC92-0CFF-4A41-9B52-334C5DEC5D1D}"/>
    <cellStyle name="40% - Accent6 2" xfId="91" xr:uid="{4BD9C9F6-8801-436A-93DB-AC20691F14DC}"/>
    <cellStyle name="40% - Accent6 3" xfId="50" xr:uid="{5EB62EAB-4BF1-4016-938E-9D1521BEA7F9}"/>
    <cellStyle name="60% - Accent1 2" xfId="92" xr:uid="{9A8FD5B8-D859-4394-82F3-7BE49189FD5F}"/>
    <cellStyle name="60% - Accent1 3" xfId="51" xr:uid="{5DA7F0F7-62A4-4D00-82F9-ECF2D3486F21}"/>
    <cellStyle name="60% - Accent2 2" xfId="93" xr:uid="{B9BF47D6-7B25-4848-A83D-5492AB3B7816}"/>
    <cellStyle name="60% - Accent2 3" xfId="52" xr:uid="{E85667FC-C7B7-4523-9ACC-DA4A5194647D}"/>
    <cellStyle name="60% - Accent3 2" xfId="94" xr:uid="{D41C7291-975A-44CA-B9B0-B9A04BAE51C1}"/>
    <cellStyle name="60% - Accent3 3" xfId="53" xr:uid="{0297830E-DC25-46BB-B87D-2CF8D8722FE9}"/>
    <cellStyle name="60% - Accent4 2" xfId="95" xr:uid="{62AE67C4-4720-43C4-AE86-A107ED98C822}"/>
    <cellStyle name="60% - Accent4 3" xfId="54" xr:uid="{DCA66D43-01D4-48F3-863B-47396CDA30CC}"/>
    <cellStyle name="60% - Accent5 2" xfId="96" xr:uid="{6417217F-F0F6-4DEE-8334-D8274C6F53EA}"/>
    <cellStyle name="60% - Accent5 3" xfId="55" xr:uid="{4634AF76-6BE8-4C17-B386-5E367E62DDB6}"/>
    <cellStyle name="60% - Accent6 2" xfId="97" xr:uid="{3F741EE8-CE1A-4191-A72F-03AC5ECA01BE}"/>
    <cellStyle name="60% - Accent6 3" xfId="56" xr:uid="{37F0BC30-952C-4BD2-8C10-7962949E8C4B}"/>
    <cellStyle name="Accent1 2" xfId="98" xr:uid="{FEB05827-9772-46F6-80EC-F94ACBB3A99F}"/>
    <cellStyle name="Accent1 3" xfId="57" xr:uid="{352171E7-ADC1-4B06-ADA9-E8AF14995B26}"/>
    <cellStyle name="Accent2 2" xfId="99" xr:uid="{A7D07D5E-20E4-4934-B105-6E9EA54301E4}"/>
    <cellStyle name="Accent2 3" xfId="58" xr:uid="{F5D536EA-2B33-4393-9929-0D3D70AFF70B}"/>
    <cellStyle name="Accent3 2" xfId="100" xr:uid="{A3DC88D0-EC2C-4F33-A3EA-A73F48F6C228}"/>
    <cellStyle name="Accent3 3" xfId="59" xr:uid="{9BDC4F94-DEF6-43F4-B13A-DC72FB781048}"/>
    <cellStyle name="Accent4 2" xfId="101" xr:uid="{0B453613-DFAE-4134-A45F-F01D05DF856E}"/>
    <cellStyle name="Accent4 3" xfId="60" xr:uid="{6441F356-C990-4A4B-801F-31991C05C10E}"/>
    <cellStyle name="Accent5 2" xfId="102" xr:uid="{D1929678-45DA-4D66-A0BE-1D9D85D84FAD}"/>
    <cellStyle name="Accent5 3" xfId="61" xr:uid="{7B18D38A-7209-4A62-BF6E-5B1E0FB30085}"/>
    <cellStyle name="Accent6 2" xfId="103" xr:uid="{BB711A6F-71CA-4EF3-B756-958ACB3CEC9E}"/>
    <cellStyle name="Accent6 3" xfId="62" xr:uid="{882E61C6-1534-4408-A7E3-C16ACF6396F4}"/>
    <cellStyle name="Bad 2" xfId="104" xr:uid="{C1DE47E5-063A-4E96-BA94-979019105799}"/>
    <cellStyle name="Bad 3" xfId="63" xr:uid="{9D0A7726-7B49-4863-AD78-103E7518F61E}"/>
    <cellStyle name="Calculation 2" xfId="105" xr:uid="{AD06EE19-5813-462B-B76D-F7B060274036}"/>
    <cellStyle name="Calculation 3" xfId="64" xr:uid="{EAC3586B-0C74-4DC2-BE9A-25113E180276}"/>
    <cellStyle name="Check Cell 2" xfId="106" xr:uid="{602E3D69-3C14-44C8-839D-0337E2156561}"/>
    <cellStyle name="Check Cell 3" xfId="65" xr:uid="{2AFC54C3-1DCF-48BB-BD11-8B64ED24FC36}"/>
    <cellStyle name="Comma 10 2" xfId="126" xr:uid="{F2FF6E38-0C28-4B4B-A8D5-394E2F36A11C}"/>
    <cellStyle name="Comma 2" xfId="4" xr:uid="{2921C898-0443-4F10-9193-F7573C8F6472}"/>
    <cellStyle name="Comma 2 4" xfId="30" xr:uid="{8671C477-3CBE-4FFE-A4B7-D8376D4AD95F}"/>
    <cellStyle name="Comma 3" xfId="5" xr:uid="{7F54734B-1217-4D49-8C3A-FBD9524E30C1}"/>
    <cellStyle name="Comma 4" xfId="6" xr:uid="{BFAABA7F-FAF0-4C4F-9C9A-636CE9E5883F}"/>
    <cellStyle name="Comma 4 2" xfId="7" xr:uid="{59931183-69F5-40F9-BB75-18FDA26BBD84}"/>
    <cellStyle name="Comma 5" xfId="31" xr:uid="{C32816F8-976A-4389-8504-D89740D4F221}"/>
    <cellStyle name="Currency 2" xfId="8" xr:uid="{5833275F-CC62-4252-9722-4B0C521BC354}"/>
    <cellStyle name="Currency 3" xfId="9" xr:uid="{3880AE0D-95B1-401C-9894-F85A7D4D6D0D}"/>
    <cellStyle name="Date" xfId="10" xr:uid="{8B24E043-FD77-4D53-B65C-95298D183C3D}"/>
    <cellStyle name="Explanatory Text 2" xfId="107" xr:uid="{34B055E5-CBB1-43F1-82F4-FB6B50099652}"/>
    <cellStyle name="Explanatory Text 3" xfId="66" xr:uid="{6C95F768-58F9-4608-8B27-A8FEED263F97}"/>
    <cellStyle name="Fixed" xfId="11" xr:uid="{7EF817CB-1698-46A4-ACB3-CD1AC23D1FB3}"/>
    <cellStyle name="Good 2" xfId="108" xr:uid="{5713F6BA-3A16-4D4B-ACEC-9CEC0564EF7F}"/>
    <cellStyle name="Good 3" xfId="67" xr:uid="{AFB44BA9-C1B3-4758-9936-C37C607F68AB}"/>
    <cellStyle name="header-top" xfId="34" xr:uid="{8DA1C9C6-FA5E-48CA-9470-9BC148541E6D}"/>
    <cellStyle name="Heading 1 2" xfId="109" xr:uid="{A1058253-0461-4D82-AFCF-45434F693C7D}"/>
    <cellStyle name="Heading 1 3" xfId="68" xr:uid="{810031B9-45E8-4F6A-B838-92EFA18F3926}"/>
    <cellStyle name="Heading 2 2" xfId="110" xr:uid="{56AE036B-E6FE-48C6-8EB2-07B2FEE1DBB3}"/>
    <cellStyle name="Heading 2 3" xfId="69" xr:uid="{38AB0DEC-A627-49F5-87F2-904155BDB53C}"/>
    <cellStyle name="Heading 3 2" xfId="111" xr:uid="{C8BF48F1-45D9-41D3-969F-CD967357A19B}"/>
    <cellStyle name="Heading 3 3" xfId="70" xr:uid="{1787CA01-3FF3-4548-8B56-238C3CF85A2E}"/>
    <cellStyle name="Heading 4 2" xfId="112" xr:uid="{68F7517C-0B76-4866-8170-D56F6F03D552}"/>
    <cellStyle name="Heading 4 3" xfId="71" xr:uid="{E8010E51-F579-4426-A059-C6AC4E36E134}"/>
    <cellStyle name="Heading1" xfId="12" xr:uid="{12C3F09F-B1CA-4DEA-8BD6-24DDA84F3A0C}"/>
    <cellStyle name="Heading2" xfId="13" xr:uid="{0461C610-771B-4824-924C-DD484EEF4E6B}"/>
    <cellStyle name="Hyperlink 2" xfId="121" xr:uid="{4E0B0CB7-5497-4BFE-ABD7-5EC1621E375B}"/>
    <cellStyle name="Input 2" xfId="113" xr:uid="{C5048D30-431A-4A31-90B3-E03867BD3633}"/>
    <cellStyle name="Input 3" xfId="72" xr:uid="{4E9889B0-3D4E-4BF8-B7FB-6A2BEBC65593}"/>
    <cellStyle name="Last Header Row" xfId="32" xr:uid="{D64170F5-50A4-476D-9C78-1360B4FA2F40}"/>
    <cellStyle name="Linked Cell 2" xfId="114" xr:uid="{34E788FE-CA42-4BDF-82C1-F20CBA254DF5}"/>
    <cellStyle name="Linked Cell 3" xfId="73" xr:uid="{71A5931F-AF03-4E80-8A2A-CB124D051CAC}"/>
    <cellStyle name="Neutral 2" xfId="115" xr:uid="{96EE8BD3-F77C-43B4-BF76-CDAE06E85DDB}"/>
    <cellStyle name="Neutral 3" xfId="74" xr:uid="{AE6C0C69-CAC7-4F54-A6ED-46F0E6286826}"/>
    <cellStyle name="Normal" xfId="0" builtinId="0"/>
    <cellStyle name="Normal 10" xfId="2" xr:uid="{F3E80EFA-8680-45EC-A8BC-63E304850A7C}"/>
    <cellStyle name="Normal 10 2" xfId="37" xr:uid="{434D661D-6B3F-4458-98F2-CE3428F1326D}"/>
    <cellStyle name="Normal 12 2" xfId="129" xr:uid="{A2D5C379-CDED-4230-84D7-4CD6CF41D127}"/>
    <cellStyle name="Normal 2" xfId="14" xr:uid="{11B6480D-C689-4313-B315-62CBAA47A715}"/>
    <cellStyle name="Normal 2 2" xfId="1" xr:uid="{DF54CD55-27A6-40E0-8875-6A00D724D8A3}"/>
    <cellStyle name="Normal 2 4" xfId="125" xr:uid="{E2140D4D-B6E6-4584-AB94-A4B7EE8F5836}"/>
    <cellStyle name="Normal 3" xfId="15" xr:uid="{CC55F80B-6791-4B15-A41C-14C336919B4D}"/>
    <cellStyle name="Normal 4" xfId="35" xr:uid="{79F1A489-BF13-4CED-8E31-94BCAECCF533}"/>
    <cellStyle name="Normal 4 2 2" xfId="128" xr:uid="{68C8EE76-D27E-4479-A03F-C33D85E6012D}"/>
    <cellStyle name="Normal 5" xfId="3" xr:uid="{C96E1355-28EF-4F25-9212-50C2512ECB9C}"/>
    <cellStyle name="normal cell" xfId="33" xr:uid="{828C0058-2709-4AD6-AC57-991B5D495F7A}"/>
    <cellStyle name="Normal_SUBRES_B-NTech-BE" xfId="123" xr:uid="{E78E3C85-C078-406F-895F-9F8AF9297C0F}"/>
    <cellStyle name="Normal_SUBRES_B-NTech-BE 2" xfId="124" xr:uid="{8FBD20AD-BFA6-4BF6-B86D-564BB3FECDCC}"/>
    <cellStyle name="Normal_Tech_RC 2" xfId="122" xr:uid="{A15DB10E-9E15-419F-9F12-6C51FC5E14A1}"/>
    <cellStyle name="Note 2" xfId="116" xr:uid="{5B4321CF-9DAC-430F-A9F1-2C084CEC5DB8}"/>
    <cellStyle name="Note 3" xfId="75" xr:uid="{B4A61A78-DFDA-459D-9AC3-0B9C0A78E864}"/>
    <cellStyle name="Output 2" xfId="117" xr:uid="{03F56293-5C6D-415B-9244-ABBC6E09536B}"/>
    <cellStyle name="Output 3" xfId="76" xr:uid="{2AA0170D-480F-4163-AD39-2BF46E59F64B}"/>
    <cellStyle name="Percent" xfId="38" builtinId="5"/>
    <cellStyle name="Percent 10" xfId="127" xr:uid="{AC742D95-46B3-4E05-B757-02D4A31FD4FE}"/>
    <cellStyle name="Percent 2" xfId="17" xr:uid="{28AFCCDE-B6BC-40FD-AF06-269FEA0FCB75}"/>
    <cellStyle name="Percent 2 2" xfId="36" xr:uid="{C3D7D5C0-83CA-4B3C-A7C4-0E56CF2CC7F5}"/>
    <cellStyle name="Percent 3" xfId="18" xr:uid="{B337B855-E63C-4EC2-ABFA-2A02F39BB58C}"/>
    <cellStyle name="Percent 3 2" xfId="19" xr:uid="{39991F45-328C-4552-B07E-005B80C1BDB6}"/>
    <cellStyle name="Percent 4" xfId="16" xr:uid="{E18099A5-4F71-4BDC-B8AC-FED765D8AB7A}"/>
    <cellStyle name="Percent 4 2" xfId="29" xr:uid="{B548EF24-034D-4046-BD25-A6074B3E3F95}"/>
    <cellStyle name="Style 29" xfId="20" xr:uid="{56611F26-F2B0-4905-AA43-9D3043B3A2A4}"/>
    <cellStyle name="Style 29 2" xfId="21" xr:uid="{7BB47589-F819-4A09-9B45-3AFE202765E7}"/>
    <cellStyle name="Style 29 3" xfId="22" xr:uid="{DC89BF75-FAAA-4256-BF8D-562F512B758A}"/>
    <cellStyle name="Style 29 3 2" xfId="23" xr:uid="{0BE978ED-C7DA-44C0-BD8F-31ADDA43421B}"/>
    <cellStyle name="Style 35" xfId="24" xr:uid="{889F5A8F-17DC-4A52-BAE8-C310B333D8F5}"/>
    <cellStyle name="Style 35 2" xfId="25" xr:uid="{CC308CC3-E4C1-4431-A3E9-7EBAB87FF9C6}"/>
    <cellStyle name="Style 36" xfId="26" xr:uid="{5ACD6B06-B5AF-44AB-9B11-984237FC866C}"/>
    <cellStyle name="Style 36 2" xfId="27" xr:uid="{A48974F6-D0B7-4888-93FE-F421B5982651}"/>
    <cellStyle name="Title 2" xfId="118" xr:uid="{7CAD4372-0786-4E23-BE84-066DBF51DB7D}"/>
    <cellStyle name="Title 3" xfId="77" xr:uid="{98A9C117-E284-4E17-8329-9E3319109B03}"/>
    <cellStyle name="Total 2" xfId="28" xr:uid="{9DACDF8C-7F10-4FD8-A27D-A154F7BB25AE}"/>
    <cellStyle name="Total 2 2" xfId="119" xr:uid="{436B330F-17D7-40CF-A090-DEC2742E4D14}"/>
    <cellStyle name="Total 3" xfId="78" xr:uid="{9BFA77DA-065F-4987-BBBE-2D851EA413A1}"/>
    <cellStyle name="Warning Text 2" xfId="120" xr:uid="{7BEF5ED1-C29B-4EA6-AE7A-CBC4460887AA}"/>
    <cellStyle name="Warning Text 3" xfId="79" xr:uid="{1E744FF4-D1A9-4C19-A8ED-35C7106A1D0D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66675</xdr:rowOff>
    </xdr:from>
    <xdr:to>
      <xdr:col>22</xdr:col>
      <xdr:colOff>497145</xdr:colOff>
      <xdr:row>35</xdr:row>
      <xdr:rowOff>134263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BA39B6C-9526-099C-7344-B38558BFCA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257175"/>
          <a:ext cx="13222545" cy="654458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VEDA\Veda_models\NATEM_Canada\SubRES_TMPL\SUBRES_TechHH2%20-%20Copy.xlsx" TargetMode="External"/><Relationship Id="rId1" Type="http://schemas.openxmlformats.org/officeDocument/2006/relationships/externalLinkPath" Target="/VEDA/Veda_models/NATEM_Canada/SubRES_TMPL/SUBRES_TechHH2%20-%20Cop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ote"/>
      <sheetName val="Summary"/>
      <sheetName val="PROD"/>
      <sheetName val="CONV"/>
      <sheetName val="TRANS"/>
      <sheetName val="Serv_TRANS"/>
      <sheetName val="DIST"/>
      <sheetName val="DIST_SUB"/>
      <sheetName val="STG"/>
      <sheetName val="SECTOR"/>
      <sheetName val="EXP"/>
      <sheetName val="RSD"/>
      <sheetName val="COM"/>
      <sheetName val="ELC"/>
      <sheetName val="SUP"/>
      <sheetName val="SUP_EXIST"/>
      <sheetName val="SUP_Process"/>
      <sheetName val="Unit"/>
    </sheetNames>
    <sheetDataSet>
      <sheetData sheetId="0"/>
      <sheetData sheetId="1">
        <row r="71">
          <cell r="H71">
            <v>2025</v>
          </cell>
          <cell r="J71">
            <v>10</v>
          </cell>
          <cell r="K71">
            <v>0.2</v>
          </cell>
          <cell r="M71">
            <v>1.4757820745694632</v>
          </cell>
          <cell r="N71">
            <v>1.4757820745694632</v>
          </cell>
          <cell r="O71">
            <v>1.4757820745694632</v>
          </cell>
          <cell r="P71">
            <v>1.4757820745694632</v>
          </cell>
          <cell r="Q71">
            <v>1.4757820745694632</v>
          </cell>
          <cell r="R71">
            <v>1.4757820745694632</v>
          </cell>
          <cell r="S71">
            <v>1.4757820745694632</v>
          </cell>
          <cell r="T71">
            <v>1.4757820745694632</v>
          </cell>
          <cell r="U71">
            <v>1.4757820745694632</v>
          </cell>
          <cell r="W71">
            <v>5.903128298277853E-2</v>
          </cell>
          <cell r="X71">
            <v>5.903128298277853E-2</v>
          </cell>
          <cell r="Y71">
            <v>5.903128298277853E-2</v>
          </cell>
          <cell r="Z71">
            <v>5.903128298277853E-2</v>
          </cell>
          <cell r="AA71">
            <v>5.903128298277853E-2</v>
          </cell>
          <cell r="AB71">
            <v>5.903128298277853E-2</v>
          </cell>
          <cell r="AC71">
            <v>5.903128298277853E-2</v>
          </cell>
          <cell r="AD71">
            <v>5.903128298277853E-2</v>
          </cell>
          <cell r="AE71">
            <v>5.903128298277853E-2</v>
          </cell>
          <cell r="AP71">
            <v>0.99</v>
          </cell>
          <cell r="AR71">
            <v>0.99</v>
          </cell>
          <cell r="AS71">
            <v>0.99</v>
          </cell>
          <cell r="AT71">
            <v>0.99</v>
          </cell>
          <cell r="AU71">
            <v>0.99</v>
          </cell>
          <cell r="AV71">
            <v>0.99</v>
          </cell>
          <cell r="AW71">
            <v>0.99</v>
          </cell>
          <cell r="AX71">
            <v>0.99</v>
          </cell>
          <cell r="AY71">
            <v>0.99</v>
          </cell>
          <cell r="AZ71">
            <v>0.99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4EC08B-12E5-426C-80EA-17F401F5FEE0}">
  <sheetPr>
    <tabColor rgb="FFFFC000"/>
  </sheetPr>
  <dimension ref="B1:J15"/>
  <sheetViews>
    <sheetView zoomScale="80" zoomScaleNormal="80" workbookViewId="0">
      <pane xSplit="4" ySplit="7" topLeftCell="E8" activePane="bottomRight" state="frozen"/>
      <selection pane="bottomRight" activeCell="D24" sqref="D24"/>
      <selection pane="bottomLeft" activeCell="N56" sqref="N56"/>
      <selection pane="topRight" activeCell="N56" sqref="N56"/>
    </sheetView>
  </sheetViews>
  <sheetFormatPr defaultColWidth="9.140625" defaultRowHeight="13.15"/>
  <cols>
    <col min="1" max="1" width="9.140625" style="15"/>
    <col min="2" max="2" width="24" style="15" customWidth="1"/>
    <col min="3" max="3" width="12.28515625" style="15" customWidth="1"/>
    <col min="4" max="4" width="67.42578125" style="15" customWidth="1"/>
    <col min="5" max="5" width="10.28515625" style="15" customWidth="1"/>
    <col min="6" max="6" width="29.7109375" style="9" customWidth="1"/>
    <col min="7" max="7" width="27.42578125" style="15" customWidth="1"/>
    <col min="8" max="16384" width="9.140625" style="15"/>
  </cols>
  <sheetData>
    <row r="1" spans="2:10">
      <c r="B1" s="16" t="s">
        <v>0</v>
      </c>
      <c r="C1" s="15" t="s">
        <v>1</v>
      </c>
    </row>
    <row r="4" spans="2:10" ht="17.25" customHeight="1"/>
    <row r="5" spans="2:10" ht="17.25" customHeight="1">
      <c r="D5" s="10"/>
    </row>
    <row r="6" spans="2:10" s="2" customFormat="1" ht="15.75" customHeight="1">
      <c r="B6" s="25" t="s">
        <v>2</v>
      </c>
    </row>
    <row r="7" spans="2:10" s="2" customFormat="1">
      <c r="B7" s="26" t="s">
        <v>3</v>
      </c>
      <c r="C7" s="26" t="s">
        <v>4</v>
      </c>
      <c r="D7" s="26" t="s">
        <v>5</v>
      </c>
      <c r="E7" s="26" t="s">
        <v>6</v>
      </c>
      <c r="F7" s="26" t="s">
        <v>7</v>
      </c>
      <c r="G7" s="26" t="s">
        <v>8</v>
      </c>
      <c r="H7" s="26" t="s">
        <v>9</v>
      </c>
      <c r="I7" s="26" t="s">
        <v>10</v>
      </c>
      <c r="J7" s="26" t="s">
        <v>11</v>
      </c>
    </row>
    <row r="8" spans="2:10">
      <c r="B8" s="23" t="s">
        <v>12</v>
      </c>
      <c r="C8" s="7"/>
      <c r="D8" s="23"/>
      <c r="E8" s="23"/>
      <c r="F8" s="14"/>
      <c r="G8" s="23"/>
      <c r="H8" s="13"/>
      <c r="I8" s="13"/>
      <c r="J8" s="13"/>
    </row>
    <row r="9" spans="2:10">
      <c r="B9" s="12" t="s">
        <v>13</v>
      </c>
      <c r="C9" s="12" t="str">
        <f>TRANS!D18</f>
        <v>H2GHTE</v>
      </c>
      <c r="D9" s="12" t="s">
        <v>14</v>
      </c>
      <c r="E9" s="12" t="s">
        <v>15</v>
      </c>
      <c r="F9" s="12" t="s">
        <v>16</v>
      </c>
      <c r="G9" s="12"/>
      <c r="H9" s="12"/>
      <c r="I9" s="12"/>
      <c r="J9" s="12"/>
    </row>
    <row r="10" spans="2:10">
      <c r="B10" s="12" t="s">
        <v>13</v>
      </c>
      <c r="C10" s="12" t="str">
        <f>TRANS!D19</f>
        <v>H2GLTE</v>
      </c>
      <c r="D10" s="12" t="s">
        <v>17</v>
      </c>
      <c r="E10" s="12" t="s">
        <v>15</v>
      </c>
      <c r="F10" s="12" t="s">
        <v>16</v>
      </c>
      <c r="G10" s="12"/>
      <c r="H10" s="12"/>
      <c r="I10" s="12"/>
      <c r="J10" s="12"/>
    </row>
    <row r="11" spans="2:10">
      <c r="B11" s="12" t="s">
        <v>13</v>
      </c>
      <c r="C11" s="12" t="str">
        <f>TRANS!D20</f>
        <v>H2GSMR</v>
      </c>
      <c r="D11" s="12" t="s">
        <v>18</v>
      </c>
      <c r="E11" s="12" t="s">
        <v>15</v>
      </c>
      <c r="F11" s="12" t="s">
        <v>16</v>
      </c>
      <c r="G11" s="12"/>
      <c r="H11" s="12"/>
      <c r="I11" s="12"/>
      <c r="J11" s="12"/>
    </row>
    <row r="12" spans="2:10">
      <c r="B12" s="12" t="s">
        <v>13</v>
      </c>
      <c r="C12" s="12" t="str">
        <f>TRANS!D21</f>
        <v>H2GGAS</v>
      </c>
      <c r="D12" s="12" t="s">
        <v>19</v>
      </c>
      <c r="E12" s="12" t="s">
        <v>15</v>
      </c>
      <c r="F12" s="12" t="s">
        <v>16</v>
      </c>
      <c r="G12" s="12"/>
      <c r="H12" s="12"/>
      <c r="I12" s="12"/>
      <c r="J12" s="12"/>
    </row>
    <row r="13" spans="2:10">
      <c r="B13" s="12" t="s">
        <v>20</v>
      </c>
      <c r="C13" s="130" t="str">
        <f>STG!D8</f>
        <v>H2G</v>
      </c>
      <c r="D13" s="12" t="s">
        <v>21</v>
      </c>
      <c r="E13" s="12" t="s">
        <v>15</v>
      </c>
      <c r="F13" s="12" t="s">
        <v>16</v>
      </c>
      <c r="G13" s="12"/>
      <c r="H13" s="125" t="s">
        <v>22</v>
      </c>
      <c r="I13" s="125" t="s">
        <v>23</v>
      </c>
      <c r="J13" s="12"/>
    </row>
    <row r="14" spans="2:10">
      <c r="B14" s="12" t="s">
        <v>20</v>
      </c>
      <c r="C14" s="130" t="str">
        <f>STG!E16</f>
        <v>H2GSTG</v>
      </c>
      <c r="D14" s="12" t="s">
        <v>24</v>
      </c>
      <c r="E14" s="12" t="s">
        <v>15</v>
      </c>
      <c r="F14" s="12" t="s">
        <v>16</v>
      </c>
      <c r="G14" s="12"/>
      <c r="H14" s="125" t="s">
        <v>22</v>
      </c>
      <c r="I14" s="125" t="s">
        <v>23</v>
      </c>
      <c r="J14" s="12"/>
    </row>
    <row r="15" spans="2:10">
      <c r="B15" s="12" t="s">
        <v>20</v>
      </c>
      <c r="C15" s="130" t="str">
        <f>STG!F16</f>
        <v>ELCH2G</v>
      </c>
      <c r="D15" s="12" t="s">
        <v>25</v>
      </c>
      <c r="E15" s="12" t="s">
        <v>15</v>
      </c>
      <c r="F15" s="12" t="s">
        <v>16</v>
      </c>
      <c r="G15" s="12"/>
      <c r="H15" s="125" t="s">
        <v>22</v>
      </c>
      <c r="I15" s="125" t="s">
        <v>23</v>
      </c>
      <c r="J15" s="12"/>
    </row>
  </sheetData>
  <phoneticPr fontId="31" type="noConversion"/>
  <pageMargins left="0.75" right="0.75" top="1" bottom="1" header="0.5" footer="0.5"/>
  <pageSetup paperSize="9" orientation="portrait" horizont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5408F-AB4C-48E9-B7C1-2DC49565D6E3}">
  <dimension ref="B2:C4"/>
  <sheetViews>
    <sheetView workbookViewId="0">
      <selection activeCell="D14" sqref="D14"/>
    </sheetView>
  </sheetViews>
  <sheetFormatPr defaultRowHeight="14.45"/>
  <cols>
    <col min="2" max="2" width="21.140625" bestFit="1" customWidth="1"/>
    <col min="3" max="3" width="10" bestFit="1" customWidth="1"/>
  </cols>
  <sheetData>
    <row r="2" spans="2:3">
      <c r="B2" t="s">
        <v>232</v>
      </c>
      <c r="C2">
        <f>0.1213*10^-6</f>
        <v>1.2130000000000001E-7</v>
      </c>
    </row>
    <row r="3" spans="2:3">
      <c r="B3" t="s">
        <v>233</v>
      </c>
      <c r="C3">
        <v>140</v>
      </c>
    </row>
    <row r="4" spans="2:3">
      <c r="B4" t="s">
        <v>234</v>
      </c>
      <c r="C4" s="8">
        <f>1.05506*10^-12*10^6</f>
        <v>1.0550600000000002E-6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E166A-AE4C-4D46-8AE9-372D01FFAAFA}">
  <sheetPr>
    <tabColor rgb="FFFFC000"/>
  </sheetPr>
  <dimension ref="B3:M28"/>
  <sheetViews>
    <sheetView zoomScale="80" zoomScaleNormal="80" workbookViewId="0">
      <pane xSplit="4" ySplit="1" topLeftCell="E2" activePane="bottomRight" state="frozen"/>
      <selection pane="bottomRight" activeCell="C25" sqref="C25"/>
      <selection pane="bottomLeft" activeCell="N56" sqref="N56"/>
      <selection pane="topRight" activeCell="N56" sqref="N56"/>
    </sheetView>
  </sheetViews>
  <sheetFormatPr defaultRowHeight="14.45"/>
  <cols>
    <col min="3" max="3" width="36.42578125" customWidth="1"/>
    <col min="4" max="4" width="43.28515625" bestFit="1" customWidth="1"/>
  </cols>
  <sheetData>
    <row r="3" spans="2:9" s="2" customFormat="1" ht="13.15">
      <c r="B3" s="3" t="s">
        <v>26</v>
      </c>
    </row>
    <row r="4" spans="2:9" s="2" customFormat="1" ht="13.15">
      <c r="B4" s="4" t="s">
        <v>27</v>
      </c>
      <c r="C4" s="4" t="s">
        <v>28</v>
      </c>
      <c r="D4" s="4" t="s">
        <v>29</v>
      </c>
      <c r="E4" s="4" t="s">
        <v>30</v>
      </c>
      <c r="F4" s="4" t="s">
        <v>31</v>
      </c>
      <c r="G4" s="4" t="s">
        <v>32</v>
      </c>
      <c r="H4" s="4" t="s">
        <v>33</v>
      </c>
      <c r="I4" s="4" t="s">
        <v>34</v>
      </c>
    </row>
    <row r="5" spans="2:9" s="2" customFormat="1" ht="53.45" thickBot="1">
      <c r="B5" s="5" t="s">
        <v>35</v>
      </c>
      <c r="C5" s="5" t="s">
        <v>36</v>
      </c>
      <c r="D5" s="5" t="s">
        <v>37</v>
      </c>
      <c r="E5" s="5" t="s">
        <v>38</v>
      </c>
      <c r="F5" s="5" t="s">
        <v>39</v>
      </c>
      <c r="G5" s="5" t="s">
        <v>40</v>
      </c>
      <c r="H5" s="5" t="s">
        <v>41</v>
      </c>
      <c r="I5" s="5" t="s">
        <v>42</v>
      </c>
    </row>
    <row r="6" spans="2:9">
      <c r="B6" s="6" t="s">
        <v>43</v>
      </c>
      <c r="C6" s="6" t="str">
        <f>TRANS!B6</f>
        <v>MINH2GHTE</v>
      </c>
      <c r="D6" s="6" t="str">
        <f>TRANS!C6</f>
        <v>MIN.Hydrogen from high temp electrolysis</v>
      </c>
      <c r="E6" s="6" t="s">
        <v>15</v>
      </c>
      <c r="F6" s="6" t="s">
        <v>44</v>
      </c>
      <c r="G6" s="6"/>
      <c r="H6" s="6"/>
      <c r="I6" s="6"/>
    </row>
    <row r="7" spans="2:9">
      <c r="B7" s="6"/>
      <c r="C7" s="6" t="str">
        <f>TRANS!B8</f>
        <v>MINH2GLTE</v>
      </c>
      <c r="D7" s="6" t="str">
        <f>TRANS!C8</f>
        <v>MIN.Hydrogen from low temp electrolysis</v>
      </c>
      <c r="E7" s="6" t="s">
        <v>15</v>
      </c>
      <c r="F7" s="6" t="s">
        <v>44</v>
      </c>
      <c r="G7" s="6"/>
      <c r="H7" s="6"/>
      <c r="I7" s="6"/>
    </row>
    <row r="8" spans="2:9">
      <c r="B8" s="6"/>
      <c r="C8" s="6" t="str">
        <f>TRANS!B10</f>
        <v>MINH2GSMR</v>
      </c>
      <c r="D8" s="6" t="str">
        <f>TRANS!C10</f>
        <v>MIN.Hydrogen from steam methane reforming</v>
      </c>
      <c r="E8" s="6" t="s">
        <v>15</v>
      </c>
      <c r="F8" s="6" t="s">
        <v>44</v>
      </c>
      <c r="G8" s="6"/>
      <c r="H8" s="6"/>
      <c r="I8" s="6"/>
    </row>
    <row r="9" spans="2:9">
      <c r="B9" s="6"/>
      <c r="C9" s="6" t="str">
        <f>TRANS!B12</f>
        <v>MINH2GGAS</v>
      </c>
      <c r="D9" s="6" t="str">
        <f>TRANS!C12</f>
        <v>MIN.Hydrogen from biomass gasification</v>
      </c>
      <c r="E9" s="6" t="s">
        <v>15</v>
      </c>
      <c r="F9" s="6" t="s">
        <v>44</v>
      </c>
      <c r="G9" s="6"/>
      <c r="H9" s="6"/>
      <c r="I9" s="6"/>
    </row>
    <row r="10" spans="2:9">
      <c r="B10" s="6" t="s">
        <v>45</v>
      </c>
      <c r="C10" s="6" t="str">
        <f>TRANS!B18</f>
        <v>SCTRAH2GHTE</v>
      </c>
      <c r="D10" s="6" t="str">
        <f>TRANS!C18</f>
        <v>Collector: H2G from HTE</v>
      </c>
      <c r="E10" s="6" t="s">
        <v>15</v>
      </c>
      <c r="F10" s="6" t="s">
        <v>44</v>
      </c>
      <c r="G10" s="6"/>
      <c r="H10" s="6"/>
      <c r="I10" s="6"/>
    </row>
    <row r="11" spans="2:9">
      <c r="B11" s="6"/>
      <c r="C11" s="6" t="str">
        <f>TRANS!B19</f>
        <v>SCTRAH2GLTE</v>
      </c>
      <c r="D11" s="6" t="str">
        <f>TRANS!C19</f>
        <v>Collector: H2G from LTE</v>
      </c>
      <c r="E11" s="6" t="s">
        <v>15</v>
      </c>
      <c r="F11" s="6" t="s">
        <v>44</v>
      </c>
      <c r="G11" s="6"/>
      <c r="H11" s="6"/>
      <c r="I11" s="6"/>
    </row>
    <row r="12" spans="2:9">
      <c r="B12" s="6"/>
      <c r="C12" s="6" t="str">
        <f>TRANS!B20</f>
        <v>SCTRAH2GSMR</v>
      </c>
      <c r="D12" s="6" t="str">
        <f>TRANS!C20</f>
        <v>Collector: H2G from SMR</v>
      </c>
      <c r="E12" s="6" t="s">
        <v>15</v>
      </c>
      <c r="F12" s="6" t="s">
        <v>44</v>
      </c>
      <c r="G12" s="6"/>
      <c r="H12" s="6"/>
      <c r="I12" s="6"/>
    </row>
    <row r="13" spans="2:9">
      <c r="B13" s="6"/>
      <c r="C13" s="6" t="str">
        <f>TRANS!B21</f>
        <v>SCTRAH2GGAS</v>
      </c>
      <c r="D13" s="6" t="str">
        <f>TRANS!C21</f>
        <v>Collector: H2G from GAS</v>
      </c>
      <c r="E13" s="6" t="s">
        <v>15</v>
      </c>
      <c r="F13" s="6" t="s">
        <v>44</v>
      </c>
      <c r="G13" s="6"/>
      <c r="H13" s="6"/>
      <c r="I13" s="6"/>
    </row>
    <row r="14" spans="2:9">
      <c r="B14" s="97" t="s">
        <v>45</v>
      </c>
      <c r="C14" s="64" t="str">
        <f>PROD!B7</f>
        <v>SH2CELCALKSTDa35</v>
      </c>
      <c r="D14" s="64" t="str">
        <f>PROD!C7</f>
        <v>H2.Hydrogen.Electrolysis.Alkaline.CEN.Small.</v>
      </c>
      <c r="E14" s="6" t="s">
        <v>15</v>
      </c>
      <c r="F14" s="65" t="s">
        <v>46</v>
      </c>
      <c r="G14" s="65" t="s">
        <v>22</v>
      </c>
      <c r="H14" s="65" t="s">
        <v>47</v>
      </c>
      <c r="I14" s="66"/>
    </row>
    <row r="15" spans="2:9">
      <c r="B15" s="97"/>
      <c r="C15" s="64" t="str">
        <f>PROD!B8</f>
        <v>SH2CELCALKSTDb35</v>
      </c>
      <c r="D15" s="64" t="str">
        <f>PROD!C8</f>
        <v>H2.Hydrogen.Electrolysis.Alkaline.CEN.Medium.</v>
      </c>
      <c r="E15" s="6" t="s">
        <v>15</v>
      </c>
      <c r="F15" s="65" t="s">
        <v>46</v>
      </c>
      <c r="G15" s="65" t="s">
        <v>22</v>
      </c>
      <c r="H15" s="65" t="s">
        <v>47</v>
      </c>
      <c r="I15" s="66"/>
    </row>
    <row r="16" spans="2:9">
      <c r="B16" s="97"/>
      <c r="C16" s="64" t="str">
        <f>PROD!B9</f>
        <v>SH2CELCALKSTDc35</v>
      </c>
      <c r="D16" s="64" t="str">
        <f>PROD!C9</f>
        <v>H2.Hydrogen.Electrolysis.Alkaline.CEN.Large.</v>
      </c>
      <c r="E16" s="6" t="s">
        <v>15</v>
      </c>
      <c r="F16" s="65" t="s">
        <v>46</v>
      </c>
      <c r="G16" s="65" t="s">
        <v>22</v>
      </c>
      <c r="H16" s="65" t="s">
        <v>47</v>
      </c>
      <c r="I16" s="66"/>
    </row>
    <row r="17" spans="2:13">
      <c r="B17" s="97"/>
      <c r="C17" s="64" t="str">
        <f>PROD!B10</f>
        <v>SH2CELCPEMSTDa35</v>
      </c>
      <c r="D17" s="64" t="str">
        <f>PROD!C10</f>
        <v>H2.Hydrogen.Electrolysis.Polymer electrolyte membrane.CEN.Small.</v>
      </c>
      <c r="E17" s="6" t="s">
        <v>15</v>
      </c>
      <c r="F17" s="65" t="s">
        <v>46</v>
      </c>
      <c r="G17" s="65" t="s">
        <v>22</v>
      </c>
      <c r="H17" s="65" t="s">
        <v>47</v>
      </c>
      <c r="I17" s="66"/>
    </row>
    <row r="18" spans="2:13">
      <c r="B18" s="97"/>
      <c r="C18" s="64" t="str">
        <f>PROD!B11</f>
        <v>SH2CELCPEMSTDb35</v>
      </c>
      <c r="D18" s="64" t="str">
        <f>PROD!C11</f>
        <v>H2.Hydrogen.Electrolysis.Polymer electrolyte membrane.CEN.Medium.</v>
      </c>
      <c r="E18" s="6" t="s">
        <v>15</v>
      </c>
      <c r="F18" s="65" t="s">
        <v>46</v>
      </c>
      <c r="G18" s="65" t="s">
        <v>22</v>
      </c>
      <c r="H18" s="65" t="s">
        <v>47</v>
      </c>
      <c r="I18" s="66"/>
    </row>
    <row r="19" spans="2:13">
      <c r="B19" s="97"/>
      <c r="C19" s="64" t="str">
        <f>PROD!B12</f>
        <v>SH2CELCPEMSTDc35</v>
      </c>
      <c r="D19" s="64" t="str">
        <f>PROD!C12</f>
        <v>H2.Hydrogen.Electrolysis.Polymer electrolyte membrane.CEN.Large.</v>
      </c>
      <c r="E19" s="6" t="s">
        <v>15</v>
      </c>
      <c r="F19" s="65" t="s">
        <v>46</v>
      </c>
      <c r="G19" s="65" t="s">
        <v>22</v>
      </c>
      <c r="H19" s="65" t="s">
        <v>47</v>
      </c>
      <c r="I19" s="66"/>
    </row>
    <row r="20" spans="2:13" s="62" customFormat="1">
      <c r="B20" s="97"/>
      <c r="C20" s="64" t="str">
        <f>PROD!B13</f>
        <v>SH2CELCSOESTD35</v>
      </c>
      <c r="D20" s="64" t="str">
        <f>PROD!C13</f>
        <v>H2.Hydrogen.Electrolysis.Solid oxide electrolyzer cell.CEN.Standard.</v>
      </c>
      <c r="E20" s="6" t="s">
        <v>15</v>
      </c>
      <c r="F20" s="65" t="s">
        <v>46</v>
      </c>
      <c r="G20" s="65" t="s">
        <v>22</v>
      </c>
      <c r="H20" s="65"/>
      <c r="I20" s="66"/>
      <c r="L20" s="67"/>
      <c r="M20" s="67"/>
    </row>
    <row r="21" spans="2:13" s="62" customFormat="1" ht="13.15">
      <c r="B21" s="97" t="s">
        <v>45</v>
      </c>
      <c r="C21" s="64" t="str">
        <f>STG!B16</f>
        <v>SH2PIPGASSTDc40</v>
      </c>
      <c r="D21" s="64" t="str">
        <f>STG!C16</f>
        <v>H2.Hydrogen distribution.Pipeline Transmission.Large.New</v>
      </c>
      <c r="E21" s="65" t="s">
        <v>15</v>
      </c>
      <c r="F21" s="65" t="s">
        <v>44</v>
      </c>
      <c r="G21" s="65" t="s">
        <v>22</v>
      </c>
      <c r="H21" s="65"/>
      <c r="I21" s="66"/>
      <c r="L21" s="67"/>
      <c r="M21" s="67"/>
    </row>
    <row r="22" spans="2:13">
      <c r="B22" s="97" t="s">
        <v>48</v>
      </c>
      <c r="C22" s="64" t="str">
        <f>ELC!B7</f>
        <v>EHH2CELLCa40</v>
      </c>
      <c r="D22" s="64" t="str">
        <f>ELC!C7</f>
        <v>EHH2.Hydrogen.Fuel Cell.CEN.Small.New.</v>
      </c>
      <c r="E22" s="65" t="s">
        <v>15</v>
      </c>
      <c r="F22" s="65" t="s">
        <v>46</v>
      </c>
      <c r="G22" s="65" t="s">
        <v>22</v>
      </c>
      <c r="H22" s="65"/>
      <c r="I22" s="66"/>
    </row>
    <row r="23" spans="2:13" s="62" customFormat="1" ht="13.15">
      <c r="B23" s="97"/>
      <c r="C23" s="64" t="str">
        <f>ELC!B8</f>
        <v>EHH2CELLCb40</v>
      </c>
      <c r="D23" s="64" t="str">
        <f>ELC!C8</f>
        <v>EHH2.Hydrogen.Fuel Cell.CEN.Medium.New.</v>
      </c>
      <c r="E23" s="65" t="s">
        <v>15</v>
      </c>
      <c r="F23" s="65" t="s">
        <v>46</v>
      </c>
      <c r="G23" s="65" t="s">
        <v>22</v>
      </c>
      <c r="H23" s="65"/>
      <c r="I23" s="66"/>
      <c r="L23" s="67"/>
      <c r="M23" s="67"/>
    </row>
    <row r="24" spans="2:13" s="62" customFormat="1" ht="13.15">
      <c r="B24" s="63"/>
      <c r="C24" s="64" t="str">
        <f>ELC!B9</f>
        <v>EHH2CELLCc40</v>
      </c>
      <c r="D24" s="64" t="str">
        <f>ELC!C9</f>
        <v>EHH2.Hydrogen.Fuel Cell.CEN.Large.New.</v>
      </c>
      <c r="E24" s="65" t="s">
        <v>15</v>
      </c>
      <c r="F24" s="65" t="s">
        <v>46</v>
      </c>
      <c r="G24" s="65" t="s">
        <v>22</v>
      </c>
      <c r="H24" s="65"/>
      <c r="I24" s="66"/>
      <c r="L24" s="67"/>
      <c r="M24" s="67"/>
    </row>
    <row r="25" spans="2:13" s="62" customFormat="1" ht="13.15">
      <c r="B25" s="63"/>
      <c r="C25" s="64" t="str">
        <f>ELC!B10</f>
        <v>EHH2CTCSTD40</v>
      </c>
      <c r="D25" s="64" t="str">
        <f>ELC!C10</f>
        <v>EHH2.Hydrogen.Combustion turbine.CEN.Standard.New.</v>
      </c>
      <c r="E25" s="65" t="s">
        <v>15</v>
      </c>
      <c r="F25" s="65" t="s">
        <v>46</v>
      </c>
      <c r="G25" s="65" t="s">
        <v>22</v>
      </c>
      <c r="H25" s="65"/>
      <c r="I25" s="66"/>
      <c r="L25" s="67"/>
      <c r="M25" s="67"/>
    </row>
    <row r="26" spans="2:13">
      <c r="B26" s="63" t="s">
        <v>49</v>
      </c>
      <c r="C26" s="64" t="str">
        <f>STG!B8</f>
        <v>SH2STOTANELC40</v>
      </c>
      <c r="D26" s="64" t="str">
        <f>STG!C8</f>
        <v>H2.Hydrogen Storage.Storage Tank.ELC</v>
      </c>
      <c r="E26" s="6" t="s">
        <v>15</v>
      </c>
      <c r="F26" s="6" t="s">
        <v>44</v>
      </c>
      <c r="G26" s="65" t="s">
        <v>22</v>
      </c>
      <c r="H26" s="65"/>
      <c r="I26" s="66"/>
    </row>
    <row r="27" spans="2:13">
      <c r="B27" s="63" t="s">
        <v>50</v>
      </c>
      <c r="C27" s="64" t="str">
        <f>STG!B9</f>
        <v>SH2STOCAVELC40</v>
      </c>
      <c r="D27" s="64" t="str">
        <f>STG!C9</f>
        <v>H2.Hydrogen Storage.Salt Cavern.ELC</v>
      </c>
      <c r="E27" s="6" t="s">
        <v>15</v>
      </c>
      <c r="F27" s="6" t="s">
        <v>44</v>
      </c>
      <c r="G27" s="65" t="s">
        <v>22</v>
      </c>
      <c r="H27" s="65"/>
      <c r="I27" s="66"/>
    </row>
    <row r="28" spans="2:13">
      <c r="B28" s="63" t="s">
        <v>49</v>
      </c>
      <c r="C28" s="64" t="str">
        <f>STG!B10</f>
        <v>SH2STOPIPELC40</v>
      </c>
      <c r="D28" s="64" t="str">
        <f>STG!C10</f>
        <v>H2.Hydrogen Storage.Storage Pipe.ELC</v>
      </c>
      <c r="E28" s="6" t="s">
        <v>15</v>
      </c>
      <c r="F28" s="6" t="s">
        <v>44</v>
      </c>
      <c r="G28" s="65" t="s">
        <v>22</v>
      </c>
      <c r="H28" s="65"/>
      <c r="I28" s="66"/>
    </row>
  </sheetData>
  <pageMargins left="0.75" right="0.75" top="1" bottom="1" header="0.5" footer="0.5"/>
  <pageSetup paperSize="9" orientation="portrait" horizontalDpi="12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C0012-CD99-4E3A-B4A1-375CB728B7CA}">
  <sheetPr>
    <tabColor rgb="FFFFC000"/>
  </sheetPr>
  <dimension ref="A1:BB13"/>
  <sheetViews>
    <sheetView topLeftCell="B1" zoomScale="70" zoomScaleNormal="70" workbookViewId="0">
      <selection activeCell="D27" sqref="D27"/>
    </sheetView>
  </sheetViews>
  <sheetFormatPr defaultRowHeight="14.45"/>
  <cols>
    <col min="2" max="2" width="24.140625" bestFit="1" customWidth="1"/>
    <col min="3" max="3" width="69.5703125" bestFit="1" customWidth="1"/>
  </cols>
  <sheetData>
    <row r="1" spans="1:54">
      <c r="A1" t="s">
        <v>51</v>
      </c>
    </row>
    <row r="4" spans="1:54" s="37" customFormat="1">
      <c r="A4" s="34"/>
      <c r="B4" s="34"/>
      <c r="C4" s="34"/>
      <c r="D4" s="34"/>
      <c r="E4" s="35" t="s">
        <v>52</v>
      </c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</row>
    <row r="5" spans="1:54" s="37" customFormat="1" ht="43.15">
      <c r="A5" s="34"/>
      <c r="B5" s="38" t="s">
        <v>28</v>
      </c>
      <c r="C5" s="38" t="s">
        <v>53</v>
      </c>
      <c r="D5" s="38" t="s">
        <v>54</v>
      </c>
      <c r="E5" s="38" t="s">
        <v>55</v>
      </c>
      <c r="F5" s="39" t="s">
        <v>56</v>
      </c>
      <c r="G5" s="39" t="s">
        <v>57</v>
      </c>
      <c r="H5" s="38" t="s">
        <v>58</v>
      </c>
      <c r="I5" s="38" t="s">
        <v>59</v>
      </c>
      <c r="J5" s="38" t="s">
        <v>60</v>
      </c>
      <c r="K5" s="38" t="s">
        <v>61</v>
      </c>
      <c r="L5" s="38" t="s">
        <v>62</v>
      </c>
      <c r="M5" s="38" t="s">
        <v>63</v>
      </c>
      <c r="N5" s="38" t="s">
        <v>64</v>
      </c>
      <c r="O5" s="38" t="s">
        <v>65</v>
      </c>
      <c r="P5" s="38" t="s">
        <v>66</v>
      </c>
      <c r="Q5" s="38" t="s">
        <v>67</v>
      </c>
      <c r="R5" s="38" t="s">
        <v>68</v>
      </c>
      <c r="S5" s="38" t="s">
        <v>69</v>
      </c>
      <c r="T5" s="38" t="s">
        <v>70</v>
      </c>
      <c r="U5" s="38" t="s">
        <v>71</v>
      </c>
      <c r="V5" s="38" t="s">
        <v>72</v>
      </c>
      <c r="W5" s="38" t="s">
        <v>73</v>
      </c>
      <c r="X5" s="38" t="s">
        <v>74</v>
      </c>
      <c r="Y5" s="38" t="s">
        <v>75</v>
      </c>
      <c r="Z5" s="38" t="s">
        <v>76</v>
      </c>
      <c r="AA5" s="38" t="s">
        <v>77</v>
      </c>
      <c r="AB5" s="38" t="s">
        <v>78</v>
      </c>
      <c r="AC5" s="38" t="s">
        <v>79</v>
      </c>
      <c r="AD5" s="38" t="s">
        <v>80</v>
      </c>
      <c r="AE5" s="38" t="s">
        <v>81</v>
      </c>
      <c r="AF5" s="38" t="s">
        <v>82</v>
      </c>
      <c r="AG5" s="38" t="s">
        <v>83</v>
      </c>
      <c r="AH5" s="38" t="s">
        <v>84</v>
      </c>
      <c r="AI5" s="38" t="s">
        <v>85</v>
      </c>
      <c r="AJ5" s="38" t="s">
        <v>86</v>
      </c>
      <c r="AK5" s="38" t="s">
        <v>87</v>
      </c>
      <c r="AL5" s="38" t="s">
        <v>88</v>
      </c>
      <c r="AM5" s="38" t="s">
        <v>89</v>
      </c>
      <c r="AN5" s="40" t="s">
        <v>90</v>
      </c>
      <c r="AO5" s="38" t="s">
        <v>91</v>
      </c>
      <c r="AP5" s="38" t="s">
        <v>92</v>
      </c>
      <c r="AQ5" s="38" t="s">
        <v>93</v>
      </c>
      <c r="AR5" s="38" t="s">
        <v>94</v>
      </c>
      <c r="AS5" s="38" t="s">
        <v>95</v>
      </c>
      <c r="AT5" s="38" t="s">
        <v>96</v>
      </c>
      <c r="AU5" s="38" t="s">
        <v>97</v>
      </c>
      <c r="AV5" s="38" t="s">
        <v>98</v>
      </c>
      <c r="AW5" s="38" t="s">
        <v>99</v>
      </c>
      <c r="AX5" s="41" t="s">
        <v>100</v>
      </c>
      <c r="AY5" s="73" t="s">
        <v>101</v>
      </c>
      <c r="AZ5" s="73" t="s">
        <v>102</v>
      </c>
      <c r="BA5" s="73" t="s">
        <v>103</v>
      </c>
      <c r="BB5" s="73" t="s">
        <v>104</v>
      </c>
    </row>
    <row r="6" spans="1:54" s="51" customFormat="1" ht="15" thickBot="1">
      <c r="A6" s="34"/>
      <c r="B6" s="43" t="s">
        <v>105</v>
      </c>
      <c r="C6" s="44"/>
      <c r="D6" s="45"/>
      <c r="E6" s="44"/>
      <c r="F6" s="46" t="s">
        <v>106</v>
      </c>
      <c r="G6" s="46" t="s">
        <v>106</v>
      </c>
      <c r="H6" s="47"/>
      <c r="I6" s="47"/>
      <c r="J6" s="47"/>
      <c r="K6" s="47"/>
      <c r="L6" s="47"/>
      <c r="M6" s="47" t="s">
        <v>107</v>
      </c>
      <c r="N6" s="47" t="s">
        <v>107</v>
      </c>
      <c r="O6" s="47" t="s">
        <v>107</v>
      </c>
      <c r="P6" s="47" t="s">
        <v>107</v>
      </c>
      <c r="Q6" s="47" t="s">
        <v>107</v>
      </c>
      <c r="R6" s="47" t="s">
        <v>107</v>
      </c>
      <c r="S6" s="47" t="s">
        <v>107</v>
      </c>
      <c r="T6" s="47" t="s">
        <v>107</v>
      </c>
      <c r="U6" s="47" t="s">
        <v>107</v>
      </c>
      <c r="V6" s="47" t="s">
        <v>108</v>
      </c>
      <c r="W6" s="47" t="s">
        <v>108</v>
      </c>
      <c r="X6" s="47" t="s">
        <v>108</v>
      </c>
      <c r="Y6" s="47" t="s">
        <v>108</v>
      </c>
      <c r="Z6" s="47" t="s">
        <v>108</v>
      </c>
      <c r="AA6" s="47" t="s">
        <v>108</v>
      </c>
      <c r="AB6" s="47" t="s">
        <v>108</v>
      </c>
      <c r="AC6" s="47" t="s">
        <v>108</v>
      </c>
      <c r="AD6" s="47" t="s">
        <v>108</v>
      </c>
      <c r="AE6" s="47" t="s">
        <v>109</v>
      </c>
      <c r="AF6" s="47" t="s">
        <v>109</v>
      </c>
      <c r="AG6" s="47" t="s">
        <v>109</v>
      </c>
      <c r="AH6" s="47" t="s">
        <v>109</v>
      </c>
      <c r="AI6" s="47" t="s">
        <v>109</v>
      </c>
      <c r="AJ6" s="47" t="s">
        <v>109</v>
      </c>
      <c r="AK6" s="47" t="s">
        <v>109</v>
      </c>
      <c r="AL6" s="47" t="s">
        <v>109</v>
      </c>
      <c r="AM6" s="48" t="s">
        <v>109</v>
      </c>
      <c r="AN6" s="49" t="s">
        <v>106</v>
      </c>
      <c r="AO6" s="47" t="s">
        <v>106</v>
      </c>
      <c r="AP6" s="47" t="s">
        <v>106</v>
      </c>
      <c r="AQ6" s="47" t="s">
        <v>106</v>
      </c>
      <c r="AR6" s="47" t="s">
        <v>106</v>
      </c>
      <c r="AS6" s="47" t="s">
        <v>106</v>
      </c>
      <c r="AT6" s="47" t="s">
        <v>106</v>
      </c>
      <c r="AU6" s="47" t="s">
        <v>106</v>
      </c>
      <c r="AV6" s="47" t="s">
        <v>106</v>
      </c>
      <c r="AW6" s="47" t="s">
        <v>106</v>
      </c>
      <c r="AX6" s="50"/>
      <c r="AY6" s="80" t="s">
        <v>106</v>
      </c>
      <c r="AZ6" s="80" t="s">
        <v>106</v>
      </c>
      <c r="BA6" s="80" t="s">
        <v>106</v>
      </c>
      <c r="BB6" s="80" t="s">
        <v>106</v>
      </c>
    </row>
    <row r="7" spans="1:54" s="37" customFormat="1">
      <c r="A7" s="34"/>
      <c r="B7" s="52" t="str">
        <f>"SH2CELCALKSTDa"&amp;RIGHT(H7,2)</f>
        <v>SH2CELCALKSTDa35</v>
      </c>
      <c r="C7" s="52" t="s">
        <v>110</v>
      </c>
      <c r="D7" s="53" t="s">
        <v>111</v>
      </c>
      <c r="E7" s="61" t="s">
        <v>112</v>
      </c>
      <c r="F7" s="54"/>
      <c r="G7" s="54"/>
      <c r="H7" s="55">
        <v>2035</v>
      </c>
      <c r="I7" s="55">
        <v>2</v>
      </c>
      <c r="J7" s="55">
        <v>25</v>
      </c>
      <c r="K7" s="55">
        <v>0.9</v>
      </c>
      <c r="L7" s="56">
        <v>0.1</v>
      </c>
      <c r="M7" s="56"/>
      <c r="N7" s="56"/>
      <c r="O7" s="56">
        <v>1088.5405090909089</v>
      </c>
      <c r="P7" s="56">
        <v>1088.5405090909089</v>
      </c>
      <c r="Q7" s="56">
        <v>1088.5405090909089</v>
      </c>
      <c r="R7" s="56">
        <v>1088.5405090909089</v>
      </c>
      <c r="S7" s="56">
        <v>1088.5405090909089</v>
      </c>
      <c r="T7" s="56">
        <v>1088.5405090909089</v>
      </c>
      <c r="U7" s="56">
        <v>1088.5405090909089</v>
      </c>
      <c r="V7" s="56"/>
      <c r="W7" s="56"/>
      <c r="X7" s="56">
        <v>21.770810181818177</v>
      </c>
      <c r="Y7" s="56">
        <v>17.688783272727271</v>
      </c>
      <c r="Z7" s="56">
        <v>13.606756363636361</v>
      </c>
      <c r="AA7" s="56">
        <v>13.606756363636361</v>
      </c>
      <c r="AB7" s="56">
        <v>13.606756363636361</v>
      </c>
      <c r="AC7" s="56">
        <v>13.606756363636361</v>
      </c>
      <c r="AD7" s="56">
        <v>13.606756363636361</v>
      </c>
      <c r="AE7" s="57"/>
      <c r="AF7" s="57"/>
      <c r="AG7" s="57"/>
      <c r="AH7" s="57"/>
      <c r="AI7" s="57"/>
      <c r="AJ7" s="57"/>
      <c r="AK7" s="57"/>
      <c r="AL7" s="57"/>
      <c r="AM7" s="58"/>
      <c r="AN7" s="59">
        <v>1.4492753623188408</v>
      </c>
      <c r="AO7" s="54"/>
      <c r="AP7" s="54">
        <v>1.4492753623188408</v>
      </c>
      <c r="AQ7" s="54">
        <v>1.4492753623188408</v>
      </c>
      <c r="AR7" s="54">
        <v>1.4492753623188408</v>
      </c>
      <c r="AS7" s="54">
        <v>1.4492753623188408</v>
      </c>
      <c r="AT7" s="54">
        <v>1.4492753623188408</v>
      </c>
      <c r="AU7" s="54">
        <v>1.4492753623188408</v>
      </c>
      <c r="AV7" s="54">
        <v>1.4492753623188408</v>
      </c>
      <c r="AW7" s="54">
        <v>1.4492753623188408</v>
      </c>
      <c r="AX7" s="60">
        <v>31.536000000000001</v>
      </c>
      <c r="AY7" s="83">
        <f>K7</f>
        <v>0.9</v>
      </c>
      <c r="AZ7" s="83">
        <v>0</v>
      </c>
      <c r="BA7" s="83">
        <v>0</v>
      </c>
      <c r="BB7" s="83">
        <v>0</v>
      </c>
    </row>
    <row r="8" spans="1:54" s="37" customFormat="1">
      <c r="A8" s="34"/>
      <c r="B8" s="52" t="str">
        <f>"SH2CELCALKSTDb"&amp;RIGHT(H8,2)</f>
        <v>SH2CELCALKSTDb35</v>
      </c>
      <c r="C8" s="52" t="s">
        <v>113</v>
      </c>
      <c r="D8" s="53" t="s">
        <v>111</v>
      </c>
      <c r="E8" s="61" t="s">
        <v>112</v>
      </c>
      <c r="F8" s="54"/>
      <c r="G8" s="54"/>
      <c r="H8" s="55">
        <v>2035</v>
      </c>
      <c r="I8" s="55">
        <v>2</v>
      </c>
      <c r="J8" s="55">
        <v>25</v>
      </c>
      <c r="K8" s="55">
        <v>0.9</v>
      </c>
      <c r="L8" s="56">
        <v>0.1</v>
      </c>
      <c r="M8" s="56"/>
      <c r="N8" s="56"/>
      <c r="O8" s="56">
        <v>950.65871127272715</v>
      </c>
      <c r="P8" s="56">
        <v>950.65871127272715</v>
      </c>
      <c r="Q8" s="56">
        <v>950.65871127272715</v>
      </c>
      <c r="R8" s="56">
        <v>950.65871127272715</v>
      </c>
      <c r="S8" s="56">
        <v>950.65871127272715</v>
      </c>
      <c r="T8" s="56">
        <v>950.65871127272715</v>
      </c>
      <c r="U8" s="56">
        <v>950.65871127272715</v>
      </c>
      <c r="V8" s="56"/>
      <c r="W8" s="56"/>
      <c r="X8" s="56">
        <v>19.013174225454541</v>
      </c>
      <c r="Y8" s="56">
        <v>15.448204058181815</v>
      </c>
      <c r="Z8" s="56">
        <v>11.883233890909089</v>
      </c>
      <c r="AA8" s="56">
        <v>11.883233890909089</v>
      </c>
      <c r="AB8" s="56">
        <v>11.883233890909089</v>
      </c>
      <c r="AC8" s="56">
        <v>11.883233890909089</v>
      </c>
      <c r="AD8" s="56">
        <v>11.883233890909089</v>
      </c>
      <c r="AE8" s="57"/>
      <c r="AF8" s="57"/>
      <c r="AG8" s="57"/>
      <c r="AH8" s="57"/>
      <c r="AI8" s="57"/>
      <c r="AJ8" s="57"/>
      <c r="AK8" s="57"/>
      <c r="AL8" s="57"/>
      <c r="AM8" s="58"/>
      <c r="AN8" s="59">
        <v>1.4492753623188408</v>
      </c>
      <c r="AO8" s="54"/>
      <c r="AP8" s="54">
        <v>1.4492753623188408</v>
      </c>
      <c r="AQ8" s="54">
        <v>1.4492753623188408</v>
      </c>
      <c r="AR8" s="54">
        <v>1.4492753623188408</v>
      </c>
      <c r="AS8" s="54">
        <v>1.4492753623188408</v>
      </c>
      <c r="AT8" s="54">
        <v>1.4492753623188408</v>
      </c>
      <c r="AU8" s="54">
        <v>1.4492753623188408</v>
      </c>
      <c r="AV8" s="54">
        <v>1.4492753623188408</v>
      </c>
      <c r="AW8" s="54">
        <v>1.4492753623188408</v>
      </c>
      <c r="AX8" s="60">
        <v>31.536000000000001</v>
      </c>
      <c r="AY8" s="83">
        <f t="shared" ref="AY8:AY13" si="0">K8</f>
        <v>0.9</v>
      </c>
      <c r="AZ8" s="83">
        <v>0</v>
      </c>
      <c r="BA8" s="83">
        <v>0</v>
      </c>
      <c r="BB8" s="83">
        <v>0</v>
      </c>
    </row>
    <row r="9" spans="1:54" s="37" customFormat="1">
      <c r="A9" s="34"/>
      <c r="B9" s="52" t="str">
        <f>"SH2CELCALKSTDc"&amp;RIGHT(H9,2)</f>
        <v>SH2CELCALKSTDc35</v>
      </c>
      <c r="C9" s="52" t="s">
        <v>114</v>
      </c>
      <c r="D9" s="53" t="s">
        <v>111</v>
      </c>
      <c r="E9" s="61" t="s">
        <v>112</v>
      </c>
      <c r="F9" s="54"/>
      <c r="G9" s="54"/>
      <c r="H9" s="55">
        <v>2035</v>
      </c>
      <c r="I9" s="55">
        <v>2</v>
      </c>
      <c r="J9" s="55">
        <v>25</v>
      </c>
      <c r="K9" s="55">
        <v>0.9</v>
      </c>
      <c r="L9" s="56">
        <v>0.1</v>
      </c>
      <c r="M9" s="56"/>
      <c r="N9" s="56"/>
      <c r="O9" s="56">
        <v>859.94700218181799</v>
      </c>
      <c r="P9" s="56">
        <v>859.94700218181799</v>
      </c>
      <c r="Q9" s="56">
        <v>859.94700218181799</v>
      </c>
      <c r="R9" s="56">
        <v>859.94700218181799</v>
      </c>
      <c r="S9" s="56">
        <v>859.94700218181799</v>
      </c>
      <c r="T9" s="56">
        <v>859.94700218181799</v>
      </c>
      <c r="U9" s="56">
        <v>859.94700218181799</v>
      </c>
      <c r="V9" s="56"/>
      <c r="W9" s="56"/>
      <c r="X9" s="56">
        <v>17.198940043636359</v>
      </c>
      <c r="Y9" s="56">
        <v>13.974138785454544</v>
      </c>
      <c r="Z9" s="56">
        <v>10.749337527272726</v>
      </c>
      <c r="AA9" s="56">
        <v>10.749337527272726</v>
      </c>
      <c r="AB9" s="56">
        <v>10.749337527272726</v>
      </c>
      <c r="AC9" s="56">
        <v>10.749337527272726</v>
      </c>
      <c r="AD9" s="56">
        <v>10.749337527272726</v>
      </c>
      <c r="AE9" s="57"/>
      <c r="AF9" s="57"/>
      <c r="AG9" s="57"/>
      <c r="AH9" s="57"/>
      <c r="AI9" s="57"/>
      <c r="AJ9" s="57"/>
      <c r="AK9" s="57"/>
      <c r="AL9" s="57"/>
      <c r="AM9" s="58"/>
      <c r="AN9" s="59">
        <v>1.4492753623188408</v>
      </c>
      <c r="AO9" s="54"/>
      <c r="AP9" s="54">
        <v>1.4492753623188408</v>
      </c>
      <c r="AQ9" s="54">
        <v>1.4492753623188408</v>
      </c>
      <c r="AR9" s="54">
        <v>1.4492753623188408</v>
      </c>
      <c r="AS9" s="54">
        <v>1.4492753623188408</v>
      </c>
      <c r="AT9" s="54">
        <v>1.4492753623188408</v>
      </c>
      <c r="AU9" s="54">
        <v>1.4492753623188408</v>
      </c>
      <c r="AV9" s="54">
        <v>1.4492753623188408</v>
      </c>
      <c r="AW9" s="54">
        <v>1.4492753623188408</v>
      </c>
      <c r="AX9" s="60">
        <v>31.536000000000001</v>
      </c>
      <c r="AY9" s="83">
        <f t="shared" si="0"/>
        <v>0.9</v>
      </c>
      <c r="AZ9" s="83">
        <v>0</v>
      </c>
      <c r="BA9" s="83">
        <v>0</v>
      </c>
      <c r="BB9" s="83">
        <v>0</v>
      </c>
    </row>
    <row r="10" spans="1:54" s="37" customFormat="1">
      <c r="A10" s="34"/>
      <c r="B10" s="52" t="str">
        <f>"SH2CELCPEMSTDa"&amp;RIGHT(H10,2)</f>
        <v>SH2CELCPEMSTDa35</v>
      </c>
      <c r="C10" s="52" t="s">
        <v>115</v>
      </c>
      <c r="D10" s="53" t="s">
        <v>111</v>
      </c>
      <c r="E10" s="61" t="s">
        <v>112</v>
      </c>
      <c r="F10" s="54"/>
      <c r="G10" s="54"/>
      <c r="H10" s="55">
        <v>2035</v>
      </c>
      <c r="I10" s="55">
        <v>2</v>
      </c>
      <c r="J10" s="55">
        <v>25</v>
      </c>
      <c r="K10" s="55">
        <v>0.9</v>
      </c>
      <c r="L10" s="56">
        <v>0.1</v>
      </c>
      <c r="M10" s="56"/>
      <c r="N10" s="56"/>
      <c r="O10" s="56">
        <v>1496.7431999999999</v>
      </c>
      <c r="P10" s="56">
        <v>1496.7431999999999</v>
      </c>
      <c r="Q10" s="56">
        <v>1496.7431999999999</v>
      </c>
      <c r="R10" s="56">
        <v>1496.7431999999999</v>
      </c>
      <c r="S10" s="56">
        <v>1496.7431999999999</v>
      </c>
      <c r="T10" s="56">
        <v>1496.7431999999999</v>
      </c>
      <c r="U10" s="56">
        <v>1496.7431999999999</v>
      </c>
      <c r="V10" s="56"/>
      <c r="W10" s="56"/>
      <c r="X10" s="56">
        <v>29.93486399999999</v>
      </c>
      <c r="Y10" s="56">
        <v>24.49216145454545</v>
      </c>
      <c r="Z10" s="56">
        <v>19.049458909090905</v>
      </c>
      <c r="AA10" s="56">
        <v>19.049458909090905</v>
      </c>
      <c r="AB10" s="56">
        <v>19.049458909090905</v>
      </c>
      <c r="AC10" s="56">
        <v>19.049458909090905</v>
      </c>
      <c r="AD10" s="56">
        <v>19.049458909090905</v>
      </c>
      <c r="AE10" s="57"/>
      <c r="AF10" s="57"/>
      <c r="AG10" s="57"/>
      <c r="AH10" s="57"/>
      <c r="AI10" s="57"/>
      <c r="AJ10" s="57"/>
      <c r="AK10" s="57"/>
      <c r="AL10" s="57"/>
      <c r="AM10" s="58"/>
      <c r="AN10" s="59">
        <v>1.2391304347826089</v>
      </c>
      <c r="AO10" s="54"/>
      <c r="AP10" s="54">
        <v>1.3333333333333337</v>
      </c>
      <c r="AQ10" s="54">
        <v>1.3333333333333337</v>
      </c>
      <c r="AR10" s="54">
        <v>1.3333333333333337</v>
      </c>
      <c r="AS10" s="54">
        <v>1.1449275362318843</v>
      </c>
      <c r="AT10" s="54">
        <v>1.1449275362318843</v>
      </c>
      <c r="AU10" s="54">
        <v>1.1449275362318843</v>
      </c>
      <c r="AV10" s="54">
        <v>1.1449275362318843</v>
      </c>
      <c r="AW10" s="54">
        <v>1.1449275362318843</v>
      </c>
      <c r="AX10" s="60">
        <v>31.536000000000001</v>
      </c>
      <c r="AY10" s="83">
        <f t="shared" si="0"/>
        <v>0.9</v>
      </c>
      <c r="AZ10" s="83">
        <v>0</v>
      </c>
      <c r="BA10" s="83">
        <v>0</v>
      </c>
      <c r="BB10" s="83">
        <v>0</v>
      </c>
    </row>
    <row r="11" spans="1:54" s="37" customFormat="1">
      <c r="A11" s="34"/>
      <c r="B11" s="52" t="str">
        <f>"SH2CELCPEMSTDb"&amp;RIGHT(H11,2)</f>
        <v>SH2CELCPEMSTDb35</v>
      </c>
      <c r="C11" s="52" t="s">
        <v>116</v>
      </c>
      <c r="D11" s="53" t="s">
        <v>111</v>
      </c>
      <c r="E11" s="61" t="s">
        <v>112</v>
      </c>
      <c r="F11" s="54"/>
      <c r="G11" s="54"/>
      <c r="H11" s="55">
        <v>2035</v>
      </c>
      <c r="I11" s="55">
        <v>2</v>
      </c>
      <c r="J11" s="55">
        <v>25</v>
      </c>
      <c r="K11" s="55">
        <v>0.9</v>
      </c>
      <c r="L11" s="56">
        <v>0.1</v>
      </c>
      <c r="M11" s="56"/>
      <c r="N11" s="56"/>
      <c r="O11" s="56">
        <v>1037.7419519999999</v>
      </c>
      <c r="P11" s="56">
        <v>1037.7419519999999</v>
      </c>
      <c r="Q11" s="56">
        <v>1037.7419519999999</v>
      </c>
      <c r="R11" s="56">
        <v>1037.7419519999999</v>
      </c>
      <c r="S11" s="56">
        <v>1037.7419519999999</v>
      </c>
      <c r="T11" s="56">
        <v>1037.7419519999999</v>
      </c>
      <c r="U11" s="56">
        <v>1037.7419519999999</v>
      </c>
      <c r="V11" s="56"/>
      <c r="W11" s="56"/>
      <c r="X11" s="56">
        <v>20.754839039999997</v>
      </c>
      <c r="Y11" s="56">
        <v>16.98123194181818</v>
      </c>
      <c r="Z11" s="56">
        <v>13.207624843636363</v>
      </c>
      <c r="AA11" s="56">
        <v>13.207624843636363</v>
      </c>
      <c r="AB11" s="56">
        <v>13.207624843636363</v>
      </c>
      <c r="AC11" s="56">
        <v>13.207624843636363</v>
      </c>
      <c r="AD11" s="56">
        <v>13.207624843636363</v>
      </c>
      <c r="AE11" s="57"/>
      <c r="AF11" s="57"/>
      <c r="AG11" s="57"/>
      <c r="AH11" s="57"/>
      <c r="AI11" s="57"/>
      <c r="AJ11" s="57"/>
      <c r="AK11" s="57"/>
      <c r="AL11" s="57"/>
      <c r="AM11" s="58"/>
      <c r="AN11" s="59">
        <v>1.2391304347826091</v>
      </c>
      <c r="AO11" s="54"/>
      <c r="AP11" s="54">
        <v>1.3333333333333337</v>
      </c>
      <c r="AQ11" s="54">
        <v>1.3333333333333337</v>
      </c>
      <c r="AR11" s="54">
        <v>1.3333333333333337</v>
      </c>
      <c r="AS11" s="54">
        <v>1.1449275362318843</v>
      </c>
      <c r="AT11" s="54">
        <v>1.1449275362318843</v>
      </c>
      <c r="AU11" s="54">
        <v>1.1449275362318843</v>
      </c>
      <c r="AV11" s="54">
        <v>1.1449275362318843</v>
      </c>
      <c r="AW11" s="54">
        <v>1.1449275362318843</v>
      </c>
      <c r="AX11" s="60">
        <v>31.536000000000001</v>
      </c>
      <c r="AY11" s="83">
        <f t="shared" si="0"/>
        <v>0.9</v>
      </c>
      <c r="AZ11" s="83">
        <v>0</v>
      </c>
      <c r="BA11" s="83">
        <v>0</v>
      </c>
      <c r="BB11" s="83">
        <v>0</v>
      </c>
    </row>
    <row r="12" spans="1:54" s="37" customFormat="1">
      <c r="A12" s="34"/>
      <c r="B12" s="52" t="str">
        <f>"SH2CELCPEMSTDc"&amp;RIGHT(H12,2)</f>
        <v>SH2CELCPEMSTDc35</v>
      </c>
      <c r="C12" s="52" t="s">
        <v>117</v>
      </c>
      <c r="D12" s="53" t="s">
        <v>111</v>
      </c>
      <c r="E12" s="61" t="s">
        <v>112</v>
      </c>
      <c r="F12" s="54"/>
      <c r="G12" s="54"/>
      <c r="H12" s="55">
        <v>2035</v>
      </c>
      <c r="I12" s="55">
        <v>2</v>
      </c>
      <c r="J12" s="55">
        <v>25</v>
      </c>
      <c r="K12" s="55">
        <v>0.9</v>
      </c>
      <c r="L12" s="56">
        <v>0.1</v>
      </c>
      <c r="M12" s="56"/>
      <c r="N12" s="56"/>
      <c r="O12" s="56">
        <v>898.04591999999991</v>
      </c>
      <c r="P12" s="56">
        <v>898.04591999999991</v>
      </c>
      <c r="Q12" s="56">
        <v>898.04591999999991</v>
      </c>
      <c r="R12" s="56">
        <v>898.04591999999991</v>
      </c>
      <c r="S12" s="56">
        <v>898.04591999999991</v>
      </c>
      <c r="T12" s="56">
        <v>898.04591999999991</v>
      </c>
      <c r="U12" s="56">
        <v>898.04591999999991</v>
      </c>
      <c r="V12" s="56"/>
      <c r="W12" s="56"/>
      <c r="X12" s="56">
        <v>17.960918399999997</v>
      </c>
      <c r="Y12" s="56">
        <v>14.695296872727273</v>
      </c>
      <c r="Z12" s="56">
        <v>11.429675345454545</v>
      </c>
      <c r="AA12" s="56">
        <v>11.429675345454545</v>
      </c>
      <c r="AB12" s="56">
        <v>11.429675345454545</v>
      </c>
      <c r="AC12" s="56">
        <v>11.429675345454545</v>
      </c>
      <c r="AD12" s="56">
        <v>11.429675345454545</v>
      </c>
      <c r="AE12" s="57"/>
      <c r="AF12" s="57"/>
      <c r="AG12" s="57"/>
      <c r="AH12" s="57"/>
      <c r="AI12" s="57"/>
      <c r="AJ12" s="57"/>
      <c r="AK12" s="57"/>
      <c r="AL12" s="57"/>
      <c r="AM12" s="58"/>
      <c r="AN12" s="59">
        <v>1.2391304347826089</v>
      </c>
      <c r="AO12" s="54"/>
      <c r="AP12" s="54">
        <v>1.3333333333333337</v>
      </c>
      <c r="AQ12" s="54">
        <v>1.3333333333333337</v>
      </c>
      <c r="AR12" s="54">
        <v>1.3333333333333337</v>
      </c>
      <c r="AS12" s="54">
        <v>1.1449275362318843</v>
      </c>
      <c r="AT12" s="54">
        <v>1.1449275362318843</v>
      </c>
      <c r="AU12" s="54">
        <v>1.1449275362318843</v>
      </c>
      <c r="AV12" s="54">
        <v>1.1449275362318843</v>
      </c>
      <c r="AW12" s="54">
        <v>1.1449275362318843</v>
      </c>
      <c r="AX12" s="60">
        <v>31.536000000000001</v>
      </c>
      <c r="AY12" s="83">
        <f t="shared" si="0"/>
        <v>0.9</v>
      </c>
      <c r="AZ12" s="83">
        <v>0</v>
      </c>
      <c r="BA12" s="83">
        <v>0</v>
      </c>
      <c r="BB12" s="83">
        <v>0</v>
      </c>
    </row>
    <row r="13" spans="1:54" s="37" customFormat="1">
      <c r="A13" s="34"/>
      <c r="B13" s="52" t="str">
        <f>"SH2CELCSOESTD"&amp;RIGHT(H13,2)</f>
        <v>SH2CELCSOESTD35</v>
      </c>
      <c r="C13" s="52" t="s">
        <v>118</v>
      </c>
      <c r="D13" s="53" t="s">
        <v>111</v>
      </c>
      <c r="E13" s="61" t="s">
        <v>112</v>
      </c>
      <c r="F13" s="54"/>
      <c r="G13" s="54"/>
      <c r="H13" s="55">
        <v>2035</v>
      </c>
      <c r="I13" s="55">
        <v>2</v>
      </c>
      <c r="J13" s="55">
        <v>25</v>
      </c>
      <c r="K13" s="55">
        <v>0.9</v>
      </c>
      <c r="L13" s="56">
        <v>0.1</v>
      </c>
      <c r="M13" s="56"/>
      <c r="N13" s="56"/>
      <c r="O13" s="56">
        <v>2434.0602059509661</v>
      </c>
      <c r="P13" s="56">
        <v>2434.0602059509661</v>
      </c>
      <c r="Q13" s="56">
        <v>2434.0602059509661</v>
      </c>
      <c r="R13" s="56">
        <v>2434.0602059509661</v>
      </c>
      <c r="S13" s="56">
        <v>2434.0602059509661</v>
      </c>
      <c r="T13" s="56">
        <v>2434.0602059509661</v>
      </c>
      <c r="U13" s="56">
        <v>2434.0602059509661</v>
      </c>
      <c r="V13" s="56"/>
      <c r="W13" s="56"/>
      <c r="X13" s="56">
        <v>74.47999999999999</v>
      </c>
      <c r="Y13" s="56">
        <v>74.47999999999999</v>
      </c>
      <c r="Z13" s="56">
        <v>74.47999999999999</v>
      </c>
      <c r="AA13" s="56">
        <v>74.47999999999999</v>
      </c>
      <c r="AB13" s="56">
        <v>74.47999999999999</v>
      </c>
      <c r="AC13" s="56">
        <v>74.47999999999999</v>
      </c>
      <c r="AD13" s="56">
        <v>74.47999999999999</v>
      </c>
      <c r="AE13" s="57"/>
      <c r="AF13" s="57"/>
      <c r="AG13" s="57"/>
      <c r="AH13" s="57"/>
      <c r="AI13" s="57"/>
      <c r="AJ13" s="57"/>
      <c r="AK13" s="57"/>
      <c r="AL13" s="57"/>
      <c r="AM13" s="58"/>
      <c r="AN13" s="59">
        <v>1.0935674301314384</v>
      </c>
      <c r="AO13" s="54"/>
      <c r="AP13" s="54"/>
      <c r="AQ13" s="54">
        <v>1.1695343647503698</v>
      </c>
      <c r="AR13" s="54">
        <v>1.1324826981758063</v>
      </c>
      <c r="AS13" s="54">
        <v>1.1017751541924659</v>
      </c>
      <c r="AT13" s="54">
        <v>1.080941348175678</v>
      </c>
      <c r="AU13" s="54">
        <v>1.0640185734783962</v>
      </c>
      <c r="AV13" s="54">
        <v>1.055939498315577</v>
      </c>
      <c r="AW13" s="54">
        <v>1.050280373831775</v>
      </c>
      <c r="AX13" s="60">
        <v>31.536000000000001</v>
      </c>
      <c r="AY13" s="83">
        <f t="shared" si="0"/>
        <v>0.9</v>
      </c>
      <c r="AZ13" s="83">
        <v>0</v>
      </c>
      <c r="BA13" s="83">
        <v>0</v>
      </c>
      <c r="BB13" s="83">
        <v>0</v>
      </c>
    </row>
  </sheetData>
  <phoneticPr fontId="31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5B9ED-E29C-4D47-A018-7FDD6085B42D}">
  <sheetPr>
    <tabColor rgb="FFFFC000"/>
  </sheetPr>
  <dimension ref="A1:AM16"/>
  <sheetViews>
    <sheetView workbookViewId="0">
      <selection activeCell="C24" sqref="C24"/>
    </sheetView>
  </sheetViews>
  <sheetFormatPr defaultRowHeight="14.45"/>
  <cols>
    <col min="2" max="2" width="16.140625" bestFit="1" customWidth="1"/>
    <col min="3" max="3" width="35.42578125" customWidth="1"/>
    <col min="5" max="5" width="10.42578125" customWidth="1"/>
    <col min="13" max="17" width="10.85546875" customWidth="1"/>
  </cols>
  <sheetData>
    <row r="1" spans="1:39">
      <c r="A1" t="s">
        <v>51</v>
      </c>
    </row>
    <row r="4" spans="1:39">
      <c r="L4" s="36"/>
    </row>
    <row r="5" spans="1:39" s="37" customFormat="1">
      <c r="A5" s="34"/>
      <c r="B5" s="34"/>
      <c r="C5" s="34"/>
      <c r="D5" s="34"/>
      <c r="E5" s="98" t="s">
        <v>52</v>
      </c>
      <c r="F5" s="36"/>
      <c r="G5" s="36"/>
      <c r="H5" s="36"/>
      <c r="I5" s="36"/>
      <c r="J5" s="36"/>
      <c r="K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I5" s="42"/>
    </row>
    <row r="6" spans="1:39" s="37" customFormat="1" ht="28.9">
      <c r="A6" s="34"/>
      <c r="B6" s="99" t="s">
        <v>28</v>
      </c>
      <c r="C6" s="99" t="s">
        <v>53</v>
      </c>
      <c r="D6" s="100" t="s">
        <v>54</v>
      </c>
      <c r="E6" s="100" t="s">
        <v>55</v>
      </c>
      <c r="F6" s="101" t="s">
        <v>56</v>
      </c>
      <c r="G6" s="101" t="s">
        <v>57</v>
      </c>
      <c r="H6" s="99" t="s">
        <v>58</v>
      </c>
      <c r="I6" s="99" t="s">
        <v>119</v>
      </c>
      <c r="J6" s="99" t="s">
        <v>60</v>
      </c>
      <c r="K6" s="99" t="s">
        <v>61</v>
      </c>
      <c r="L6" s="38" t="s">
        <v>62</v>
      </c>
      <c r="M6" s="38" t="s">
        <v>63</v>
      </c>
      <c r="N6" s="38" t="s">
        <v>65</v>
      </c>
      <c r="O6" s="38" t="s">
        <v>67</v>
      </c>
      <c r="P6" s="38" t="s">
        <v>69</v>
      </c>
      <c r="Q6" s="38" t="s">
        <v>71</v>
      </c>
      <c r="R6" s="38" t="s">
        <v>72</v>
      </c>
      <c r="S6" s="38" t="s">
        <v>74</v>
      </c>
      <c r="T6" s="38" t="s">
        <v>76</v>
      </c>
      <c r="U6" s="38" t="s">
        <v>78</v>
      </c>
      <c r="V6" s="38" t="s">
        <v>80</v>
      </c>
      <c r="W6" s="102" t="s">
        <v>120</v>
      </c>
      <c r="X6" s="99" t="s">
        <v>121</v>
      </c>
      <c r="Y6" s="99" t="s">
        <v>122</v>
      </c>
      <c r="Z6" s="99" t="s">
        <v>123</v>
      </c>
      <c r="AA6" s="99" t="s">
        <v>124</v>
      </c>
      <c r="AB6" s="99" t="s">
        <v>125</v>
      </c>
      <c r="AC6" s="99" t="s">
        <v>126</v>
      </c>
      <c r="AD6" s="99" t="s">
        <v>127</v>
      </c>
      <c r="AE6" s="99" t="s">
        <v>128</v>
      </c>
      <c r="AF6" s="99" t="s">
        <v>129</v>
      </c>
      <c r="AI6" s="42"/>
    </row>
    <row r="7" spans="1:39" s="37" customFormat="1" ht="29.45" thickBot="1">
      <c r="A7" s="34"/>
      <c r="B7" s="103" t="s">
        <v>130</v>
      </c>
      <c r="C7" s="104"/>
      <c r="D7" s="104"/>
      <c r="E7" s="104"/>
      <c r="F7" s="105" t="s">
        <v>106</v>
      </c>
      <c r="G7" s="105"/>
      <c r="H7" s="106"/>
      <c r="I7" s="106"/>
      <c r="J7" s="106"/>
      <c r="K7" s="106"/>
      <c r="L7" s="47"/>
      <c r="M7" s="106" t="s">
        <v>131</v>
      </c>
      <c r="N7" s="106" t="s">
        <v>131</v>
      </c>
      <c r="O7" s="106" t="s">
        <v>131</v>
      </c>
      <c r="P7" s="106" t="s">
        <v>131</v>
      </c>
      <c r="Q7" s="106" t="s">
        <v>131</v>
      </c>
      <c r="R7" s="106" t="s">
        <v>132</v>
      </c>
      <c r="S7" s="106" t="s">
        <v>132</v>
      </c>
      <c r="T7" s="106" t="s">
        <v>132</v>
      </c>
      <c r="U7" s="106" t="s">
        <v>132</v>
      </c>
      <c r="V7" s="106" t="s">
        <v>132</v>
      </c>
      <c r="W7" s="107" t="s">
        <v>106</v>
      </c>
      <c r="X7" s="106" t="s">
        <v>106</v>
      </c>
      <c r="Y7" s="106" t="s">
        <v>106</v>
      </c>
      <c r="Z7" s="106" t="s">
        <v>106</v>
      </c>
      <c r="AA7" s="106" t="s">
        <v>106</v>
      </c>
      <c r="AB7" s="106" t="s">
        <v>106</v>
      </c>
      <c r="AC7" s="106" t="s">
        <v>106</v>
      </c>
      <c r="AD7" s="106" t="s">
        <v>106</v>
      </c>
      <c r="AE7" s="106" t="s">
        <v>106</v>
      </c>
      <c r="AF7" s="106" t="s">
        <v>106</v>
      </c>
      <c r="AI7" s="42"/>
    </row>
    <row r="8" spans="1:39" s="37" customFormat="1" ht="13.5" customHeight="1">
      <c r="A8" s="34"/>
      <c r="B8" s="115" t="s">
        <v>133</v>
      </c>
      <c r="C8" s="116" t="s">
        <v>134</v>
      </c>
      <c r="D8" s="81" t="s">
        <v>112</v>
      </c>
      <c r="E8" s="81" t="s">
        <v>135</v>
      </c>
      <c r="F8" s="114"/>
      <c r="G8" s="108"/>
      <c r="H8" s="109">
        <v>2040</v>
      </c>
      <c r="I8" s="109"/>
      <c r="J8" s="109">
        <v>30</v>
      </c>
      <c r="K8" s="110">
        <v>0.9</v>
      </c>
      <c r="L8" s="56">
        <v>0.1</v>
      </c>
      <c r="M8" s="111">
        <v>862.62312902294241</v>
      </c>
      <c r="N8" s="111">
        <v>862.62312902294241</v>
      </c>
      <c r="O8" s="111">
        <v>862.62312902294241</v>
      </c>
      <c r="P8" s="111">
        <v>862.62312902294241</v>
      </c>
      <c r="Q8" s="111">
        <v>862.62312902294241</v>
      </c>
      <c r="R8" s="111">
        <v>34.504925160917701</v>
      </c>
      <c r="S8" s="111">
        <v>34.504925160917701</v>
      </c>
      <c r="T8" s="111">
        <v>34.504925160917701</v>
      </c>
      <c r="U8" s="111">
        <v>34.504925160917701</v>
      </c>
      <c r="V8" s="111">
        <v>34.504925160917701</v>
      </c>
      <c r="W8" s="112">
        <v>0.9</v>
      </c>
      <c r="X8" s="113">
        <v>0.9</v>
      </c>
      <c r="Y8" s="113">
        <v>0.9</v>
      </c>
      <c r="Z8" s="113">
        <v>0.9</v>
      </c>
      <c r="AA8" s="113">
        <v>0.9</v>
      </c>
      <c r="AB8" s="113">
        <v>0.9</v>
      </c>
      <c r="AC8" s="113">
        <v>0.9</v>
      </c>
      <c r="AD8" s="113">
        <v>0.9</v>
      </c>
      <c r="AE8" s="113">
        <v>0.9</v>
      </c>
      <c r="AF8" s="113">
        <v>0.9</v>
      </c>
      <c r="AI8" s="42"/>
    </row>
    <row r="9" spans="1:39" s="121" customFormat="1">
      <c r="A9" s="117"/>
      <c r="B9" s="118" t="s">
        <v>136</v>
      </c>
      <c r="C9" s="119" t="s">
        <v>137</v>
      </c>
      <c r="D9" s="81" t="s">
        <v>112</v>
      </c>
      <c r="E9" s="81" t="s">
        <v>135</v>
      </c>
      <c r="F9" s="114"/>
      <c r="G9" s="120"/>
      <c r="H9" s="109">
        <v>2040</v>
      </c>
      <c r="I9" s="109"/>
      <c r="J9" s="109">
        <v>30</v>
      </c>
      <c r="K9" s="110">
        <v>0.9</v>
      </c>
      <c r="L9" s="56">
        <v>0.1</v>
      </c>
      <c r="M9" s="111">
        <v>337.43924242424237</v>
      </c>
      <c r="N9" s="111">
        <v>337.43924242424237</v>
      </c>
      <c r="O9" s="111">
        <v>337.43924242424237</v>
      </c>
      <c r="P9" s="111">
        <v>337.43924242424237</v>
      </c>
      <c r="Q9" s="111">
        <v>337.43924242424237</v>
      </c>
      <c r="R9" s="111">
        <v>99.31126138181817</v>
      </c>
      <c r="S9" s="111">
        <v>99.31126138181817</v>
      </c>
      <c r="T9" s="111">
        <v>99.31126138181817</v>
      </c>
      <c r="U9" s="111">
        <v>99.31126138181817</v>
      </c>
      <c r="V9" s="111">
        <v>99.31126138181817</v>
      </c>
      <c r="W9" s="112">
        <v>0.8</v>
      </c>
      <c r="X9" s="113">
        <v>0.8</v>
      </c>
      <c r="Y9" s="113">
        <v>0.8</v>
      </c>
      <c r="Z9" s="113">
        <v>0.8</v>
      </c>
      <c r="AA9" s="113">
        <v>0.8</v>
      </c>
      <c r="AB9" s="113">
        <v>0.8</v>
      </c>
      <c r="AC9" s="113">
        <v>0.8</v>
      </c>
      <c r="AD9" s="113">
        <v>0.8</v>
      </c>
      <c r="AE9" s="113">
        <v>0.8</v>
      </c>
      <c r="AF9" s="113">
        <v>0.8</v>
      </c>
      <c r="AI9" s="122"/>
    </row>
    <row r="10" spans="1:39" s="37" customFormat="1">
      <c r="A10" s="34"/>
      <c r="B10" s="115" t="s">
        <v>138</v>
      </c>
      <c r="C10" s="123" t="s">
        <v>139</v>
      </c>
      <c r="D10" s="81" t="s">
        <v>112</v>
      </c>
      <c r="E10" s="81" t="s">
        <v>135</v>
      </c>
      <c r="F10" s="114"/>
      <c r="G10" s="108"/>
      <c r="H10" s="109">
        <v>2040</v>
      </c>
      <c r="I10" s="109"/>
      <c r="J10" s="109">
        <v>30</v>
      </c>
      <c r="K10" s="110">
        <v>0.9</v>
      </c>
      <c r="L10" s="56">
        <v>0.1</v>
      </c>
      <c r="M10" s="111">
        <v>7876.7960303030313</v>
      </c>
      <c r="N10" s="111">
        <v>7876.7960303030313</v>
      </c>
      <c r="O10" s="111">
        <v>7876.7960303030313</v>
      </c>
      <c r="P10" s="111">
        <v>7876.7960303030313</v>
      </c>
      <c r="Q10" s="111">
        <v>7876.7960303030313</v>
      </c>
      <c r="R10" s="111">
        <v>34.504925160917701</v>
      </c>
      <c r="S10" s="111">
        <v>34.504925160917701</v>
      </c>
      <c r="T10" s="111">
        <v>34.504925160917701</v>
      </c>
      <c r="U10" s="111">
        <v>34.504925160917701</v>
      </c>
      <c r="V10" s="111">
        <v>34.504925160917701</v>
      </c>
      <c r="W10" s="112">
        <v>0.8</v>
      </c>
      <c r="X10" s="113">
        <v>0.8</v>
      </c>
      <c r="Y10" s="113">
        <v>0.8</v>
      </c>
      <c r="Z10" s="113">
        <v>0.8</v>
      </c>
      <c r="AA10" s="113">
        <v>0.8</v>
      </c>
      <c r="AB10" s="113">
        <v>0.8</v>
      </c>
      <c r="AC10" s="113">
        <v>0.8</v>
      </c>
      <c r="AD10" s="113">
        <v>0.8</v>
      </c>
      <c r="AE10" s="113">
        <v>0.8</v>
      </c>
      <c r="AF10" s="113">
        <v>0.8</v>
      </c>
      <c r="AI10" s="42"/>
    </row>
    <row r="11" spans="1:39">
      <c r="L11" s="124"/>
    </row>
    <row r="12" spans="1:39">
      <c r="L12" s="124"/>
    </row>
    <row r="13" spans="1:39" s="37" customFormat="1">
      <c r="A13" s="34"/>
      <c r="B13" s="34"/>
      <c r="C13" s="34"/>
      <c r="D13" s="34"/>
      <c r="E13" s="34"/>
      <c r="F13" s="35" t="s">
        <v>52</v>
      </c>
      <c r="G13" s="36"/>
      <c r="H13" s="36"/>
      <c r="I13" s="36"/>
      <c r="J13" s="131"/>
      <c r="K13" s="36"/>
      <c r="L13" s="36"/>
      <c r="M13" s="36"/>
      <c r="N13" s="36"/>
      <c r="O13" s="36"/>
      <c r="P13" s="131"/>
      <c r="Q13" s="131"/>
      <c r="R13" s="131"/>
      <c r="S13" s="131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131"/>
      <c r="AE13" s="131"/>
      <c r="AF13" s="131"/>
      <c r="AG13" s="131"/>
      <c r="AH13" s="131"/>
      <c r="AI13" s="131"/>
      <c r="AJ13" s="131"/>
      <c r="AK13" s="131"/>
      <c r="AL13" s="131"/>
      <c r="AM13" s="131"/>
    </row>
    <row r="14" spans="1:39" s="37" customFormat="1" ht="43.15">
      <c r="A14" s="34"/>
      <c r="B14" s="38" t="s">
        <v>28</v>
      </c>
      <c r="C14" s="38" t="s">
        <v>53</v>
      </c>
      <c r="D14" s="132" t="s">
        <v>140</v>
      </c>
      <c r="E14" s="38" t="s">
        <v>54</v>
      </c>
      <c r="F14" s="38" t="s">
        <v>55</v>
      </c>
      <c r="G14" s="39" t="s">
        <v>141</v>
      </c>
      <c r="H14" s="39" t="s">
        <v>142</v>
      </c>
      <c r="I14" s="38" t="s">
        <v>58</v>
      </c>
      <c r="J14" s="38" t="s">
        <v>60</v>
      </c>
      <c r="K14" s="38" t="s">
        <v>61</v>
      </c>
      <c r="L14" s="38" t="s">
        <v>63</v>
      </c>
      <c r="M14" s="38" t="s">
        <v>64</v>
      </c>
      <c r="N14" s="38" t="s">
        <v>65</v>
      </c>
      <c r="O14" s="38" t="s">
        <v>66</v>
      </c>
      <c r="P14" s="38" t="s">
        <v>67</v>
      </c>
      <c r="Q14" s="38" t="s">
        <v>68</v>
      </c>
      <c r="R14" s="38" t="s">
        <v>69</v>
      </c>
      <c r="S14" s="38" t="s">
        <v>70</v>
      </c>
      <c r="T14" s="38" t="s">
        <v>71</v>
      </c>
      <c r="U14" s="38" t="s">
        <v>72</v>
      </c>
      <c r="V14" s="38" t="s">
        <v>73</v>
      </c>
      <c r="W14" s="38" t="s">
        <v>74</v>
      </c>
      <c r="X14" s="38" t="s">
        <v>75</v>
      </c>
      <c r="Y14" s="38" t="s">
        <v>76</v>
      </c>
      <c r="Z14" s="38" t="s">
        <v>77</v>
      </c>
      <c r="AA14" s="38" t="s">
        <v>78</v>
      </c>
      <c r="AB14" s="38" t="s">
        <v>79</v>
      </c>
      <c r="AC14" s="38" t="s">
        <v>80</v>
      </c>
      <c r="AD14" s="40" t="s">
        <v>90</v>
      </c>
      <c r="AE14" s="38" t="s">
        <v>91</v>
      </c>
      <c r="AF14" s="38" t="s">
        <v>92</v>
      </c>
      <c r="AG14" s="38" t="s">
        <v>93</v>
      </c>
      <c r="AH14" s="38" t="s">
        <v>94</v>
      </c>
      <c r="AI14" s="38" t="s">
        <v>95</v>
      </c>
      <c r="AJ14" s="38" t="s">
        <v>96</v>
      </c>
      <c r="AK14" s="38" t="s">
        <v>97</v>
      </c>
      <c r="AL14" s="38" t="s">
        <v>98</v>
      </c>
      <c r="AM14" s="38" t="s">
        <v>99</v>
      </c>
    </row>
    <row r="15" spans="1:39" s="51" customFormat="1" ht="15" thickBot="1">
      <c r="A15" s="34"/>
      <c r="B15" s="43" t="s">
        <v>143</v>
      </c>
      <c r="C15" s="44"/>
      <c r="D15" s="44"/>
      <c r="E15" s="45"/>
      <c r="F15" s="44"/>
      <c r="G15" s="46"/>
      <c r="H15" s="46"/>
      <c r="I15" s="47"/>
      <c r="J15" s="47"/>
      <c r="K15" s="47" t="s">
        <v>106</v>
      </c>
      <c r="L15" s="47" t="s">
        <v>144</v>
      </c>
      <c r="M15" s="47" t="s">
        <v>144</v>
      </c>
      <c r="N15" s="47" t="s">
        <v>144</v>
      </c>
      <c r="O15" s="47" t="s">
        <v>144</v>
      </c>
      <c r="P15" s="47" t="s">
        <v>144</v>
      </c>
      <c r="Q15" s="47" t="s">
        <v>144</v>
      </c>
      <c r="R15" s="47" t="s">
        <v>144</v>
      </c>
      <c r="S15" s="47" t="s">
        <v>144</v>
      </c>
      <c r="T15" s="47" t="s">
        <v>144</v>
      </c>
      <c r="U15" s="47" t="s">
        <v>144</v>
      </c>
      <c r="V15" s="47" t="s">
        <v>144</v>
      </c>
      <c r="W15" s="47" t="s">
        <v>144</v>
      </c>
      <c r="X15" s="47" t="s">
        <v>144</v>
      </c>
      <c r="Y15" s="47" t="s">
        <v>144</v>
      </c>
      <c r="Z15" s="47" t="s">
        <v>144</v>
      </c>
      <c r="AA15" s="47" t="s">
        <v>144</v>
      </c>
      <c r="AB15" s="47" t="s">
        <v>144</v>
      </c>
      <c r="AC15" s="47" t="s">
        <v>144</v>
      </c>
      <c r="AD15" s="49" t="s">
        <v>106</v>
      </c>
      <c r="AE15" s="47" t="s">
        <v>106</v>
      </c>
      <c r="AF15" s="47" t="s">
        <v>106</v>
      </c>
      <c r="AG15" s="47" t="s">
        <v>106</v>
      </c>
      <c r="AH15" s="47" t="s">
        <v>106</v>
      </c>
      <c r="AI15" s="47" t="s">
        <v>106</v>
      </c>
      <c r="AJ15" s="47" t="s">
        <v>106</v>
      </c>
      <c r="AK15" s="47" t="s">
        <v>106</v>
      </c>
      <c r="AL15" s="47" t="s">
        <v>106</v>
      </c>
      <c r="AM15" s="47" t="s">
        <v>106</v>
      </c>
    </row>
    <row r="16" spans="1:39" s="37" customFormat="1">
      <c r="A16" s="34"/>
      <c r="B16" s="115" t="str">
        <f>"SH2PIPGASSTDc"&amp;RIGHT(I16,2)</f>
        <v>SH2PIPGASSTDc40</v>
      </c>
      <c r="C16" s="123" t="s">
        <v>145</v>
      </c>
      <c r="D16" s="135"/>
      <c r="E16" s="81" t="s">
        <v>135</v>
      </c>
      <c r="F16" s="81" t="s">
        <v>146</v>
      </c>
      <c r="G16" s="133"/>
      <c r="H16" s="133"/>
      <c r="I16" s="55">
        <v>2040</v>
      </c>
      <c r="J16" s="55">
        <f>[1]Summary!J71</f>
        <v>10</v>
      </c>
      <c r="K16" s="134">
        <f>[1]Summary!K71</f>
        <v>0.2</v>
      </c>
      <c r="L16" s="111">
        <f>[1]Summary!M71</f>
        <v>1.4757820745694632</v>
      </c>
      <c r="M16" s="111">
        <f>[1]Summary!N71</f>
        <v>1.4757820745694632</v>
      </c>
      <c r="N16" s="111">
        <f>[1]Summary!O71</f>
        <v>1.4757820745694632</v>
      </c>
      <c r="O16" s="111">
        <f>[1]Summary!P71</f>
        <v>1.4757820745694632</v>
      </c>
      <c r="P16" s="111">
        <f>[1]Summary!Q71</f>
        <v>1.4757820745694632</v>
      </c>
      <c r="Q16" s="111">
        <f>[1]Summary!R71</f>
        <v>1.4757820745694632</v>
      </c>
      <c r="R16" s="111">
        <f>[1]Summary!S71</f>
        <v>1.4757820745694632</v>
      </c>
      <c r="S16" s="111">
        <f>[1]Summary!T71</f>
        <v>1.4757820745694632</v>
      </c>
      <c r="T16" s="111">
        <f>[1]Summary!U71</f>
        <v>1.4757820745694632</v>
      </c>
      <c r="U16" s="111">
        <f>[1]Summary!W71</f>
        <v>5.903128298277853E-2</v>
      </c>
      <c r="V16" s="111">
        <f>[1]Summary!X71</f>
        <v>5.903128298277853E-2</v>
      </c>
      <c r="W16" s="111">
        <f>[1]Summary!Y71</f>
        <v>5.903128298277853E-2</v>
      </c>
      <c r="X16" s="111">
        <f>[1]Summary!Z71</f>
        <v>5.903128298277853E-2</v>
      </c>
      <c r="Y16" s="111">
        <f>[1]Summary!AA71</f>
        <v>5.903128298277853E-2</v>
      </c>
      <c r="Z16" s="111">
        <f>[1]Summary!AB71</f>
        <v>5.903128298277853E-2</v>
      </c>
      <c r="AA16" s="111">
        <f>[1]Summary!AC71</f>
        <v>5.903128298277853E-2</v>
      </c>
      <c r="AB16" s="111">
        <f>[1]Summary!AD71</f>
        <v>5.903128298277853E-2</v>
      </c>
      <c r="AC16" s="111">
        <f>[1]Summary!AE71</f>
        <v>5.903128298277853E-2</v>
      </c>
      <c r="AD16" s="136">
        <f>[1]Summary!AP71</f>
        <v>0.99</v>
      </c>
      <c r="AE16" s="136">
        <f>[1]Summary!AR71</f>
        <v>0.99</v>
      </c>
      <c r="AF16" s="136">
        <f>[1]Summary!AS71</f>
        <v>0.99</v>
      </c>
      <c r="AG16" s="136">
        <f>[1]Summary!AT71</f>
        <v>0.99</v>
      </c>
      <c r="AH16" s="136">
        <f>[1]Summary!AU71</f>
        <v>0.99</v>
      </c>
      <c r="AI16" s="136">
        <f>[1]Summary!AV71</f>
        <v>0.99</v>
      </c>
      <c r="AJ16" s="136">
        <f>[1]Summary!AW71</f>
        <v>0.99</v>
      </c>
      <c r="AK16" s="136">
        <f>[1]Summary!AX71</f>
        <v>0.99</v>
      </c>
      <c r="AL16" s="136">
        <f>[1]Summary!AY71</f>
        <v>0.99</v>
      </c>
      <c r="AM16" s="136">
        <f>[1]Summary!AZ71</f>
        <v>0.99</v>
      </c>
    </row>
  </sheetData>
  <phoneticPr fontId="31" type="noConversion"/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E7377-9C68-405C-9A12-A1BAABF32391}">
  <sheetPr>
    <tabColor rgb="FFFFC000"/>
  </sheetPr>
  <dimension ref="A1:AG10"/>
  <sheetViews>
    <sheetView workbookViewId="0">
      <selection activeCell="G9" sqref="G9"/>
    </sheetView>
  </sheetViews>
  <sheetFormatPr defaultRowHeight="14.45"/>
  <cols>
    <col min="2" max="2" width="15" bestFit="1" customWidth="1"/>
    <col min="3" max="3" width="48.140625" bestFit="1" customWidth="1"/>
    <col min="29" max="29" width="10.85546875" customWidth="1"/>
    <col min="30" max="30" width="11.140625" customWidth="1"/>
    <col min="31" max="31" width="12.140625" customWidth="1"/>
    <col min="32" max="32" width="13.85546875" customWidth="1"/>
    <col min="33" max="33" width="11.5703125" customWidth="1"/>
  </cols>
  <sheetData>
    <row r="1" spans="1:33">
      <c r="A1" t="s">
        <v>51</v>
      </c>
    </row>
    <row r="4" spans="1:33" s="19" customFormat="1">
      <c r="B4" s="68"/>
      <c r="C4" s="69"/>
      <c r="D4" s="70"/>
      <c r="E4" s="71" t="s">
        <v>52</v>
      </c>
      <c r="F4" s="69"/>
      <c r="G4" s="69"/>
      <c r="H4" s="69"/>
      <c r="I4" s="69"/>
      <c r="J4" s="36"/>
      <c r="K4" s="69"/>
      <c r="M4" s="69"/>
      <c r="N4" s="69"/>
      <c r="O4" s="69"/>
      <c r="P4" s="69"/>
      <c r="Q4" s="69"/>
      <c r="R4" s="62"/>
      <c r="S4" s="62"/>
      <c r="T4" s="62"/>
      <c r="U4" s="62"/>
      <c r="V4" s="62"/>
      <c r="W4" s="62"/>
      <c r="X4"/>
      <c r="Y4"/>
      <c r="Z4"/>
      <c r="AA4"/>
      <c r="AB4" s="69"/>
      <c r="AC4" s="69"/>
      <c r="AD4" s="69"/>
      <c r="AE4" s="72"/>
    </row>
    <row r="5" spans="1:33" s="62" customFormat="1" ht="39.6">
      <c r="B5" s="73" t="s">
        <v>28</v>
      </c>
      <c r="C5" s="73" t="s">
        <v>53</v>
      </c>
      <c r="D5" s="74" t="s">
        <v>54</v>
      </c>
      <c r="E5" s="74" t="s">
        <v>55</v>
      </c>
      <c r="F5" s="75" t="s">
        <v>147</v>
      </c>
      <c r="G5" s="75" t="s">
        <v>148</v>
      </c>
      <c r="H5" s="73" t="s">
        <v>58</v>
      </c>
      <c r="I5" s="73" t="s">
        <v>60</v>
      </c>
      <c r="J5" s="38" t="s">
        <v>62</v>
      </c>
      <c r="K5" s="73" t="s">
        <v>63</v>
      </c>
      <c r="L5" s="73" t="s">
        <v>65</v>
      </c>
      <c r="M5" s="73" t="s">
        <v>67</v>
      </c>
      <c r="N5" s="73" t="s">
        <v>68</v>
      </c>
      <c r="O5" s="73" t="s">
        <v>69</v>
      </c>
      <c r="P5" s="73" t="s">
        <v>70</v>
      </c>
      <c r="Q5" s="73" t="s">
        <v>71</v>
      </c>
      <c r="R5" s="73" t="s">
        <v>72</v>
      </c>
      <c r="S5" s="73" t="s">
        <v>76</v>
      </c>
      <c r="T5" s="73" t="s">
        <v>77</v>
      </c>
      <c r="U5" s="73" t="s">
        <v>78</v>
      </c>
      <c r="V5" s="73" t="s">
        <v>79</v>
      </c>
      <c r="W5" s="73" t="s">
        <v>80</v>
      </c>
      <c r="X5" s="73" t="s">
        <v>81</v>
      </c>
      <c r="Y5" s="73" t="s">
        <v>89</v>
      </c>
      <c r="Z5" s="73" t="s">
        <v>90</v>
      </c>
      <c r="AA5" s="76" t="s">
        <v>100</v>
      </c>
      <c r="AB5" s="76" t="s">
        <v>149</v>
      </c>
      <c r="AC5" s="73" t="s">
        <v>150</v>
      </c>
      <c r="AD5" s="73" t="s">
        <v>151</v>
      </c>
      <c r="AE5" s="73" t="s">
        <v>152</v>
      </c>
      <c r="AF5" s="73" t="s">
        <v>153</v>
      </c>
      <c r="AG5" s="73" t="s">
        <v>154</v>
      </c>
    </row>
    <row r="6" spans="1:33" s="62" customFormat="1" ht="15" thickBot="1">
      <c r="B6" s="77" t="s">
        <v>155</v>
      </c>
      <c r="C6" s="78"/>
      <c r="D6" s="78"/>
      <c r="E6" s="78"/>
      <c r="F6" s="79" t="s">
        <v>156</v>
      </c>
      <c r="G6" s="79" t="s">
        <v>156</v>
      </c>
      <c r="H6" s="80" t="s">
        <v>157</v>
      </c>
      <c r="I6" s="80" t="s">
        <v>158</v>
      </c>
      <c r="J6" s="47"/>
      <c r="K6" s="80" t="s">
        <v>107</v>
      </c>
      <c r="L6" s="80" t="s">
        <v>107</v>
      </c>
      <c r="M6" s="80" t="s">
        <v>107</v>
      </c>
      <c r="N6" s="80"/>
      <c r="O6" s="80" t="s">
        <v>107</v>
      </c>
      <c r="P6" s="80"/>
      <c r="Q6" s="80" t="s">
        <v>107</v>
      </c>
      <c r="R6" s="80" t="s">
        <v>107</v>
      </c>
      <c r="S6" s="80"/>
      <c r="T6" s="80"/>
      <c r="U6" s="80"/>
      <c r="V6" s="80"/>
      <c r="W6" s="80" t="s">
        <v>107</v>
      </c>
      <c r="X6" s="80" t="s">
        <v>144</v>
      </c>
      <c r="Y6" s="80" t="s">
        <v>144</v>
      </c>
      <c r="Z6" s="80" t="s">
        <v>106</v>
      </c>
      <c r="AA6" s="79"/>
      <c r="AB6" s="79"/>
      <c r="AC6" s="80" t="s">
        <v>106</v>
      </c>
      <c r="AD6" s="80" t="s">
        <v>106</v>
      </c>
      <c r="AE6" s="80" t="s">
        <v>106</v>
      </c>
      <c r="AF6" s="80" t="s">
        <v>106</v>
      </c>
      <c r="AG6" s="80" t="s">
        <v>106</v>
      </c>
    </row>
    <row r="7" spans="1:33" s="62" customFormat="1" ht="13.15">
      <c r="B7" s="64" t="str">
        <f>"EHH2CELLCa"&amp;RIGHT(H7,2)</f>
        <v>EHH2CELLCa40</v>
      </c>
      <c r="C7" s="81" t="s">
        <v>159</v>
      </c>
      <c r="D7" s="81" t="s">
        <v>146</v>
      </c>
      <c r="E7" s="81" t="s">
        <v>111</v>
      </c>
      <c r="F7" s="82">
        <v>1</v>
      </c>
      <c r="G7" s="82">
        <v>10</v>
      </c>
      <c r="H7" s="82">
        <v>2040</v>
      </c>
      <c r="I7" s="82">
        <v>18</v>
      </c>
      <c r="J7" s="82">
        <v>0.1</v>
      </c>
      <c r="K7" s="84">
        <v>10073.823178123637</v>
      </c>
      <c r="L7" s="82"/>
      <c r="M7" s="82"/>
      <c r="N7" s="82"/>
      <c r="O7" s="82"/>
      <c r="P7" s="82"/>
      <c r="Q7" s="126">
        <f>K7</f>
        <v>10073.823178123637</v>
      </c>
      <c r="R7" s="85">
        <v>100.73823178123637</v>
      </c>
      <c r="S7" s="85"/>
      <c r="T7" s="85"/>
      <c r="U7" s="85"/>
      <c r="V7" s="85"/>
      <c r="W7" s="82"/>
      <c r="X7" s="82">
        <v>100.73823178123637</v>
      </c>
      <c r="Y7" s="82"/>
      <c r="Z7" s="86">
        <v>0.6</v>
      </c>
      <c r="AA7" s="87">
        <v>31.536000000000001</v>
      </c>
      <c r="AB7" s="87">
        <v>0.95</v>
      </c>
      <c r="AC7" s="128">
        <v>0.9</v>
      </c>
      <c r="AD7" s="128">
        <v>0.05</v>
      </c>
      <c r="AE7" s="128">
        <f>1/2*1/(1+20%)</f>
        <v>0.41666666666666669</v>
      </c>
      <c r="AF7" s="128">
        <f t="shared" ref="AF7:AG7" si="0">1/2*1/(1+20%)</f>
        <v>0.41666666666666669</v>
      </c>
      <c r="AG7" s="128">
        <f t="shared" si="0"/>
        <v>0.41666666666666669</v>
      </c>
    </row>
    <row r="8" spans="1:33" s="62" customFormat="1" ht="13.15">
      <c r="B8" s="64" t="str">
        <f>"EHH2CELLCb"&amp;RIGHT(H8,2)</f>
        <v>EHH2CELLCb40</v>
      </c>
      <c r="C8" s="81" t="s">
        <v>160</v>
      </c>
      <c r="D8" s="81" t="s">
        <v>146</v>
      </c>
      <c r="E8" s="81" t="s">
        <v>111</v>
      </c>
      <c r="F8" s="82">
        <v>10</v>
      </c>
      <c r="G8" s="82">
        <v>50</v>
      </c>
      <c r="H8" s="82">
        <v>2040</v>
      </c>
      <c r="I8" s="82">
        <v>18</v>
      </c>
      <c r="J8" s="82">
        <v>0.1</v>
      </c>
      <c r="K8" s="84">
        <v>2105.8274440145456</v>
      </c>
      <c r="L8" s="82"/>
      <c r="M8" s="82"/>
      <c r="N8" s="82"/>
      <c r="O8" s="82"/>
      <c r="P8" s="82"/>
      <c r="Q8" s="126">
        <f t="shared" ref="Q8:Q9" si="1">K8</f>
        <v>2105.8274440145456</v>
      </c>
      <c r="R8" s="85">
        <v>21.058274440145457</v>
      </c>
      <c r="S8" s="85"/>
      <c r="T8" s="85"/>
      <c r="U8" s="85"/>
      <c r="V8" s="85"/>
      <c r="W8" s="82"/>
      <c r="X8" s="82">
        <v>21.058274440145457</v>
      </c>
      <c r="Y8" s="82"/>
      <c r="Z8" s="86">
        <v>0.6</v>
      </c>
      <c r="AA8" s="87">
        <v>31.536000000000001</v>
      </c>
      <c r="AB8" s="87">
        <v>0.95</v>
      </c>
      <c r="AC8" s="128">
        <v>0.9</v>
      </c>
      <c r="AD8" s="128">
        <v>0.05</v>
      </c>
      <c r="AE8" s="128">
        <f t="shared" ref="AE8:AG10" si="2">1/2*1/(1+20%)</f>
        <v>0.41666666666666669</v>
      </c>
      <c r="AF8" s="128">
        <f t="shared" si="2"/>
        <v>0.41666666666666669</v>
      </c>
      <c r="AG8" s="128">
        <f t="shared" si="2"/>
        <v>0.41666666666666669</v>
      </c>
    </row>
    <row r="9" spans="1:33" s="62" customFormat="1" ht="13.15">
      <c r="B9" s="88" t="str">
        <f>"EHH2CELLCc"&amp;RIGHT(H9,2)</f>
        <v>EHH2CELLCc40</v>
      </c>
      <c r="C9" s="89" t="s">
        <v>161</v>
      </c>
      <c r="D9" s="89" t="s">
        <v>146</v>
      </c>
      <c r="E9" s="89" t="s">
        <v>111</v>
      </c>
      <c r="F9" s="90">
        <v>50</v>
      </c>
      <c r="G9" s="90"/>
      <c r="H9" s="90">
        <v>2040</v>
      </c>
      <c r="I9" s="90">
        <v>18</v>
      </c>
      <c r="J9" s="82">
        <v>0.1</v>
      </c>
      <c r="K9" s="91">
        <v>1237.885051549091</v>
      </c>
      <c r="L9" s="90"/>
      <c r="M9" s="90"/>
      <c r="N9" s="90"/>
      <c r="O9" s="90"/>
      <c r="P9" s="90"/>
      <c r="Q9" s="127">
        <f t="shared" si="1"/>
        <v>1237.885051549091</v>
      </c>
      <c r="R9" s="92">
        <v>12.37885051549091</v>
      </c>
      <c r="S9" s="92"/>
      <c r="T9" s="92"/>
      <c r="U9" s="92"/>
      <c r="V9" s="92"/>
      <c r="W9" s="90"/>
      <c r="X9" s="90">
        <v>12.37885051549091</v>
      </c>
      <c r="Y9" s="90"/>
      <c r="Z9" s="93">
        <v>0.6</v>
      </c>
      <c r="AA9" s="94">
        <v>31.536000000000001</v>
      </c>
      <c r="AB9" s="87">
        <v>0.95</v>
      </c>
      <c r="AC9" s="128">
        <v>0.9</v>
      </c>
      <c r="AD9" s="128">
        <v>0.05</v>
      </c>
      <c r="AE9" s="128">
        <f t="shared" si="2"/>
        <v>0.41666666666666669</v>
      </c>
      <c r="AF9" s="128">
        <f t="shared" si="2"/>
        <v>0.41666666666666669</v>
      </c>
      <c r="AG9" s="128">
        <f t="shared" si="2"/>
        <v>0.41666666666666669</v>
      </c>
    </row>
    <row r="10" spans="1:33" s="62" customFormat="1" ht="13.15">
      <c r="B10" s="88" t="s">
        <v>162</v>
      </c>
      <c r="C10" s="89" t="s">
        <v>163</v>
      </c>
      <c r="D10" s="89" t="s">
        <v>146</v>
      </c>
      <c r="E10" s="89" t="s">
        <v>111</v>
      </c>
      <c r="F10" s="90"/>
      <c r="G10" s="90"/>
      <c r="H10" s="90">
        <v>2040</v>
      </c>
      <c r="I10" s="91">
        <v>30</v>
      </c>
      <c r="J10" s="82">
        <v>0.1</v>
      </c>
      <c r="K10" s="91"/>
      <c r="L10" s="90"/>
      <c r="M10" s="91">
        <v>1672.8530300790337</v>
      </c>
      <c r="N10" s="95"/>
      <c r="O10" s="95"/>
      <c r="P10" s="95"/>
      <c r="Q10" s="129">
        <f>M10</f>
        <v>1672.8530300790337</v>
      </c>
      <c r="R10" s="92"/>
      <c r="S10" s="96">
        <v>31.230804500526919</v>
      </c>
      <c r="T10" s="96">
        <v>31.230804500526919</v>
      </c>
      <c r="U10" s="96">
        <v>31.230804500526919</v>
      </c>
      <c r="V10" s="96">
        <v>31.230804500526919</v>
      </c>
      <c r="W10" s="96">
        <v>31.230804500526919</v>
      </c>
      <c r="X10" s="90"/>
      <c r="Y10" s="90"/>
      <c r="Z10" s="93">
        <v>0.436</v>
      </c>
      <c r="AA10" s="94">
        <v>31.536000000000001</v>
      </c>
      <c r="AB10" s="87">
        <v>0.95</v>
      </c>
      <c r="AC10" s="128">
        <v>0.85</v>
      </c>
      <c r="AD10" s="128">
        <v>0.05</v>
      </c>
      <c r="AE10" s="128">
        <f t="shared" si="2"/>
        <v>0.41666666666666669</v>
      </c>
      <c r="AF10" s="128">
        <f t="shared" si="2"/>
        <v>0.41666666666666669</v>
      </c>
      <c r="AG10" s="128">
        <f t="shared" si="2"/>
        <v>0.41666666666666669</v>
      </c>
    </row>
  </sheetData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8526C-C365-4E2C-AEB8-9E97EB1374E1}">
  <sheetPr>
    <tabColor rgb="FFFFC000"/>
  </sheetPr>
  <dimension ref="B3:O21"/>
  <sheetViews>
    <sheetView workbookViewId="0">
      <selection activeCell="E26" sqref="E26"/>
    </sheetView>
  </sheetViews>
  <sheetFormatPr defaultRowHeight="14.45"/>
  <cols>
    <col min="2" max="2" width="17" bestFit="1" customWidth="1"/>
    <col min="3" max="3" width="33" bestFit="1" customWidth="1"/>
    <col min="4" max="4" width="14.28515625" customWidth="1"/>
    <col min="5" max="5" width="16.7109375" bestFit="1" customWidth="1"/>
    <col min="6" max="13" width="16.140625" bestFit="1" customWidth="1"/>
    <col min="14" max="15" width="16.5703125" bestFit="1" customWidth="1"/>
  </cols>
  <sheetData>
    <row r="3" spans="2:15" s="1" customFormat="1" ht="13.15">
      <c r="B3" s="2"/>
      <c r="C3" s="2"/>
      <c r="D3" s="29" t="s">
        <v>52</v>
      </c>
      <c r="E3" s="2"/>
      <c r="F3" s="2"/>
      <c r="G3" s="2"/>
      <c r="H3" s="24"/>
      <c r="I3" s="2"/>
      <c r="J3" s="2"/>
      <c r="K3" s="2"/>
      <c r="L3" s="2"/>
      <c r="M3" s="2"/>
      <c r="N3" s="2"/>
      <c r="O3" s="2"/>
    </row>
    <row r="4" spans="2:15" s="1" customFormat="1" ht="13.15">
      <c r="B4" s="26" t="s">
        <v>28</v>
      </c>
      <c r="C4" s="26" t="s">
        <v>53</v>
      </c>
      <c r="D4" s="26" t="s">
        <v>164</v>
      </c>
      <c r="E4" s="26" t="s">
        <v>58</v>
      </c>
      <c r="F4" s="26" t="s">
        <v>83</v>
      </c>
      <c r="G4" s="26" t="s">
        <v>84</v>
      </c>
      <c r="H4" s="26" t="s">
        <v>85</v>
      </c>
      <c r="I4" s="26" t="s">
        <v>86</v>
      </c>
      <c r="J4" s="26" t="s">
        <v>87</v>
      </c>
      <c r="K4" s="26" t="s">
        <v>88</v>
      </c>
      <c r="L4" s="26" t="s">
        <v>89</v>
      </c>
      <c r="M4" s="26" t="s">
        <v>165</v>
      </c>
      <c r="N4" s="26" t="s">
        <v>166</v>
      </c>
      <c r="O4" s="26" t="s">
        <v>167</v>
      </c>
    </row>
    <row r="5" spans="2:15" s="1" customFormat="1" ht="13.15">
      <c r="B5" s="30" t="s">
        <v>168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2:15" s="1" customFormat="1" ht="13.15">
      <c r="B6" s="31" t="s">
        <v>169</v>
      </c>
      <c r="C6" s="31" t="s">
        <v>170</v>
      </c>
      <c r="D6" s="31" t="s">
        <v>171</v>
      </c>
      <c r="E6" s="27">
        <v>2025</v>
      </c>
      <c r="F6" s="32">
        <f>NREL!I24</f>
        <v>90.931574608408894</v>
      </c>
      <c r="G6" s="32">
        <f>$F6+($J6-$F6)*1/4</f>
        <v>80.379225061830169</v>
      </c>
      <c r="H6" s="32">
        <f>$F6+($J6-$F6)*2/4</f>
        <v>69.82687551525143</v>
      </c>
      <c r="I6" s="32">
        <f>$F6+($J6-$F6)*3/4</f>
        <v>59.274525968672705</v>
      </c>
      <c r="J6" s="32">
        <f>NREL!F24</f>
        <v>48.72217642209398</v>
      </c>
      <c r="K6" s="32">
        <f>J6</f>
        <v>48.72217642209398</v>
      </c>
      <c r="L6" s="32">
        <f t="shared" ref="L6:O10" si="0">K6</f>
        <v>48.72217642209398</v>
      </c>
      <c r="M6" s="32">
        <f t="shared" si="0"/>
        <v>48.72217642209398</v>
      </c>
      <c r="N6" s="32">
        <f t="shared" si="0"/>
        <v>48.72217642209398</v>
      </c>
      <c r="O6" s="32">
        <f t="shared" si="0"/>
        <v>48.72217642209398</v>
      </c>
    </row>
    <row r="7" spans="2:15">
      <c r="B7" s="30" t="s">
        <v>172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2:15">
      <c r="B8" s="31" t="s">
        <v>173</v>
      </c>
      <c r="C8" s="31" t="s">
        <v>174</v>
      </c>
      <c r="D8" s="31" t="s">
        <v>175</v>
      </c>
      <c r="E8" s="27">
        <v>2025</v>
      </c>
      <c r="F8" s="32">
        <f>NREL!H24</f>
        <v>99.340478153338836</v>
      </c>
      <c r="G8" s="32">
        <f>$F8+($J8-$F8)*1/4</f>
        <v>89.17971970321517</v>
      </c>
      <c r="H8" s="32">
        <f>$F8+($J8-$F8)*2/4</f>
        <v>79.018961253091504</v>
      </c>
      <c r="I8" s="32">
        <f>$F8+($J8-$F8)*3/4</f>
        <v>68.858202802967853</v>
      </c>
      <c r="J8" s="32">
        <f>NREL!E24</f>
        <v>58.697444352844187</v>
      </c>
      <c r="K8" s="32">
        <f>J8</f>
        <v>58.697444352844187</v>
      </c>
      <c r="L8" s="32">
        <f t="shared" si="0"/>
        <v>58.697444352844187</v>
      </c>
      <c r="M8" s="32">
        <f t="shared" si="0"/>
        <v>58.697444352844187</v>
      </c>
      <c r="N8" s="32">
        <f t="shared" si="0"/>
        <v>58.697444352844187</v>
      </c>
      <c r="O8" s="32">
        <f t="shared" si="0"/>
        <v>58.697444352844187</v>
      </c>
    </row>
    <row r="9" spans="2:15">
      <c r="B9" s="30" t="s">
        <v>176</v>
      </c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2:15">
      <c r="B10" s="31" t="s">
        <v>177</v>
      </c>
      <c r="C10" s="31" t="s">
        <v>178</v>
      </c>
      <c r="D10" s="31" t="s">
        <v>179</v>
      </c>
      <c r="E10" s="27">
        <v>2025</v>
      </c>
      <c r="F10" s="32">
        <f>NREL!G24</f>
        <v>99.505358615004127</v>
      </c>
      <c r="G10" s="32">
        <f>$F10+($J10-$F10)*1/4</f>
        <v>81.636438582028035</v>
      </c>
      <c r="H10" s="32">
        <f>$F10+($J10-$F10)*2/4</f>
        <v>63.767518549051943</v>
      </c>
      <c r="I10" s="32">
        <f>$F10+($J10-$F10)*3/4</f>
        <v>45.89859851607585</v>
      </c>
      <c r="J10" s="32">
        <f>NREL!C24</f>
        <v>28.029678483099751</v>
      </c>
      <c r="K10" s="32">
        <f>J10</f>
        <v>28.029678483099751</v>
      </c>
      <c r="L10" s="32">
        <f t="shared" si="0"/>
        <v>28.029678483099751</v>
      </c>
      <c r="M10" s="32">
        <f t="shared" si="0"/>
        <v>28.029678483099751</v>
      </c>
      <c r="N10" s="32">
        <f t="shared" si="0"/>
        <v>28.029678483099751</v>
      </c>
      <c r="O10" s="32">
        <f t="shared" si="0"/>
        <v>28.029678483099751</v>
      </c>
    </row>
    <row r="11" spans="2:15" ht="15.75" customHeight="1">
      <c r="B11" s="30" t="s">
        <v>180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2:15">
      <c r="B12" s="31" t="s">
        <v>181</v>
      </c>
      <c r="C12" s="31" t="s">
        <v>182</v>
      </c>
      <c r="D12" s="31" t="s">
        <v>183</v>
      </c>
      <c r="E12" s="27">
        <v>2025</v>
      </c>
      <c r="F12" s="32">
        <f>F10</f>
        <v>99.505358615004127</v>
      </c>
      <c r="G12" s="32">
        <f>$F12+($J12-$F12)*1/4</f>
        <v>83.9035449299258</v>
      </c>
      <c r="H12" s="32">
        <f>$F12+($J12-$F12)*2/4</f>
        <v>68.301731244847488</v>
      </c>
      <c r="I12" s="32">
        <f>$F12+($J12-$F12)*3/4</f>
        <v>52.699917559769162</v>
      </c>
      <c r="J12" s="32">
        <f>NREL!D24</f>
        <v>37.098103874690842</v>
      </c>
      <c r="K12" s="32">
        <f>J12</f>
        <v>37.098103874690842</v>
      </c>
      <c r="L12" s="32">
        <f t="shared" ref="L12:N12" si="1">K12</f>
        <v>37.098103874690842</v>
      </c>
      <c r="M12" s="32">
        <f t="shared" si="1"/>
        <v>37.098103874690842</v>
      </c>
      <c r="N12" s="32">
        <f t="shared" si="1"/>
        <v>37.098103874690842</v>
      </c>
      <c r="O12" s="33">
        <v>138.7663742982451</v>
      </c>
    </row>
    <row r="13" spans="2:15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2:15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2:15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2:15" s="1" customFormat="1">
      <c r="B16" s="2"/>
      <c r="C16" s="2"/>
      <c r="D16" s="29" t="s">
        <v>52</v>
      </c>
      <c r="F16" s="2"/>
      <c r="G16"/>
      <c r="H16"/>
      <c r="I16"/>
      <c r="J16"/>
      <c r="K16"/>
      <c r="L16"/>
      <c r="M16"/>
      <c r="N16"/>
      <c r="O16"/>
    </row>
    <row r="17" spans="2:6" s="1" customFormat="1">
      <c r="B17" s="26" t="s">
        <v>28</v>
      </c>
      <c r="C17" s="26" t="s">
        <v>53</v>
      </c>
      <c r="D17" s="26" t="s">
        <v>184</v>
      </c>
      <c r="E17" s="26" t="s">
        <v>164</v>
      </c>
      <c r="F17" s="26" t="s">
        <v>90</v>
      </c>
    </row>
    <row r="18" spans="2:6" s="1" customFormat="1">
      <c r="B18" s="31" t="str">
        <f>"SCTRA"&amp;D18</f>
        <v>SCTRAH2GHTE</v>
      </c>
      <c r="C18" s="31" t="s">
        <v>185</v>
      </c>
      <c r="D18" s="31" t="s">
        <v>171</v>
      </c>
      <c r="E18" s="31" t="s">
        <v>186</v>
      </c>
      <c r="F18" s="31">
        <v>1</v>
      </c>
    </row>
    <row r="19" spans="2:6">
      <c r="B19" s="31" t="str">
        <f t="shared" ref="B19:B21" si="2">"SCTRA"&amp;D19</f>
        <v>SCTRAH2GLTE</v>
      </c>
      <c r="C19" s="31" t="s">
        <v>187</v>
      </c>
      <c r="D19" s="31" t="s">
        <v>175</v>
      </c>
      <c r="E19" s="31" t="s">
        <v>186</v>
      </c>
      <c r="F19" s="31">
        <v>1</v>
      </c>
    </row>
    <row r="20" spans="2:6">
      <c r="B20" s="31" t="str">
        <f t="shared" si="2"/>
        <v>SCTRAH2GSMR</v>
      </c>
      <c r="C20" s="31" t="s">
        <v>188</v>
      </c>
      <c r="D20" s="31" t="s">
        <v>179</v>
      </c>
      <c r="E20" s="31" t="s">
        <v>186</v>
      </c>
      <c r="F20" s="31">
        <v>1</v>
      </c>
    </row>
    <row r="21" spans="2:6">
      <c r="B21" s="31" t="str">
        <f t="shared" si="2"/>
        <v>SCTRAH2GGAS</v>
      </c>
      <c r="C21" s="31" t="s">
        <v>189</v>
      </c>
      <c r="D21" s="31" t="s">
        <v>183</v>
      </c>
      <c r="E21" s="31" t="s">
        <v>186</v>
      </c>
      <c r="F21" s="31">
        <v>1</v>
      </c>
    </row>
  </sheetData>
  <phoneticPr fontId="3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353C7-2F28-4223-A095-FD66DD03C7C8}">
  <dimension ref="B1:K26"/>
  <sheetViews>
    <sheetView tabSelected="1" topLeftCell="B1" workbookViewId="0">
      <selection activeCell="D33" sqref="D33"/>
    </sheetView>
  </sheetViews>
  <sheetFormatPr defaultRowHeight="14.45"/>
  <cols>
    <col min="2" max="2" width="49" bestFit="1" customWidth="1"/>
    <col min="3" max="12" width="25" customWidth="1"/>
  </cols>
  <sheetData>
    <row r="1" spans="2:11">
      <c r="B1" t="s">
        <v>190</v>
      </c>
    </row>
    <row r="3" spans="2:11">
      <c r="B3" t="s">
        <v>191</v>
      </c>
      <c r="C3" t="s">
        <v>192</v>
      </c>
    </row>
    <row r="4" spans="2:11">
      <c r="B4" t="s">
        <v>193</v>
      </c>
      <c r="C4" t="s">
        <v>194</v>
      </c>
      <c r="D4" t="s">
        <v>195</v>
      </c>
      <c r="E4" t="s">
        <v>196</v>
      </c>
      <c r="F4" t="s">
        <v>197</v>
      </c>
      <c r="G4" t="s">
        <v>198</v>
      </c>
      <c r="H4" t="s">
        <v>199</v>
      </c>
      <c r="I4" t="s">
        <v>200</v>
      </c>
      <c r="J4" t="s">
        <v>201</v>
      </c>
      <c r="K4" t="s">
        <v>202</v>
      </c>
    </row>
    <row r="5" spans="2:11">
      <c r="B5" t="s">
        <v>203</v>
      </c>
      <c r="C5" t="s">
        <v>204</v>
      </c>
      <c r="D5" t="s">
        <v>204</v>
      </c>
      <c r="E5" t="s">
        <v>204</v>
      </c>
      <c r="F5" t="s">
        <v>204</v>
      </c>
      <c r="G5" t="s">
        <v>205</v>
      </c>
      <c r="H5" t="s">
        <v>206</v>
      </c>
      <c r="I5" t="s">
        <v>206</v>
      </c>
      <c r="J5" t="s">
        <v>206</v>
      </c>
      <c r="K5" t="s">
        <v>206</v>
      </c>
    </row>
    <row r="6" spans="2:11">
      <c r="B6" t="s">
        <v>207</v>
      </c>
      <c r="C6">
        <v>3.4</v>
      </c>
      <c r="D6">
        <v>4.5</v>
      </c>
      <c r="E6">
        <v>7.12</v>
      </c>
      <c r="F6">
        <v>5.91</v>
      </c>
      <c r="G6">
        <v>12.07</v>
      </c>
      <c r="H6">
        <v>12.05</v>
      </c>
      <c r="I6">
        <v>11.03</v>
      </c>
      <c r="J6">
        <v>7.29</v>
      </c>
      <c r="K6">
        <v>7.29</v>
      </c>
    </row>
    <row r="7" spans="2:11">
      <c r="B7" t="s">
        <v>208</v>
      </c>
      <c r="C7" s="17">
        <v>136000000</v>
      </c>
      <c r="D7" s="17">
        <v>151000000</v>
      </c>
      <c r="E7" s="17">
        <v>31300000</v>
      </c>
      <c r="F7" s="17">
        <v>37400000</v>
      </c>
      <c r="G7" s="17">
        <v>182000000</v>
      </c>
      <c r="H7" s="17">
        <v>63200000</v>
      </c>
      <c r="I7" s="17">
        <v>76100000</v>
      </c>
      <c r="J7" t="s">
        <v>209</v>
      </c>
      <c r="K7" t="s">
        <v>209</v>
      </c>
    </row>
    <row r="8" spans="2:11">
      <c r="B8" t="s">
        <v>210</v>
      </c>
      <c r="C8" s="17">
        <v>7710000</v>
      </c>
      <c r="D8" s="17">
        <v>13200000</v>
      </c>
      <c r="E8" s="17">
        <v>3130000</v>
      </c>
      <c r="F8" s="17">
        <v>4250000</v>
      </c>
      <c r="G8" s="17">
        <v>9280000</v>
      </c>
      <c r="H8" s="17">
        <v>5000000</v>
      </c>
      <c r="I8" s="17">
        <v>6510000</v>
      </c>
      <c r="J8" t="s">
        <v>209</v>
      </c>
      <c r="K8" t="s">
        <v>209</v>
      </c>
    </row>
    <row r="9" spans="2:11">
      <c r="B9" t="s">
        <v>211</v>
      </c>
      <c r="C9" s="17">
        <v>120000000</v>
      </c>
      <c r="D9" s="17">
        <v>52600000</v>
      </c>
      <c r="E9" s="17">
        <v>87000000</v>
      </c>
      <c r="F9" s="17">
        <v>49900000</v>
      </c>
      <c r="G9" s="17">
        <v>75800000</v>
      </c>
      <c r="H9" s="17">
        <v>81100000</v>
      </c>
      <c r="I9" s="17">
        <v>43700000</v>
      </c>
      <c r="J9" t="s">
        <v>209</v>
      </c>
      <c r="K9" t="s">
        <v>209</v>
      </c>
    </row>
    <row r="10" spans="2:11">
      <c r="B10" t="s">
        <v>212</v>
      </c>
      <c r="C10" s="17">
        <v>13400000</v>
      </c>
      <c r="D10" s="17">
        <v>7310000</v>
      </c>
      <c r="E10" s="17">
        <v>166000</v>
      </c>
      <c r="F10" s="17">
        <v>209000</v>
      </c>
      <c r="G10" s="17">
        <v>10100000</v>
      </c>
      <c r="H10" s="17">
        <v>166000</v>
      </c>
      <c r="I10" s="17">
        <v>209000</v>
      </c>
      <c r="J10" t="s">
        <v>209</v>
      </c>
      <c r="K10" t="s">
        <v>209</v>
      </c>
    </row>
    <row r="11" spans="2:11">
      <c r="B11" t="s">
        <v>213</v>
      </c>
      <c r="C11">
        <v>341</v>
      </c>
      <c r="D11">
        <v>140</v>
      </c>
      <c r="E11">
        <v>23.7</v>
      </c>
      <c r="F11">
        <v>43.8</v>
      </c>
      <c r="G11">
        <v>341</v>
      </c>
      <c r="H11">
        <v>22.6</v>
      </c>
      <c r="I11">
        <v>41.2</v>
      </c>
      <c r="J11" t="s">
        <v>209</v>
      </c>
      <c r="K11" t="s">
        <v>209</v>
      </c>
    </row>
    <row r="12" spans="2:11">
      <c r="B12" t="s">
        <v>214</v>
      </c>
      <c r="C12">
        <v>6.41</v>
      </c>
      <c r="D12">
        <v>74.099999999999994</v>
      </c>
      <c r="E12">
        <v>19.5</v>
      </c>
      <c r="F12">
        <v>28.5</v>
      </c>
      <c r="G12">
        <v>6.4</v>
      </c>
      <c r="H12">
        <v>18</v>
      </c>
      <c r="I12">
        <v>27.2</v>
      </c>
      <c r="J12" t="s">
        <v>209</v>
      </c>
      <c r="K12" t="s">
        <v>209</v>
      </c>
    </row>
    <row r="13" spans="2:11">
      <c r="B13" t="s">
        <v>215</v>
      </c>
      <c r="C13" s="17">
        <v>110000</v>
      </c>
      <c r="D13" s="17">
        <v>23800</v>
      </c>
      <c r="E13" s="17">
        <v>17700</v>
      </c>
      <c r="F13" s="17">
        <v>46200</v>
      </c>
      <c r="G13" s="17">
        <v>120000</v>
      </c>
      <c r="H13" s="17">
        <v>22600</v>
      </c>
      <c r="I13" s="17">
        <v>57300</v>
      </c>
      <c r="J13" s="17">
        <v>98300</v>
      </c>
      <c r="K13" s="17">
        <v>91400</v>
      </c>
    </row>
    <row r="14" spans="2:11">
      <c r="B14" t="s">
        <v>216</v>
      </c>
      <c r="C14">
        <v>40.6</v>
      </c>
      <c r="D14">
        <v>14.8</v>
      </c>
      <c r="E14">
        <v>10.8</v>
      </c>
      <c r="F14">
        <v>38.6</v>
      </c>
      <c r="G14">
        <v>58.2</v>
      </c>
      <c r="H14">
        <v>20</v>
      </c>
      <c r="I14">
        <v>55.1</v>
      </c>
      <c r="J14">
        <v>48.3</v>
      </c>
      <c r="K14">
        <v>61.6</v>
      </c>
    </row>
    <row r="15" spans="2:11">
      <c r="B15" t="s">
        <v>217</v>
      </c>
      <c r="C15">
        <v>35.4</v>
      </c>
      <c r="D15">
        <v>36.4</v>
      </c>
      <c r="E15">
        <v>18.3</v>
      </c>
      <c r="F15">
        <v>22.4</v>
      </c>
      <c r="G15">
        <v>55</v>
      </c>
      <c r="H15">
        <v>37.6</v>
      </c>
      <c r="I15">
        <v>41.8</v>
      </c>
      <c r="J15">
        <v>41.4</v>
      </c>
      <c r="K15">
        <v>33.700000000000003</v>
      </c>
    </row>
    <row r="16" spans="2:11">
      <c r="B16" t="s">
        <v>218</v>
      </c>
      <c r="C16">
        <v>3.74</v>
      </c>
      <c r="D16">
        <v>1.7</v>
      </c>
      <c r="E16">
        <v>1.4</v>
      </c>
      <c r="F16">
        <v>2.9</v>
      </c>
      <c r="G16">
        <v>5.25</v>
      </c>
      <c r="H16">
        <v>2.68</v>
      </c>
      <c r="I16">
        <v>4.4800000000000004</v>
      </c>
      <c r="J16">
        <v>5.07</v>
      </c>
      <c r="K16">
        <v>5.17</v>
      </c>
    </row>
    <row r="17" spans="2:11">
      <c r="B17" t="s">
        <v>219</v>
      </c>
      <c r="C17" s="17">
        <v>110000</v>
      </c>
      <c r="D17" s="17">
        <v>23800</v>
      </c>
      <c r="E17" s="17">
        <v>17700</v>
      </c>
      <c r="F17" s="17">
        <v>46200</v>
      </c>
      <c r="G17" s="17">
        <v>120000</v>
      </c>
      <c r="H17" s="17">
        <v>22600</v>
      </c>
      <c r="I17" s="17">
        <v>57300</v>
      </c>
      <c r="J17" s="17">
        <v>98300</v>
      </c>
      <c r="K17" s="17">
        <v>91400</v>
      </c>
    </row>
    <row r="18" spans="2:11">
      <c r="B18" t="s">
        <v>220</v>
      </c>
      <c r="C18">
        <v>40.6</v>
      </c>
      <c r="D18">
        <v>14.8</v>
      </c>
      <c r="E18">
        <v>10.8</v>
      </c>
      <c r="F18">
        <v>38.6</v>
      </c>
      <c r="G18">
        <v>58.2</v>
      </c>
      <c r="H18">
        <v>20</v>
      </c>
      <c r="I18">
        <v>55.1</v>
      </c>
      <c r="J18">
        <v>48.3</v>
      </c>
      <c r="K18">
        <v>61.6</v>
      </c>
    </row>
    <row r="19" spans="2:11">
      <c r="B19" t="s">
        <v>221</v>
      </c>
      <c r="C19">
        <v>35.4</v>
      </c>
      <c r="D19">
        <v>36.4</v>
      </c>
      <c r="E19">
        <v>18.3</v>
      </c>
      <c r="F19">
        <v>22.4</v>
      </c>
      <c r="G19">
        <v>55</v>
      </c>
      <c r="H19">
        <v>37.6</v>
      </c>
      <c r="I19">
        <v>41.8</v>
      </c>
      <c r="J19">
        <v>41.4</v>
      </c>
      <c r="K19">
        <v>33.700000000000003</v>
      </c>
    </row>
    <row r="20" spans="2:11">
      <c r="B20" t="s">
        <v>222</v>
      </c>
      <c r="C20">
        <v>3.74</v>
      </c>
      <c r="D20">
        <v>1.7</v>
      </c>
      <c r="E20">
        <v>1.4</v>
      </c>
      <c r="F20">
        <v>2.9</v>
      </c>
      <c r="G20">
        <v>5.25</v>
      </c>
      <c r="H20">
        <v>2.68</v>
      </c>
      <c r="I20">
        <v>4.4800000000000004</v>
      </c>
      <c r="J20">
        <v>5.07</v>
      </c>
      <c r="K20">
        <v>5.17</v>
      </c>
    </row>
    <row r="24" spans="2:11">
      <c r="B24" t="s">
        <v>223</v>
      </c>
      <c r="C24" s="11">
        <f>C6/Conversion!$C$2/10^6</f>
        <v>28.029678483099751</v>
      </c>
      <c r="D24" s="11">
        <f>D6/Conversion!$C$2/10^6</f>
        <v>37.098103874690842</v>
      </c>
      <c r="E24" s="11">
        <f>E6/Conversion!$C$2/10^6</f>
        <v>58.697444352844187</v>
      </c>
      <c r="F24" s="11">
        <f>F6/Conversion!$C$2/10^6</f>
        <v>48.72217642209398</v>
      </c>
      <c r="G24" s="11">
        <f>G6/Conversion!$C$2/10^6</f>
        <v>99.505358615004127</v>
      </c>
      <c r="H24" s="11">
        <f>H6/Conversion!$C$2/10^6</f>
        <v>99.340478153338836</v>
      </c>
      <c r="I24" s="11">
        <f>I6/Conversion!$C$2/10^6</f>
        <v>90.931574608408894</v>
      </c>
      <c r="J24" s="11">
        <f>J6/Conversion!$C$2/10^6</f>
        <v>60.098928276999175</v>
      </c>
      <c r="K24" s="11">
        <f>K6/Conversion!$C$2/10^6</f>
        <v>60.098928276999175</v>
      </c>
    </row>
    <row r="25" spans="2:11">
      <c r="B25" t="s">
        <v>224</v>
      </c>
      <c r="C25" s="11">
        <f>C24*Conversion!$C$3/10^3</f>
        <v>3.924154987633965</v>
      </c>
      <c r="D25" s="11">
        <f>D24*Conversion!$C$3/10^3</f>
        <v>5.1937345424567187</v>
      </c>
      <c r="E25" s="11">
        <f>E24*Conversion!$C$3/10^3</f>
        <v>8.2176422093981856</v>
      </c>
      <c r="F25" s="11">
        <f>F24*Conversion!$C$3/10^3</f>
        <v>6.8211046990931576</v>
      </c>
      <c r="G25" s="11">
        <f>G24*Conversion!$C$3/10^3</f>
        <v>13.930750206100578</v>
      </c>
      <c r="H25" s="11">
        <f>H24*Conversion!$C$3/10^3</f>
        <v>13.907666941467436</v>
      </c>
      <c r="I25" s="11">
        <f>I24*Conversion!$C$3/10^3</f>
        <v>12.730420445177245</v>
      </c>
      <c r="J25" s="11">
        <f>J24*Conversion!$C$3/10^3</f>
        <v>8.4138499587798847</v>
      </c>
      <c r="K25" s="11">
        <f>K24*Conversion!$C$3/10^3</f>
        <v>8.4138499587798847</v>
      </c>
    </row>
    <row r="26" spans="2:11">
      <c r="B26" t="s">
        <v>225</v>
      </c>
      <c r="C26" s="19">
        <f>C17*10^-12/Conversion!$C$4</f>
        <v>0.10425947339487798</v>
      </c>
      <c r="D26" s="19">
        <f>D17/Conversion!$C$4/10^12</f>
        <v>2.2557958789073601E-2</v>
      </c>
      <c r="E26" s="19">
        <f>E17/Conversion!$C$4/10^12</f>
        <v>1.6776297082630367E-2</v>
      </c>
      <c r="F26" s="19">
        <f>F17/Conversion!$C$4/10^12</f>
        <v>4.3788978825848757E-2</v>
      </c>
      <c r="G26" s="19">
        <f>G17/Conversion!$C$4/10^12</f>
        <v>0.1137376073398669</v>
      </c>
      <c r="H26" s="19">
        <f>H17/Conversion!$C$4/10^12</f>
        <v>2.1420582715674933E-2</v>
      </c>
      <c r="I26" s="19">
        <f>I17/Conversion!$C$4/10^12</f>
        <v>5.4309707504786447E-2</v>
      </c>
      <c r="J26" s="19">
        <f>J17/Conversion!$C$4/10^12</f>
        <v>9.317005667924097E-2</v>
      </c>
      <c r="K26" s="19">
        <f>K17/Conversion!$C$4/10^12</f>
        <v>8.663014425719863E-2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0822B-2308-4E1C-ADFA-6B67CC9A1DD7}">
  <dimension ref="B1"/>
  <sheetViews>
    <sheetView workbookViewId="0">
      <selection activeCell="A18" sqref="A18"/>
    </sheetView>
  </sheetViews>
  <sheetFormatPr defaultRowHeight="14.45"/>
  <sheetData>
    <row r="1" spans="2:2">
      <c r="B1" s="2" t="s">
        <v>226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3822B-51FB-4639-9412-80D8A3C1CD9F}">
  <dimension ref="A1:BH65"/>
  <sheetViews>
    <sheetView workbookViewId="0">
      <selection activeCell="O10" sqref="O10"/>
    </sheetView>
  </sheetViews>
  <sheetFormatPr defaultRowHeight="14.45"/>
  <cols>
    <col min="7" max="7" width="7.140625" customWidth="1"/>
    <col min="8" max="8" width="7.7109375" customWidth="1"/>
  </cols>
  <sheetData>
    <row r="1" spans="1:60">
      <c r="A1" t="s">
        <v>227</v>
      </c>
    </row>
    <row r="2" spans="1:60">
      <c r="A2" t="s">
        <v>228</v>
      </c>
      <c r="B2" t="s">
        <v>229</v>
      </c>
    </row>
    <row r="3" spans="1:60">
      <c r="A3" s="22">
        <v>21916</v>
      </c>
      <c r="B3">
        <v>1.45797598627791</v>
      </c>
      <c r="E3">
        <v>2005</v>
      </c>
      <c r="F3">
        <v>2006</v>
      </c>
      <c r="G3">
        <v>2007</v>
      </c>
      <c r="H3">
        <v>2008</v>
      </c>
      <c r="I3">
        <v>2009</v>
      </c>
      <c r="J3">
        <v>2010</v>
      </c>
      <c r="K3">
        <v>2011</v>
      </c>
      <c r="L3">
        <v>2012</v>
      </c>
      <c r="M3">
        <v>2013</v>
      </c>
      <c r="N3">
        <v>2014</v>
      </c>
      <c r="O3">
        <v>2015</v>
      </c>
      <c r="P3">
        <v>2016</v>
      </c>
      <c r="Q3">
        <v>2017</v>
      </c>
      <c r="R3">
        <v>2018</v>
      </c>
      <c r="S3">
        <v>2019</v>
      </c>
      <c r="T3">
        <v>2020</v>
      </c>
      <c r="U3">
        <v>2021</v>
      </c>
      <c r="V3">
        <v>2022</v>
      </c>
      <c r="W3">
        <v>2023</v>
      </c>
      <c r="X3">
        <v>2024</v>
      </c>
      <c r="Y3">
        <v>2025</v>
      </c>
      <c r="Z3">
        <v>2026</v>
      </c>
      <c r="AA3">
        <v>2027</v>
      </c>
      <c r="AB3">
        <v>2028</v>
      </c>
      <c r="AC3">
        <v>2029</v>
      </c>
      <c r="AD3">
        <v>2030</v>
      </c>
      <c r="AE3">
        <v>2031</v>
      </c>
      <c r="AF3">
        <v>2032</v>
      </c>
      <c r="AG3">
        <v>2033</v>
      </c>
      <c r="AH3">
        <v>2034</v>
      </c>
      <c r="AI3">
        <v>2035</v>
      </c>
      <c r="AJ3">
        <v>2036</v>
      </c>
      <c r="AK3">
        <v>2037</v>
      </c>
      <c r="AL3">
        <v>2038</v>
      </c>
      <c r="AM3">
        <v>2039</v>
      </c>
      <c r="AN3">
        <v>2040</v>
      </c>
      <c r="AO3">
        <v>2041</v>
      </c>
      <c r="AP3">
        <v>2042</v>
      </c>
      <c r="AQ3">
        <v>2043</v>
      </c>
      <c r="AR3">
        <v>2044</v>
      </c>
      <c r="AS3">
        <v>2045</v>
      </c>
      <c r="AT3">
        <v>2046</v>
      </c>
      <c r="AU3">
        <v>2047</v>
      </c>
      <c r="AV3">
        <v>2048</v>
      </c>
      <c r="AW3">
        <v>2049</v>
      </c>
      <c r="AX3">
        <v>2050</v>
      </c>
      <c r="AY3">
        <v>2051</v>
      </c>
      <c r="AZ3">
        <v>2052</v>
      </c>
      <c r="BA3">
        <v>2053</v>
      </c>
      <c r="BB3">
        <v>2054</v>
      </c>
      <c r="BC3">
        <v>2055</v>
      </c>
      <c r="BD3">
        <v>2056</v>
      </c>
      <c r="BE3">
        <v>2057</v>
      </c>
      <c r="BF3">
        <v>2058</v>
      </c>
      <c r="BG3">
        <v>2059</v>
      </c>
      <c r="BH3">
        <v>2060</v>
      </c>
    </row>
    <row r="4" spans="1:60">
      <c r="A4" s="22">
        <v>22282</v>
      </c>
      <c r="B4">
        <v>1.07072414764724</v>
      </c>
      <c r="D4" t="s">
        <v>230</v>
      </c>
      <c r="E4" s="21">
        <f>B48/100</f>
        <v>3.3927468454955E-2</v>
      </c>
      <c r="F4" s="21">
        <f>B49/100</f>
        <v>3.2259441007040396E-2</v>
      </c>
      <c r="G4" s="21">
        <f>B50/100</f>
        <v>2.8526724815013803E-2</v>
      </c>
      <c r="H4" s="21">
        <f>B51/100</f>
        <v>3.8391002966509997E-2</v>
      </c>
      <c r="I4" s="21">
        <f>B52/100</f>
        <v>-3.55546266299747E-3</v>
      </c>
      <c r="J4" s="21">
        <f>B53/100</f>
        <v>1.6400434423899001E-2</v>
      </c>
      <c r="K4" s="21">
        <f>B54/100</f>
        <v>3.156841568622E-2</v>
      </c>
      <c r="L4" s="21">
        <f>B55/100</f>
        <v>2.0693372652606699E-2</v>
      </c>
      <c r="M4" s="21">
        <f>B56/100</f>
        <v>1.46483265562717E-2</v>
      </c>
      <c r="N4" s="21">
        <f>B57/100</f>
        <v>1.6222229774081699E-2</v>
      </c>
      <c r="O4" s="21">
        <f>B58/100</f>
        <v>1.18627135552451E-3</v>
      </c>
      <c r="P4" s="21">
        <f>B59/100</f>
        <v>1.26158320570536E-2</v>
      </c>
      <c r="Q4" s="21">
        <f>B60/100</f>
        <v>2.1301100036596101E-2</v>
      </c>
      <c r="R4" s="21">
        <f>B61/100</f>
        <v>2.4425832969281702E-2</v>
      </c>
      <c r="S4" s="21">
        <f>B62/100</f>
        <v>1.8122100752602101E-2</v>
      </c>
      <c r="T4" s="21">
        <f>B63/100</f>
        <v>1.2335843963062899E-2</v>
      </c>
      <c r="U4" s="21">
        <f>B64/100</f>
        <v>4.6978588636374205E-2</v>
      </c>
      <c r="V4" s="21">
        <f>B65/100</f>
        <v>8.00279982052121E-2</v>
      </c>
      <c r="W4" s="21">
        <f>C65/100</f>
        <v>0</v>
      </c>
      <c r="X4" s="21">
        <v>0.02</v>
      </c>
      <c r="Y4" s="21">
        <v>0.02</v>
      </c>
      <c r="Z4" s="21">
        <v>0.02</v>
      </c>
      <c r="AA4" s="21">
        <v>0.02</v>
      </c>
      <c r="AB4" s="21">
        <v>0.02</v>
      </c>
      <c r="AC4" s="21">
        <v>0.02</v>
      </c>
      <c r="AD4" s="21">
        <v>0.02</v>
      </c>
      <c r="AE4" s="21">
        <v>0.02</v>
      </c>
      <c r="AF4" s="21">
        <v>0.02</v>
      </c>
      <c r="AG4" s="21">
        <v>0.02</v>
      </c>
      <c r="AH4" s="21">
        <v>0.02</v>
      </c>
      <c r="AI4" s="21">
        <v>0.02</v>
      </c>
      <c r="AJ4" s="21">
        <v>0.02</v>
      </c>
      <c r="AK4" s="21">
        <v>0.02</v>
      </c>
      <c r="AL4" s="21">
        <v>0.02</v>
      </c>
      <c r="AM4" s="21">
        <v>0.02</v>
      </c>
      <c r="AN4" s="21">
        <v>0.02</v>
      </c>
      <c r="AO4" s="21">
        <v>0.02</v>
      </c>
      <c r="AP4" s="21">
        <v>0.02</v>
      </c>
      <c r="AQ4" s="21">
        <v>0.02</v>
      </c>
      <c r="AR4" s="21">
        <v>0.02</v>
      </c>
      <c r="AS4" s="21">
        <v>0.02</v>
      </c>
      <c r="AT4" s="21">
        <v>0.02</v>
      </c>
      <c r="AU4" s="21">
        <v>0.02</v>
      </c>
      <c r="AV4" s="21">
        <v>0.02</v>
      </c>
      <c r="AW4" s="21">
        <v>0.02</v>
      </c>
      <c r="AX4" s="21">
        <v>0.02</v>
      </c>
      <c r="AY4" s="21">
        <v>0.02</v>
      </c>
      <c r="AZ4" s="21">
        <v>0.02</v>
      </c>
      <c r="BA4" s="21">
        <v>0.02</v>
      </c>
      <c r="BB4" s="21">
        <v>0.02</v>
      </c>
      <c r="BC4" s="21">
        <v>0.02</v>
      </c>
      <c r="BD4" s="21">
        <v>0.02</v>
      </c>
      <c r="BE4" s="21">
        <v>0.02</v>
      </c>
      <c r="BF4" s="21">
        <v>0.02</v>
      </c>
      <c r="BG4" s="21">
        <v>0.02</v>
      </c>
      <c r="BH4" s="21">
        <v>0.02</v>
      </c>
    </row>
    <row r="5" spans="1:60">
      <c r="A5" s="22">
        <v>22647</v>
      </c>
      <c r="B5">
        <v>1.1987733482018601</v>
      </c>
      <c r="D5" t="s">
        <v>231</v>
      </c>
      <c r="E5" s="20">
        <f>F5*(1+E4)</f>
        <v>1.1358175240448252</v>
      </c>
      <c r="F5" s="20">
        <f>G5*(1+F4)</f>
        <v>1.0985466183059525</v>
      </c>
      <c r="G5" s="20">
        <f>H5*(1+G4)</f>
        <v>1.0642156173783639</v>
      </c>
      <c r="H5" s="19">
        <f>(1+H4)*I5</f>
        <v>1.0346990425258702</v>
      </c>
      <c r="I5" s="19">
        <f>(1+I4)</f>
        <v>0.99644453733700256</v>
      </c>
      <c r="J5" s="20">
        <v>1</v>
      </c>
      <c r="K5" s="18">
        <f>J5*(1+J4)</f>
        <v>1.016400434423899</v>
      </c>
      <c r="L5" s="18">
        <f>K5*(1+K4)</f>
        <v>1.0484865858414472</v>
      </c>
      <c r="M5" s="18">
        <f t="shared" ref="M5:U5" si="0">L5*(1+L4)</f>
        <v>1.0701833094835234</v>
      </c>
      <c r="N5" s="18">
        <f t="shared" si="0"/>
        <v>1.0858597040759097</v>
      </c>
      <c r="O5" s="18">
        <f t="shared" si="0"/>
        <v>1.1034747696978455</v>
      </c>
      <c r="P5" s="18">
        <f t="shared" si="0"/>
        <v>1.1047837902086819</v>
      </c>
      <c r="Q5" s="18">
        <f t="shared" si="0"/>
        <v>1.1187215569653097</v>
      </c>
      <c r="R5" s="18">
        <f t="shared" si="0"/>
        <v>1.1425515567633244</v>
      </c>
      <c r="S5" s="18">
        <f t="shared" si="0"/>
        <v>1.1704593302476181</v>
      </c>
      <c r="T5" s="18">
        <f t="shared" si="0"/>
        <v>1.1916705121571884</v>
      </c>
      <c r="U5" s="18">
        <f t="shared" si="0"/>
        <v>1.2063707736505429</v>
      </c>
      <c r="V5" s="18">
        <f>U5*(1+U4)</f>
        <v>1.2630443699688163</v>
      </c>
      <c r="W5" s="18">
        <f>V5*(1+V4)</f>
        <v>1.3641232825417839</v>
      </c>
      <c r="X5" s="18">
        <f>W5*(1+W4)</f>
        <v>1.3641232825417839</v>
      </c>
      <c r="Y5" s="18">
        <f t="shared" ref="Y5:BH5" si="1">X5*(1+X4)</f>
        <v>1.3914057481926196</v>
      </c>
      <c r="Z5" s="18">
        <f t="shared" si="1"/>
        <v>1.419233863156472</v>
      </c>
      <c r="AA5" s="18">
        <f t="shared" si="1"/>
        <v>1.4476185404196016</v>
      </c>
      <c r="AB5" s="18">
        <f t="shared" si="1"/>
        <v>1.4765709112279937</v>
      </c>
      <c r="AC5" s="18">
        <f t="shared" si="1"/>
        <v>1.5061023294525535</v>
      </c>
      <c r="AD5" s="18">
        <f t="shared" si="1"/>
        <v>1.5362243760416046</v>
      </c>
      <c r="AE5" s="18">
        <f t="shared" si="1"/>
        <v>1.5669488635624367</v>
      </c>
      <c r="AF5" s="18">
        <f t="shared" si="1"/>
        <v>1.5982878408336854</v>
      </c>
      <c r="AG5" s="18">
        <f t="shared" si="1"/>
        <v>1.6302535976503592</v>
      </c>
      <c r="AH5" s="18">
        <f t="shared" si="1"/>
        <v>1.6628586696033663</v>
      </c>
      <c r="AI5" s="18">
        <f t="shared" si="1"/>
        <v>1.6961158429954337</v>
      </c>
      <c r="AJ5" s="18">
        <f t="shared" si="1"/>
        <v>1.7300381598553425</v>
      </c>
      <c r="AK5" s="18">
        <f t="shared" si="1"/>
        <v>1.7646389230524493</v>
      </c>
      <c r="AL5" s="18">
        <f t="shared" si="1"/>
        <v>1.7999317015134983</v>
      </c>
      <c r="AM5" s="18">
        <f t="shared" si="1"/>
        <v>1.8359303355437684</v>
      </c>
      <c r="AN5" s="18">
        <f t="shared" si="1"/>
        <v>1.8726489422546437</v>
      </c>
      <c r="AO5" s="18">
        <f t="shared" si="1"/>
        <v>1.9101019210997365</v>
      </c>
      <c r="AP5" s="18">
        <f t="shared" si="1"/>
        <v>1.9483039595217313</v>
      </c>
      <c r="AQ5" s="18">
        <f t="shared" si="1"/>
        <v>1.987270038712166</v>
      </c>
      <c r="AR5" s="18">
        <f t="shared" si="1"/>
        <v>2.0270154394864095</v>
      </c>
      <c r="AS5" s="18">
        <f t="shared" si="1"/>
        <v>2.0675557482761375</v>
      </c>
      <c r="AT5" s="18">
        <f t="shared" si="1"/>
        <v>2.1089068632416601</v>
      </c>
      <c r="AU5" s="18">
        <f t="shared" si="1"/>
        <v>2.1510850005064932</v>
      </c>
      <c r="AV5" s="18">
        <f t="shared" si="1"/>
        <v>2.194106700516623</v>
      </c>
      <c r="AW5" s="18">
        <f t="shared" si="1"/>
        <v>2.2379888345269556</v>
      </c>
      <c r="AX5" s="18">
        <f t="shared" si="1"/>
        <v>2.2827486112174946</v>
      </c>
      <c r="AY5" s="18">
        <f t="shared" si="1"/>
        <v>2.3284035834418444</v>
      </c>
      <c r="AZ5" s="18">
        <f t="shared" si="1"/>
        <v>2.3749716551106812</v>
      </c>
      <c r="BA5" s="18">
        <f t="shared" si="1"/>
        <v>2.422471088212895</v>
      </c>
      <c r="BB5" s="18">
        <f t="shared" si="1"/>
        <v>2.470920509977153</v>
      </c>
      <c r="BC5" s="18">
        <f t="shared" si="1"/>
        <v>2.5203389201766959</v>
      </c>
      <c r="BD5" s="18">
        <f t="shared" si="1"/>
        <v>2.5707456985802297</v>
      </c>
      <c r="BE5" s="18">
        <f t="shared" si="1"/>
        <v>2.6221606125518342</v>
      </c>
      <c r="BF5" s="18">
        <f t="shared" si="1"/>
        <v>2.6746038248028707</v>
      </c>
      <c r="BG5" s="18">
        <f t="shared" si="1"/>
        <v>2.7280959012989281</v>
      </c>
      <c r="BH5" s="18">
        <f t="shared" si="1"/>
        <v>2.7826578193249065</v>
      </c>
    </row>
    <row r="6" spans="1:60">
      <c r="A6" s="22">
        <v>23012</v>
      </c>
      <c r="B6">
        <v>1.2396694214875299</v>
      </c>
    </row>
    <row r="7" spans="1:60">
      <c r="A7" s="22">
        <v>23377</v>
      </c>
      <c r="B7">
        <v>1.2789115646259099</v>
      </c>
    </row>
    <row r="8" spans="1:60">
      <c r="A8" s="22">
        <v>23743</v>
      </c>
      <c r="B8">
        <v>1.5851692638366199</v>
      </c>
    </row>
    <row r="9" spans="1:60">
      <c r="A9" s="22">
        <v>24108</v>
      </c>
      <c r="B9">
        <v>3.0150753768844001</v>
      </c>
    </row>
    <row r="10" spans="1:60">
      <c r="A10" s="22">
        <v>24473</v>
      </c>
      <c r="B10">
        <v>2.7727856225930898</v>
      </c>
    </row>
    <row r="11" spans="1:60">
      <c r="A11" s="22">
        <v>24838</v>
      </c>
      <c r="B11">
        <v>4.2717961528853703</v>
      </c>
    </row>
    <row r="12" spans="1:60">
      <c r="A12" s="22">
        <v>25204</v>
      </c>
      <c r="B12">
        <v>5.4623862002874501</v>
      </c>
    </row>
    <row r="13" spans="1:60">
      <c r="A13" s="22">
        <v>25569</v>
      </c>
      <c r="B13">
        <v>5.8382553384825098</v>
      </c>
    </row>
    <row r="14" spans="1:60">
      <c r="A14" s="22">
        <v>25934</v>
      </c>
      <c r="B14">
        <v>4.2927666881305102</v>
      </c>
    </row>
    <row r="15" spans="1:60">
      <c r="A15" s="22">
        <v>26299</v>
      </c>
      <c r="B15">
        <v>3.2722782465528302</v>
      </c>
    </row>
    <row r="16" spans="1:60">
      <c r="A16" s="22">
        <v>26665</v>
      </c>
      <c r="B16">
        <v>6.1777600637703802</v>
      </c>
    </row>
    <row r="17" spans="1:2">
      <c r="A17" s="22">
        <v>27030</v>
      </c>
      <c r="B17">
        <v>11.0548048048048</v>
      </c>
    </row>
    <row r="18" spans="1:2">
      <c r="A18" s="22">
        <v>27395</v>
      </c>
      <c r="B18">
        <v>9.1431468649653507</v>
      </c>
    </row>
    <row r="19" spans="1:2">
      <c r="A19" s="22">
        <v>27760</v>
      </c>
      <c r="B19">
        <v>5.7448126354908498</v>
      </c>
    </row>
    <row r="20" spans="1:2">
      <c r="A20" s="22">
        <v>28126</v>
      </c>
      <c r="B20">
        <v>6.5016839947284</v>
      </c>
    </row>
    <row r="21" spans="1:2">
      <c r="A21" s="22">
        <v>28491</v>
      </c>
      <c r="B21">
        <v>7.6309638388560597</v>
      </c>
    </row>
    <row r="22" spans="1:2">
      <c r="A22" s="22">
        <v>28856</v>
      </c>
      <c r="B22">
        <v>11.2544711292795</v>
      </c>
    </row>
    <row r="23" spans="1:2">
      <c r="A23" s="22">
        <v>29221</v>
      </c>
      <c r="B23">
        <v>13.549201974968399</v>
      </c>
    </row>
    <row r="24" spans="1:2">
      <c r="A24" s="22">
        <v>29587</v>
      </c>
      <c r="B24">
        <v>10.3347153402771</v>
      </c>
    </row>
    <row r="25" spans="1:2">
      <c r="A25" s="22">
        <v>29952</v>
      </c>
      <c r="B25">
        <v>6.1314270002749298</v>
      </c>
    </row>
    <row r="26" spans="1:2">
      <c r="A26" s="22">
        <v>30317</v>
      </c>
      <c r="B26">
        <v>3.21243523316065</v>
      </c>
    </row>
    <row r="27" spans="1:2">
      <c r="A27" s="22">
        <v>30682</v>
      </c>
      <c r="B27">
        <v>4.3005354752342901</v>
      </c>
    </row>
    <row r="28" spans="1:2">
      <c r="A28" s="22">
        <v>31048</v>
      </c>
      <c r="B28">
        <v>3.5456441520936499</v>
      </c>
    </row>
    <row r="29" spans="1:2">
      <c r="A29" s="22">
        <v>31413</v>
      </c>
      <c r="B29">
        <v>1.8980477223427601</v>
      </c>
    </row>
    <row r="30" spans="1:2">
      <c r="A30" s="22">
        <v>31778</v>
      </c>
      <c r="B30">
        <v>3.6645632175168998</v>
      </c>
    </row>
    <row r="31" spans="1:2">
      <c r="A31" s="22">
        <v>32143</v>
      </c>
      <c r="B31">
        <v>4.0777411074441297</v>
      </c>
    </row>
    <row r="32" spans="1:2">
      <c r="A32" s="22">
        <v>32509</v>
      </c>
      <c r="B32">
        <v>4.8270030300894398</v>
      </c>
    </row>
    <row r="33" spans="1:2">
      <c r="A33" s="22">
        <v>32874</v>
      </c>
      <c r="B33">
        <v>5.3979564399032496</v>
      </c>
    </row>
    <row r="34" spans="1:2">
      <c r="A34" s="22">
        <v>33239</v>
      </c>
      <c r="B34">
        <v>4.2349639645384904</v>
      </c>
    </row>
    <row r="35" spans="1:2">
      <c r="A35" s="22">
        <v>33604</v>
      </c>
      <c r="B35">
        <v>3.0288196781496901</v>
      </c>
    </row>
    <row r="36" spans="1:2">
      <c r="A36" s="22">
        <v>33970</v>
      </c>
      <c r="B36">
        <v>2.9516569663855901</v>
      </c>
    </row>
    <row r="37" spans="1:2">
      <c r="A37" s="22">
        <v>34335</v>
      </c>
      <c r="B37">
        <v>2.60744159215453</v>
      </c>
    </row>
    <row r="38" spans="1:2">
      <c r="A38" s="22">
        <v>34700</v>
      </c>
      <c r="B38">
        <v>2.8054196885366198</v>
      </c>
    </row>
    <row r="39" spans="1:2">
      <c r="A39" s="22">
        <v>35065</v>
      </c>
      <c r="B39">
        <v>2.9312041999344101</v>
      </c>
    </row>
    <row r="40" spans="1:2">
      <c r="A40" s="22">
        <v>35431</v>
      </c>
      <c r="B40">
        <v>2.3376899373073501</v>
      </c>
    </row>
    <row r="41" spans="1:2">
      <c r="A41" s="22">
        <v>35796</v>
      </c>
      <c r="B41">
        <v>1.5522790987436399</v>
      </c>
    </row>
    <row r="42" spans="1:2">
      <c r="A42" s="22">
        <v>36161</v>
      </c>
      <c r="B42">
        <v>2.1880271969735801</v>
      </c>
    </row>
    <row r="43" spans="1:2">
      <c r="A43" s="22">
        <v>36526</v>
      </c>
      <c r="B43">
        <v>3.3768572714992899</v>
      </c>
    </row>
    <row r="44" spans="1:2">
      <c r="A44" s="22">
        <v>36892</v>
      </c>
      <c r="B44">
        <v>2.8261711188540701</v>
      </c>
    </row>
    <row r="45" spans="1:2">
      <c r="A45" s="22">
        <v>37257</v>
      </c>
      <c r="B45">
        <v>1.5860316265060099</v>
      </c>
    </row>
    <row r="46" spans="1:2">
      <c r="A46" s="22">
        <v>37622</v>
      </c>
      <c r="B46">
        <v>2.2700949733611502</v>
      </c>
    </row>
    <row r="47" spans="1:2">
      <c r="A47" s="22">
        <v>37987</v>
      </c>
      <c r="B47">
        <v>2.6772366930917202</v>
      </c>
    </row>
    <row r="48" spans="1:2">
      <c r="A48" s="22">
        <v>38353</v>
      </c>
      <c r="B48">
        <v>3.3927468454955001</v>
      </c>
    </row>
    <row r="49" spans="1:2">
      <c r="A49" s="22">
        <v>38718</v>
      </c>
      <c r="B49">
        <v>3.2259441007040399</v>
      </c>
    </row>
    <row r="50" spans="1:2">
      <c r="A50" s="22">
        <v>39083</v>
      </c>
      <c r="B50">
        <v>2.8526724815013802</v>
      </c>
    </row>
    <row r="51" spans="1:2">
      <c r="A51" s="22">
        <v>39448</v>
      </c>
      <c r="B51">
        <v>3.8391002966509999</v>
      </c>
    </row>
    <row r="52" spans="1:2">
      <c r="A52" s="22">
        <v>39814</v>
      </c>
      <c r="B52">
        <v>-0.355546266299747</v>
      </c>
    </row>
    <row r="53" spans="1:2">
      <c r="A53" s="22">
        <v>40179</v>
      </c>
      <c r="B53">
        <v>1.6400434423899</v>
      </c>
    </row>
    <row r="54" spans="1:2">
      <c r="A54" s="22">
        <v>40544</v>
      </c>
      <c r="B54">
        <v>3.1568415686220002</v>
      </c>
    </row>
    <row r="55" spans="1:2">
      <c r="A55" s="22">
        <v>40909</v>
      </c>
      <c r="B55">
        <v>2.0693372652606699</v>
      </c>
    </row>
    <row r="56" spans="1:2">
      <c r="A56" s="22">
        <v>41275</v>
      </c>
      <c r="B56">
        <v>1.46483265562717</v>
      </c>
    </row>
    <row r="57" spans="1:2">
      <c r="A57" s="22">
        <v>41640</v>
      </c>
      <c r="B57">
        <v>1.62222297740817</v>
      </c>
    </row>
    <row r="58" spans="1:2">
      <c r="A58" s="22">
        <v>42005</v>
      </c>
      <c r="B58">
        <v>0.118627135552451</v>
      </c>
    </row>
    <row r="59" spans="1:2">
      <c r="A59" s="22">
        <v>42370</v>
      </c>
      <c r="B59">
        <v>1.26158320570536</v>
      </c>
    </row>
    <row r="60" spans="1:2">
      <c r="A60" s="22">
        <v>42736</v>
      </c>
      <c r="B60">
        <v>2.1301100036596101</v>
      </c>
    </row>
    <row r="61" spans="1:2">
      <c r="A61" s="22">
        <v>43101</v>
      </c>
      <c r="B61">
        <v>2.44258329692817</v>
      </c>
    </row>
    <row r="62" spans="1:2">
      <c r="A62" s="22">
        <v>43466</v>
      </c>
      <c r="B62">
        <v>1.8122100752602099</v>
      </c>
    </row>
    <row r="63" spans="1:2">
      <c r="A63" s="22">
        <v>43831</v>
      </c>
      <c r="B63">
        <v>1.23358439630629</v>
      </c>
    </row>
    <row r="64" spans="1:2">
      <c r="A64" s="22">
        <v>44197</v>
      </c>
      <c r="B64">
        <v>4.6978588636374203</v>
      </c>
    </row>
    <row r="65" spans="1:2">
      <c r="A65" s="22">
        <v>44562</v>
      </c>
      <c r="B65">
        <v>8.0027998205212096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29f62856-1543-49d4-a736-4569d363f533" ContentTypeId="0x0101" PreviousValue="false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fa91fb-a0ff-4ac5-b2db-65c790d184a4" xsi:nil="true"/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2024-04-11T14:49:38+00:00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lcf76f155ced4ddcb4097134ff3c332f xmlns="896f0c13-6db0-45eb-9390-ae6c0027ea5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3D01357E587A4FA86952B3800C7D45" ma:contentTypeVersion="13" ma:contentTypeDescription="Create a new document." ma:contentTypeScope="" ma:versionID="6cd25004fa94ba6ed49c2b6f5ed84548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896f0c13-6db0-45eb-9390-ae6c0027ea52" targetNamespace="http://schemas.microsoft.com/office/2006/metadata/properties" ma:root="true" ma:fieldsID="817288bdc3cdd01ef4ea17fe15125d41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896f0c13-6db0-45eb-9390-ae6c0027ea52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ObjectDetectorVersions" minOccurs="0"/>
                <xsd:element ref="ns5:MediaServiceSearchProperties" minOccurs="0"/>
                <xsd:element ref="ns5:lcf76f155ced4ddcb4097134ff3c332f" minOccurs="0"/>
                <xsd:element ref="ns5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535c7321-e994-409f-bcb9-83faae3497e5}" ma:internalName="TaxCatchAllLabel" ma:readOnly="true" ma:showField="CatchAllDataLabel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535c7321-e994-409f-bcb9-83faae3497e5}" ma:internalName="TaxCatchAll" ma:showField="CatchAllData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6f0c13-6db0-45eb-9390-ae6c0027ea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0" nillable="true" ma:displayName="Tags" ma:internalName="MediaServiceAutoTags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3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7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3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3DCDDA1-5253-4B35-BAF3-8FEAB621A228}"/>
</file>

<file path=customXml/itemProps2.xml><?xml version="1.0" encoding="utf-8"?>
<ds:datastoreItem xmlns:ds="http://schemas.openxmlformats.org/officeDocument/2006/customXml" ds:itemID="{82854E15-964E-4369-A5E2-0D681D5951B0}"/>
</file>

<file path=customXml/itemProps3.xml><?xml version="1.0" encoding="utf-8"?>
<ds:datastoreItem xmlns:ds="http://schemas.openxmlformats.org/officeDocument/2006/customXml" ds:itemID="{EB3936B7-4FE3-4CCE-AECF-C7FD5D2BB523}"/>
</file>

<file path=customXml/itemProps4.xml><?xml version="1.0" encoding="utf-8"?>
<ds:datastoreItem xmlns:ds="http://schemas.openxmlformats.org/officeDocument/2006/customXml" ds:itemID="{A58F3215-6FFB-45F6-9BA1-E9A6A75023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Marie Pied</dc:creator>
  <cp:keywords/>
  <dc:description/>
  <cp:lastModifiedBy>Kaplan, Ozge</cp:lastModifiedBy>
  <cp:revision/>
  <dcterms:created xsi:type="dcterms:W3CDTF">2015-06-05T18:19:34Z</dcterms:created>
  <dcterms:modified xsi:type="dcterms:W3CDTF">2025-05-01T13:49:21Z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0x010100C63D01357E587A4FA86952B3800C7D45</vt:lpwstr>
  </property>
  <property fmtid="{D5CDD505-2E9C-101B-9397-08002B2CF9AE}" pid="3" name="MediaServiceImageTags">
    <vt:lpwstr/>
  </property>
  <property fmtid="{D5CDD505-2E9C-101B-9397-08002B2CF9AE}" pid="4" name="TaxKeyword">
    <vt:lpwstr/>
  </property>
  <property fmtid="{D5CDD505-2E9C-101B-9397-08002B2CF9AE}" pid="5" name="Document_x0020_Type">
    <vt:lpwstr/>
  </property>
  <property fmtid="{D5CDD505-2E9C-101B-9397-08002B2CF9AE}" pid="6" name="e3f09c3df709400db2417a7161762d62">
    <vt:lpwstr/>
  </property>
  <property fmtid="{D5CDD505-2E9C-101B-9397-08002B2CF9AE}" pid="7" name="EPA Subject">
    <vt:lpwstr/>
  </property>
  <property fmtid="{D5CDD505-2E9C-101B-9397-08002B2CF9AE}" pid="8" name="EPA_x0020_Subject">
    <vt:lpwstr/>
  </property>
  <property fmtid="{D5CDD505-2E9C-101B-9397-08002B2CF9AE}" pid="9" name="Document Type">
    <vt:lpwstr/>
  </property>
</Properties>
</file>