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blackmon_matthew_epa_gov1/Documents/Profile/Documents/Toxic Elements Bioavailability/Papers-Products-Presentations/PLJ Growth and Stability/"/>
    </mc:Choice>
  </mc:AlternateContent>
  <xr:revisionPtr revIDLastSave="0" documentId="8_{BC998DD5-B68A-4C66-BAA4-E4666165C430}" xr6:coauthVersionLast="47" xr6:coauthVersionMax="47" xr10:uidLastSave="{00000000-0000-0000-0000-000000000000}"/>
  <bookViews>
    <workbookView xWindow="28680" yWindow="-120" windowWidth="29040" windowHeight="15720" tabRatio="762" xr2:uid="{BA8E5FAE-C5B8-4B50-849D-EB1D640E9A3C}"/>
  </bookViews>
  <sheets>
    <sheet name="Fe-10r Pb" sheetId="2" r:id="rId1"/>
    <sheet name="Fe-10r As" sheetId="4" r:id="rId2"/>
    <sheet name="Fe-15 Pb" sheetId="1" r:id="rId3"/>
    <sheet name="Fe-15 As" sheetId="3" r:id="rId4"/>
    <sheet name="Pb IVBA" sheetId="5" r:id="rId5"/>
    <sheet name="As IVBA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F22" i="2"/>
  <c r="A16" i="6" l="1"/>
  <c r="A15" i="6"/>
  <c r="A14" i="6"/>
  <c r="A13" i="6"/>
  <c r="A15" i="5"/>
  <c r="A14" i="5"/>
  <c r="A13" i="5"/>
  <c r="P53" i="3" l="1"/>
  <c r="Q53" i="3" s="1"/>
  <c r="N53" i="3"/>
  <c r="O53" i="3" s="1"/>
  <c r="A21" i="3"/>
  <c r="P52" i="3"/>
  <c r="Q52" i="3" s="1"/>
  <c r="N52" i="3"/>
  <c r="O52" i="3" s="1"/>
  <c r="A20" i="3"/>
  <c r="P51" i="3"/>
  <c r="Q51" i="3" s="1"/>
  <c r="N51" i="3"/>
  <c r="O51" i="3" s="1"/>
  <c r="P50" i="3"/>
  <c r="Q50" i="3" s="1"/>
  <c r="N50" i="3"/>
  <c r="O50" i="3" s="1"/>
  <c r="P49" i="3"/>
  <c r="Q49" i="3" s="1"/>
  <c r="N49" i="3"/>
  <c r="O49" i="3" s="1"/>
  <c r="C17" i="3"/>
  <c r="P48" i="3"/>
  <c r="Q48" i="3" s="1"/>
  <c r="N48" i="3"/>
  <c r="O48" i="3" s="1"/>
  <c r="P47" i="3"/>
  <c r="Q47" i="3" s="1"/>
  <c r="N47" i="3"/>
  <c r="O47" i="3" s="1"/>
  <c r="P46" i="3"/>
  <c r="Q46" i="3" s="1"/>
  <c r="N46" i="3"/>
  <c r="O46" i="3" s="1"/>
  <c r="L46" i="3"/>
  <c r="M46" i="3" s="1"/>
  <c r="K46" i="3"/>
  <c r="J46" i="3"/>
  <c r="L42" i="3"/>
  <c r="K42" i="3"/>
  <c r="J42" i="3"/>
  <c r="I42" i="3"/>
  <c r="L41" i="3"/>
  <c r="K41" i="3"/>
  <c r="J41" i="3"/>
  <c r="I41" i="3"/>
  <c r="L40" i="3"/>
  <c r="K40" i="3"/>
  <c r="M40" i="3" s="1"/>
  <c r="P40" i="3" s="1"/>
  <c r="Q40" i="3" s="1"/>
  <c r="R40" i="3" s="1"/>
  <c r="J40" i="3"/>
  <c r="I40" i="3"/>
  <c r="L39" i="3"/>
  <c r="K39" i="3"/>
  <c r="J39" i="3"/>
  <c r="I39" i="3"/>
  <c r="L38" i="3"/>
  <c r="K38" i="3"/>
  <c r="J38" i="3"/>
  <c r="I38" i="3"/>
  <c r="N34" i="3"/>
  <c r="M34" i="3"/>
  <c r="L34" i="3"/>
  <c r="K34" i="3"/>
  <c r="J34" i="3"/>
  <c r="I34" i="3"/>
  <c r="N33" i="3"/>
  <c r="M33" i="3"/>
  <c r="L33" i="3"/>
  <c r="K33" i="3"/>
  <c r="J33" i="3"/>
  <c r="I33" i="3"/>
  <c r="M29" i="3"/>
  <c r="L29" i="3"/>
  <c r="K29" i="3"/>
  <c r="J29" i="3"/>
  <c r="I29" i="3"/>
  <c r="M28" i="3"/>
  <c r="L28" i="3"/>
  <c r="K28" i="3"/>
  <c r="J28" i="3"/>
  <c r="I28" i="3"/>
  <c r="M27" i="3"/>
  <c r="L27" i="3"/>
  <c r="K27" i="3"/>
  <c r="J27" i="3"/>
  <c r="I27" i="3"/>
  <c r="K23" i="3"/>
  <c r="J23" i="3"/>
  <c r="I23" i="3"/>
  <c r="K22" i="3"/>
  <c r="J22" i="3"/>
  <c r="I22" i="3"/>
  <c r="K21" i="3"/>
  <c r="J21" i="3"/>
  <c r="I21" i="3"/>
  <c r="L17" i="3"/>
  <c r="K17" i="3"/>
  <c r="J17" i="3"/>
  <c r="I17" i="3"/>
  <c r="L16" i="3"/>
  <c r="K16" i="3"/>
  <c r="J16" i="3"/>
  <c r="I16" i="3"/>
  <c r="L15" i="3"/>
  <c r="K15" i="3"/>
  <c r="J15" i="3"/>
  <c r="I15" i="3"/>
  <c r="L14" i="3"/>
  <c r="K14" i="3"/>
  <c r="J14" i="3"/>
  <c r="I14" i="3"/>
  <c r="L13" i="3"/>
  <c r="K13" i="3"/>
  <c r="J13" i="3"/>
  <c r="I13" i="3"/>
  <c r="K9" i="3"/>
  <c r="J9" i="3"/>
  <c r="I9" i="3"/>
  <c r="K8" i="3"/>
  <c r="J8" i="3"/>
  <c r="I8" i="3"/>
  <c r="K7" i="3"/>
  <c r="J7" i="3"/>
  <c r="I7" i="3"/>
  <c r="K6" i="3"/>
  <c r="J6" i="3"/>
  <c r="I6" i="3"/>
  <c r="K5" i="3"/>
  <c r="J5" i="3"/>
  <c r="I5" i="3"/>
  <c r="O34" i="3" l="1"/>
  <c r="M41" i="3"/>
  <c r="P41" i="3" s="1"/>
  <c r="Q41" i="3" s="1"/>
  <c r="R41" i="3" s="1"/>
  <c r="O33" i="3"/>
  <c r="M17" i="3"/>
  <c r="N17" i="3" s="1"/>
  <c r="M38" i="3"/>
  <c r="P38" i="3" s="1"/>
  <c r="Q38" i="3" s="1"/>
  <c r="R38" i="3" s="1"/>
  <c r="M14" i="3"/>
  <c r="N14" i="3" s="1"/>
  <c r="M16" i="3"/>
  <c r="N16" i="3" s="1"/>
  <c r="M39" i="3"/>
  <c r="P39" i="3" s="1"/>
  <c r="Q39" i="3" s="1"/>
  <c r="R39" i="3" s="1"/>
  <c r="M42" i="3"/>
  <c r="P42" i="3" s="1"/>
  <c r="Q42" i="3" s="1"/>
  <c r="R42" i="3" s="1"/>
  <c r="N27" i="3"/>
  <c r="M13" i="3"/>
  <c r="N13" i="3" s="1"/>
  <c r="M15" i="3"/>
  <c r="N15" i="3" s="1"/>
  <c r="P33" i="3"/>
  <c r="P46" i="4" l="1"/>
  <c r="N46" i="4"/>
  <c r="P45" i="4"/>
  <c r="Q45" i="4" s="1"/>
  <c r="N45" i="4"/>
  <c r="O45" i="4" s="1"/>
  <c r="P44" i="4"/>
  <c r="Q44" i="4" s="1"/>
  <c r="N44" i="4"/>
  <c r="O44" i="4" s="1"/>
  <c r="P43" i="4"/>
  <c r="Q43" i="4" s="1"/>
  <c r="N43" i="4"/>
  <c r="O43" i="4" s="1"/>
  <c r="P42" i="4"/>
  <c r="Q42" i="4" s="1"/>
  <c r="N42" i="4"/>
  <c r="O42" i="4" s="1"/>
  <c r="P41" i="4"/>
  <c r="Q41" i="4" s="1"/>
  <c r="N41" i="4"/>
  <c r="O41" i="4" s="1"/>
  <c r="P40" i="4"/>
  <c r="Q40" i="4" s="1"/>
  <c r="N40" i="4"/>
  <c r="O40" i="4" s="1"/>
  <c r="P39" i="4"/>
  <c r="Q39" i="4" s="1"/>
  <c r="N39" i="4"/>
  <c r="O39" i="4" s="1"/>
  <c r="L39" i="4"/>
  <c r="M39" i="4" s="1"/>
  <c r="J39" i="4"/>
  <c r="K39" i="4" s="1"/>
  <c r="N36" i="4"/>
  <c r="L36" i="4"/>
  <c r="K36" i="4"/>
  <c r="M36" i="4" s="1"/>
  <c r="J36" i="4"/>
  <c r="I36" i="4"/>
  <c r="N35" i="4"/>
  <c r="L35" i="4"/>
  <c r="K35" i="4"/>
  <c r="J35" i="4"/>
  <c r="I35" i="4"/>
  <c r="N34" i="4"/>
  <c r="L34" i="4"/>
  <c r="K34" i="4"/>
  <c r="J34" i="4"/>
  <c r="I34" i="4"/>
  <c r="N33" i="4"/>
  <c r="L33" i="4"/>
  <c r="K33" i="4"/>
  <c r="J33" i="4"/>
  <c r="I33" i="4"/>
  <c r="N32" i="4"/>
  <c r="L32" i="4"/>
  <c r="K32" i="4"/>
  <c r="J32" i="4"/>
  <c r="I32" i="4"/>
  <c r="N31" i="4"/>
  <c r="L31" i="4"/>
  <c r="K31" i="4"/>
  <c r="J31" i="4"/>
  <c r="I31" i="4"/>
  <c r="N30" i="4"/>
  <c r="L30" i="4"/>
  <c r="K30" i="4"/>
  <c r="J30" i="4"/>
  <c r="I30" i="4"/>
  <c r="N29" i="4"/>
  <c r="L29" i="4"/>
  <c r="K29" i="4"/>
  <c r="M29" i="4" s="1"/>
  <c r="J29" i="4"/>
  <c r="I29" i="4"/>
  <c r="N28" i="4"/>
  <c r="L28" i="4"/>
  <c r="M28" i="4" s="1"/>
  <c r="K28" i="4"/>
  <c r="J28" i="4"/>
  <c r="I28" i="4"/>
  <c r="N27" i="4"/>
  <c r="L27" i="4"/>
  <c r="K27" i="4"/>
  <c r="J27" i="4"/>
  <c r="I27" i="4"/>
  <c r="N26" i="4"/>
  <c r="L26" i="4"/>
  <c r="K26" i="4"/>
  <c r="J26" i="4"/>
  <c r="I26" i="4"/>
  <c r="N25" i="4"/>
  <c r="L25" i="4"/>
  <c r="K25" i="4"/>
  <c r="J25" i="4"/>
  <c r="I25" i="4"/>
  <c r="N24" i="4"/>
  <c r="L24" i="4"/>
  <c r="K24" i="4"/>
  <c r="J24" i="4"/>
  <c r="I24" i="4"/>
  <c r="N23" i="4"/>
  <c r="L23" i="4"/>
  <c r="K23" i="4"/>
  <c r="J23" i="4"/>
  <c r="I23" i="4"/>
  <c r="L19" i="4"/>
  <c r="K19" i="4"/>
  <c r="M19" i="4" s="1"/>
  <c r="P19" i="4" s="1"/>
  <c r="Q19" i="4" s="1"/>
  <c r="J19" i="4"/>
  <c r="I19" i="4"/>
  <c r="L18" i="4"/>
  <c r="K18" i="4"/>
  <c r="M18" i="4" s="1"/>
  <c r="P18" i="4" s="1"/>
  <c r="Q18" i="4" s="1"/>
  <c r="J18" i="4"/>
  <c r="I18" i="4"/>
  <c r="L17" i="4"/>
  <c r="K17" i="4"/>
  <c r="M17" i="4" s="1"/>
  <c r="P17" i="4" s="1"/>
  <c r="Q17" i="4" s="1"/>
  <c r="J17" i="4"/>
  <c r="I17" i="4"/>
  <c r="L13" i="4"/>
  <c r="K13" i="4"/>
  <c r="J13" i="4"/>
  <c r="I13" i="4"/>
  <c r="G13" i="4"/>
  <c r="L12" i="4"/>
  <c r="K12" i="4"/>
  <c r="M12" i="4" s="1"/>
  <c r="N12" i="4" s="1"/>
  <c r="J12" i="4"/>
  <c r="I12" i="4"/>
  <c r="G12" i="4"/>
  <c r="L11" i="4"/>
  <c r="K11" i="4"/>
  <c r="J11" i="4"/>
  <c r="I11" i="4"/>
  <c r="G11" i="4"/>
  <c r="G10" i="4"/>
  <c r="G9" i="4"/>
  <c r="G8" i="4"/>
  <c r="K7" i="4"/>
  <c r="J7" i="4"/>
  <c r="I7" i="4"/>
  <c r="G7" i="4"/>
  <c r="K6" i="4"/>
  <c r="J6" i="4"/>
  <c r="I6" i="4"/>
  <c r="G6" i="4"/>
  <c r="K5" i="4"/>
  <c r="J5" i="4"/>
  <c r="I5" i="4"/>
  <c r="A25" i="2"/>
  <c r="A24" i="2"/>
  <c r="A23" i="2"/>
  <c r="B22" i="2"/>
  <c r="A22" i="2"/>
  <c r="A21" i="2"/>
  <c r="A20" i="2"/>
  <c r="A19" i="2"/>
  <c r="A18" i="2"/>
  <c r="P45" i="2"/>
  <c r="Q45" i="2" s="1"/>
  <c r="N45" i="2"/>
  <c r="O45" i="2" s="1"/>
  <c r="P44" i="2"/>
  <c r="Q44" i="2" s="1"/>
  <c r="N44" i="2"/>
  <c r="O44" i="2" s="1"/>
  <c r="P43" i="2"/>
  <c r="Q43" i="2" s="1"/>
  <c r="N43" i="2"/>
  <c r="O43" i="2" s="1"/>
  <c r="P42" i="2"/>
  <c r="Q42" i="2" s="1"/>
  <c r="N42" i="2"/>
  <c r="O42" i="2" s="1"/>
  <c r="P41" i="2"/>
  <c r="Q41" i="2" s="1"/>
  <c r="N41" i="2"/>
  <c r="O41" i="2" s="1"/>
  <c r="P40" i="2"/>
  <c r="Q40" i="2" s="1"/>
  <c r="N40" i="2"/>
  <c r="O40" i="2" s="1"/>
  <c r="P39" i="2"/>
  <c r="Q39" i="2" s="1"/>
  <c r="N39" i="2"/>
  <c r="O39" i="2" s="1"/>
  <c r="L39" i="2"/>
  <c r="M39" i="2" s="1"/>
  <c r="J39" i="2"/>
  <c r="K39" i="2" s="1"/>
  <c r="A17" i="2"/>
  <c r="N36" i="2"/>
  <c r="L36" i="2"/>
  <c r="K36" i="2"/>
  <c r="J36" i="2"/>
  <c r="I36" i="2"/>
  <c r="A16" i="2"/>
  <c r="N35" i="2"/>
  <c r="L35" i="2"/>
  <c r="K35" i="2"/>
  <c r="J35" i="2"/>
  <c r="I35" i="2"/>
  <c r="A15" i="2"/>
  <c r="N34" i="2"/>
  <c r="L34" i="2"/>
  <c r="K34" i="2"/>
  <c r="J34" i="2"/>
  <c r="I34" i="2"/>
  <c r="N33" i="2"/>
  <c r="L33" i="2"/>
  <c r="K33" i="2"/>
  <c r="J33" i="2"/>
  <c r="I33" i="2"/>
  <c r="N32" i="2"/>
  <c r="L32" i="2"/>
  <c r="K32" i="2"/>
  <c r="J32" i="2"/>
  <c r="I32" i="2"/>
  <c r="N31" i="2"/>
  <c r="L31" i="2"/>
  <c r="K31" i="2"/>
  <c r="J31" i="2"/>
  <c r="I31" i="2"/>
  <c r="N30" i="2"/>
  <c r="L30" i="2"/>
  <c r="K30" i="2"/>
  <c r="M30" i="2" s="1"/>
  <c r="R30" i="2" s="1"/>
  <c r="J30" i="2"/>
  <c r="I30" i="2"/>
  <c r="N29" i="2"/>
  <c r="L29" i="2"/>
  <c r="K29" i="2"/>
  <c r="J29" i="2"/>
  <c r="I29" i="2"/>
  <c r="N28" i="2"/>
  <c r="L28" i="2"/>
  <c r="K28" i="2"/>
  <c r="J28" i="2"/>
  <c r="I28" i="2"/>
  <c r="N27" i="2"/>
  <c r="L27" i="2"/>
  <c r="K27" i="2"/>
  <c r="J27" i="2"/>
  <c r="I27" i="2"/>
  <c r="N26" i="2"/>
  <c r="L26" i="2"/>
  <c r="M26" i="2" s="1"/>
  <c r="K26" i="2"/>
  <c r="J26" i="2"/>
  <c r="I26" i="2"/>
  <c r="N25" i="2"/>
  <c r="L25" i="2"/>
  <c r="K25" i="2"/>
  <c r="J25" i="2"/>
  <c r="I25" i="2"/>
  <c r="N24" i="2"/>
  <c r="L24" i="2"/>
  <c r="K24" i="2"/>
  <c r="J24" i="2"/>
  <c r="I24" i="2"/>
  <c r="N23" i="2"/>
  <c r="L23" i="2"/>
  <c r="K23" i="2"/>
  <c r="J23" i="2"/>
  <c r="I23" i="2"/>
  <c r="L19" i="2"/>
  <c r="K19" i="2"/>
  <c r="J19" i="2"/>
  <c r="I19" i="2"/>
  <c r="L18" i="2"/>
  <c r="K18" i="2"/>
  <c r="J18" i="2"/>
  <c r="I18" i="2"/>
  <c r="L17" i="2"/>
  <c r="K17" i="2"/>
  <c r="J17" i="2"/>
  <c r="I17" i="2"/>
  <c r="L13" i="2"/>
  <c r="K13" i="2"/>
  <c r="J13" i="2"/>
  <c r="I13" i="2"/>
  <c r="G13" i="2"/>
  <c r="L12" i="2"/>
  <c r="K12" i="2"/>
  <c r="M12" i="2" s="1"/>
  <c r="N12" i="2" s="1"/>
  <c r="J12" i="2"/>
  <c r="I12" i="2"/>
  <c r="G12" i="2"/>
  <c r="L11" i="2"/>
  <c r="K11" i="2"/>
  <c r="J11" i="2"/>
  <c r="I11" i="2"/>
  <c r="G11" i="2"/>
  <c r="G10" i="2"/>
  <c r="G9" i="2"/>
  <c r="G8" i="2"/>
  <c r="K7" i="2"/>
  <c r="J7" i="2"/>
  <c r="I7" i="2"/>
  <c r="G7" i="2"/>
  <c r="K6" i="2"/>
  <c r="J6" i="2"/>
  <c r="I6" i="2"/>
  <c r="G6" i="2"/>
  <c r="K5" i="2"/>
  <c r="J5" i="2"/>
  <c r="I5" i="2"/>
  <c r="F22" i="1"/>
  <c r="B22" i="1"/>
  <c r="F21" i="1"/>
  <c r="B21" i="1"/>
  <c r="A34" i="1"/>
  <c r="P50" i="1"/>
  <c r="Q50" i="1" s="1"/>
  <c r="N50" i="1"/>
  <c r="O50" i="1" s="1"/>
  <c r="A33" i="1"/>
  <c r="P49" i="1"/>
  <c r="Q49" i="1" s="1"/>
  <c r="N49" i="1"/>
  <c r="O49" i="1" s="1"/>
  <c r="A32" i="1"/>
  <c r="Q48" i="1"/>
  <c r="P48" i="1"/>
  <c r="N48" i="1"/>
  <c r="O48" i="1" s="1"/>
  <c r="A31" i="1"/>
  <c r="P47" i="1"/>
  <c r="Q47" i="1" s="1"/>
  <c r="N47" i="1"/>
  <c r="O47" i="1" s="1"/>
  <c r="A30" i="1"/>
  <c r="P46" i="1"/>
  <c r="Q46" i="1" s="1"/>
  <c r="N46" i="1"/>
  <c r="O46" i="1" s="1"/>
  <c r="L46" i="1"/>
  <c r="M46" i="1" s="1"/>
  <c r="J46" i="1"/>
  <c r="K46" i="1" s="1"/>
  <c r="A29" i="1"/>
  <c r="A28" i="1"/>
  <c r="A27" i="1"/>
  <c r="A26" i="1"/>
  <c r="L42" i="1"/>
  <c r="K42" i="1"/>
  <c r="M42" i="1" s="1"/>
  <c r="P42" i="1" s="1"/>
  <c r="Q42" i="1" s="1"/>
  <c r="R42" i="1" s="1"/>
  <c r="J42" i="1"/>
  <c r="I42" i="1"/>
  <c r="A25" i="1"/>
  <c r="L41" i="1"/>
  <c r="K41" i="1"/>
  <c r="J41" i="1"/>
  <c r="I41" i="1"/>
  <c r="A24" i="1"/>
  <c r="L40" i="1"/>
  <c r="K40" i="1"/>
  <c r="J40" i="1"/>
  <c r="I40" i="1"/>
  <c r="A23" i="1"/>
  <c r="L39" i="1"/>
  <c r="K39" i="1"/>
  <c r="J39" i="1"/>
  <c r="I39" i="1"/>
  <c r="A22" i="1"/>
  <c r="L38" i="1"/>
  <c r="K38" i="1"/>
  <c r="J38" i="1"/>
  <c r="I38" i="1"/>
  <c r="A21" i="1"/>
  <c r="A20" i="1"/>
  <c r="A19" i="1"/>
  <c r="A18" i="1"/>
  <c r="N34" i="1"/>
  <c r="M34" i="1"/>
  <c r="L34" i="1"/>
  <c r="K34" i="1"/>
  <c r="J34" i="1"/>
  <c r="I34" i="1"/>
  <c r="A17" i="1"/>
  <c r="N33" i="1"/>
  <c r="M33" i="1"/>
  <c r="L33" i="1"/>
  <c r="K33" i="1"/>
  <c r="J33" i="1"/>
  <c r="I33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I27" i="1"/>
  <c r="K23" i="1"/>
  <c r="J23" i="1"/>
  <c r="I23" i="1"/>
  <c r="K22" i="1"/>
  <c r="J22" i="1"/>
  <c r="I22" i="1"/>
  <c r="K21" i="1"/>
  <c r="J21" i="1"/>
  <c r="I21" i="1"/>
  <c r="L17" i="1"/>
  <c r="K17" i="1"/>
  <c r="J17" i="1"/>
  <c r="I17" i="1"/>
  <c r="L16" i="1"/>
  <c r="K16" i="1"/>
  <c r="J16" i="1"/>
  <c r="I16" i="1"/>
  <c r="L15" i="1"/>
  <c r="K15" i="1"/>
  <c r="M15" i="1" s="1"/>
  <c r="N15" i="1" s="1"/>
  <c r="J15" i="1"/>
  <c r="I15" i="1"/>
  <c r="L14" i="1"/>
  <c r="K14" i="1"/>
  <c r="J14" i="1"/>
  <c r="I14" i="1"/>
  <c r="L13" i="1"/>
  <c r="K13" i="1"/>
  <c r="J13" i="1"/>
  <c r="I13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M31" i="4" l="1"/>
  <c r="M25" i="4"/>
  <c r="M33" i="4"/>
  <c r="M30" i="4"/>
  <c r="M40" i="1"/>
  <c r="P40" i="1" s="1"/>
  <c r="Q40" i="1" s="1"/>
  <c r="R40" i="1" s="1"/>
  <c r="M31" i="2"/>
  <c r="M11" i="4"/>
  <c r="N11" i="4" s="1"/>
  <c r="M32" i="4"/>
  <c r="R31" i="4" s="1"/>
  <c r="M35" i="4"/>
  <c r="M26" i="4"/>
  <c r="M13" i="4"/>
  <c r="N13" i="4" s="1"/>
  <c r="M17" i="2"/>
  <c r="P17" i="2" s="1"/>
  <c r="Q17" i="2" s="1"/>
  <c r="M19" i="2"/>
  <c r="P19" i="2" s="1"/>
  <c r="Q19" i="2" s="1"/>
  <c r="M24" i="2"/>
  <c r="M34" i="2"/>
  <c r="R34" i="2" s="1"/>
  <c r="M18" i="2"/>
  <c r="P18" i="2" s="1"/>
  <c r="Q18" i="2" s="1"/>
  <c r="R18" i="2" s="1"/>
  <c r="M23" i="2"/>
  <c r="M11" i="2"/>
  <c r="N11" i="2" s="1"/>
  <c r="M35" i="2"/>
  <c r="M13" i="2"/>
  <c r="N13" i="2" s="1"/>
  <c r="M28" i="2"/>
  <c r="M25" i="2"/>
  <c r="R25" i="2" s="1"/>
  <c r="M33" i="2"/>
  <c r="O33" i="1"/>
  <c r="P33" i="1" s="1"/>
  <c r="M17" i="1"/>
  <c r="N17" i="1" s="1"/>
  <c r="M39" i="1"/>
  <c r="P39" i="1" s="1"/>
  <c r="Q39" i="1" s="1"/>
  <c r="R39" i="1" s="1"/>
  <c r="M38" i="1"/>
  <c r="P38" i="1" s="1"/>
  <c r="Q38" i="1" s="1"/>
  <c r="R38" i="1" s="1"/>
  <c r="M24" i="4"/>
  <c r="M27" i="4"/>
  <c r="O27" i="4" s="1"/>
  <c r="M23" i="4"/>
  <c r="R23" i="4" s="1"/>
  <c r="M34" i="4"/>
  <c r="O33" i="4" s="1"/>
  <c r="R17" i="4"/>
  <c r="R35" i="4"/>
  <c r="O35" i="4"/>
  <c r="R19" i="4"/>
  <c r="O25" i="4"/>
  <c r="R25" i="4"/>
  <c r="R29" i="4"/>
  <c r="O29" i="4"/>
  <c r="R18" i="4"/>
  <c r="R27" i="4"/>
  <c r="M14" i="1"/>
  <c r="N14" i="1" s="1"/>
  <c r="O34" i="1"/>
  <c r="M13" i="1"/>
  <c r="N13" i="1" s="1"/>
  <c r="M16" i="1"/>
  <c r="N16" i="1" s="1"/>
  <c r="M41" i="1"/>
  <c r="P41" i="1" s="1"/>
  <c r="Q41" i="1" s="1"/>
  <c r="R41" i="1" s="1"/>
  <c r="N27" i="1"/>
  <c r="M27" i="2"/>
  <c r="R27" i="2" s="1"/>
  <c r="M29" i="2"/>
  <c r="R29" i="2" s="1"/>
  <c r="M32" i="2"/>
  <c r="O31" i="2" s="1"/>
  <c r="M36" i="2"/>
  <c r="O35" i="2" s="1"/>
  <c r="R26" i="2"/>
  <c r="R17" i="2"/>
  <c r="R24" i="2"/>
  <c r="R19" i="2"/>
  <c r="R28" i="2"/>
  <c r="O31" i="4" l="1"/>
  <c r="R33" i="4"/>
  <c r="O23" i="4"/>
  <c r="O23" i="2"/>
  <c r="R23" i="2"/>
  <c r="R35" i="2"/>
  <c r="R31" i="2"/>
  <c r="R33" i="2"/>
  <c r="R32" i="2"/>
  <c r="O27" i="2"/>
  <c r="R36" i="2"/>
  <c r="O29" i="2"/>
  <c r="O33" i="2"/>
  <c r="O25" i="2"/>
</calcChain>
</file>

<file path=xl/sharedStrings.xml><?xml version="1.0" encoding="utf-8"?>
<sst xmlns="http://schemas.openxmlformats.org/spreadsheetml/2006/main" count="725" uniqueCount="186">
  <si>
    <t>Fe-15</t>
  </si>
  <si>
    <t>Quality Control Sample Results</t>
  </si>
  <si>
    <r>
      <t>MDL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(ppb)</t>
    </r>
  </si>
  <si>
    <t>Blank</t>
  </si>
  <si>
    <t xml:space="preserve">Sample </t>
  </si>
  <si>
    <t>[Pb]</t>
  </si>
  <si>
    <t>Flags</t>
  </si>
  <si>
    <r>
      <t>LLOQ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(ppb)</t>
    </r>
  </si>
  <si>
    <t>Index Number</t>
  </si>
  <si>
    <t>ID</t>
  </si>
  <si>
    <t>ppm</t>
  </si>
  <si>
    <t>Sample ID</t>
  </si>
  <si>
    <t>[Pb] (ug/g)</t>
  </si>
  <si>
    <t>Standard Deviation</t>
  </si>
  <si>
    <t/>
  </si>
  <si>
    <t>Blank Spike</t>
  </si>
  <si>
    <t>Sample</t>
  </si>
  <si>
    <t>Dilution</t>
  </si>
  <si>
    <t>Raw [Pb]</t>
  </si>
  <si>
    <t>DF Corrected[Pb]</t>
  </si>
  <si>
    <t>Recovery</t>
  </si>
  <si>
    <t>Factor</t>
  </si>
  <si>
    <t>%</t>
  </si>
  <si>
    <t>RPD</t>
  </si>
  <si>
    <t>Unprocessed Blank</t>
  </si>
  <si>
    <t>Tray B B1</t>
  </si>
  <si>
    <t>Tray C PR1</t>
  </si>
  <si>
    <t>Tray C PR2</t>
  </si>
  <si>
    <t>Matrix Spike</t>
  </si>
  <si>
    <t>[Pb] original</t>
  </si>
  <si>
    <t>[Pb] spike</t>
  </si>
  <si>
    <t>Mean</t>
  </si>
  <si>
    <t>Tray C PR3</t>
  </si>
  <si>
    <t>Tray C PR4</t>
  </si>
  <si>
    <t>Tray C Sand cont PR</t>
  </si>
  <si>
    <t>LLOQ</t>
  </si>
  <si>
    <t>CaO #1</t>
  </si>
  <si>
    <r>
      <rPr>
        <vertAlign val="superscript"/>
        <sz val="10"/>
        <color theme="1"/>
        <rFont val="Aptos Narrow"/>
        <family val="2"/>
        <scheme val="minor"/>
      </rPr>
      <t>1</t>
    </r>
    <r>
      <rPr>
        <sz val="10"/>
        <color theme="1"/>
        <rFont val="Aptos Narrow"/>
        <family val="2"/>
        <scheme val="minor"/>
      </rPr>
      <t>MDL calculated as the standard deviation of 8 low Pb dust replicates multiplied by 3.14. Refers to instrument raw values.</t>
    </r>
  </si>
  <si>
    <r>
      <rPr>
        <vertAlign val="super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scheme val="minor"/>
      </rPr>
      <t>LLOQ was successfully verified at 1.0 ppb Pb. Refers to instrument raw values.</t>
    </r>
  </si>
  <si>
    <t>Volume (L)</t>
  </si>
  <si>
    <t xml:space="preserve">[Pb] (ppm) </t>
  </si>
  <si>
    <t xml:space="preserve">Expected Mass (mg) </t>
  </si>
  <si>
    <t xml:space="preserve">Measured Pb Mass (mg) </t>
  </si>
  <si>
    <t>SRM</t>
  </si>
  <si>
    <t>SRM Mass</t>
  </si>
  <si>
    <t>Volume</t>
  </si>
  <si>
    <t>Pb mass</t>
  </si>
  <si>
    <t>Certified Recovery</t>
  </si>
  <si>
    <t>g</t>
  </si>
  <si>
    <t>L</t>
  </si>
  <si>
    <t>mg</t>
  </si>
  <si>
    <t>mg/kg</t>
  </si>
  <si>
    <t>ICV</t>
  </si>
  <si>
    <t>Occurrence</t>
  </si>
  <si>
    <t>ICV (%)</t>
  </si>
  <si>
    <t>ICB</t>
  </si>
  <si>
    <t>CCV (%)</t>
  </si>
  <si>
    <t xml:space="preserve">CCB </t>
  </si>
  <si>
    <t>CCV</t>
  </si>
  <si>
    <t>CCB</t>
  </si>
  <si>
    <t>Spike and SRM As Concentrations</t>
  </si>
  <si>
    <t>SRM 2710a</t>
  </si>
  <si>
    <t>SRM 2583</t>
  </si>
  <si>
    <t>SoFC-1</t>
  </si>
  <si>
    <t>ppm (ug Pb/g SRM)</t>
  </si>
  <si>
    <t>Totals</t>
  </si>
  <si>
    <t>IVBA</t>
  </si>
  <si>
    <t>Calibration Verifications</t>
  </si>
  <si>
    <t>[Pb] ppm</t>
  </si>
  <si>
    <t>Calibration Stds.</t>
  </si>
  <si>
    <t>Target [Pb] (Observed)</t>
  </si>
  <si>
    <t>Correlation:</t>
  </si>
  <si>
    <t>Analyte</t>
  </si>
  <si>
    <t>Mean IVBA</t>
  </si>
  <si>
    <t>Acceptable IVBA Range</t>
  </si>
  <si>
    <t>Cal 1</t>
  </si>
  <si>
    <t>Arsenic</t>
  </si>
  <si>
    <t>**Will insert totals data here</t>
  </si>
  <si>
    <t>Cal 2</t>
  </si>
  <si>
    <t>Lead</t>
  </si>
  <si>
    <t>Cal 3</t>
  </si>
  <si>
    <t>Cal 4</t>
  </si>
  <si>
    <t>Cal 5</t>
  </si>
  <si>
    <t>Cal 6</t>
  </si>
  <si>
    <t>[As]</t>
  </si>
  <si>
    <t>[As] (ug/g)</t>
  </si>
  <si>
    <t>Raw [As]</t>
  </si>
  <si>
    <t>DF Corrected[As]</t>
  </si>
  <si>
    <t>Tray C C1</t>
  </si>
  <si>
    <t>Tray D PR1</t>
  </si>
  <si>
    <t>Tray D PR2</t>
  </si>
  <si>
    <t>[As] original</t>
  </si>
  <si>
    <t>[As] spike</t>
  </si>
  <si>
    <t>Tray D PR3</t>
  </si>
  <si>
    <t>Tray D PR4</t>
  </si>
  <si>
    <t>Tray D Sand cont PR</t>
  </si>
  <si>
    <t xml:space="preserve">[As] (ppm) </t>
  </si>
  <si>
    <t xml:space="preserve">Measured As Mass (mg) </t>
  </si>
  <si>
    <t>As mass</t>
  </si>
  <si>
    <t>ppb</t>
  </si>
  <si>
    <t>ppm (ug As/g SRM)</t>
  </si>
  <si>
    <t>NA</t>
  </si>
  <si>
    <t>[As] ppm</t>
  </si>
  <si>
    <t>Target [As] (Observed)</t>
  </si>
  <si>
    <t>Vegetation Experiments</t>
  </si>
  <si>
    <t>B1</t>
  </si>
  <si>
    <t>B6</t>
  </si>
  <si>
    <t>B3</t>
  </si>
  <si>
    <t>B11</t>
  </si>
  <si>
    <t>B16</t>
  </si>
  <si>
    <t>B13</t>
  </si>
  <si>
    <t>B8</t>
  </si>
  <si>
    <t>B18</t>
  </si>
  <si>
    <t>ug</t>
  </si>
  <si>
    <t>ug/g</t>
  </si>
  <si>
    <t>Analytical Replicates</t>
  </si>
  <si>
    <t>Limits</t>
  </si>
  <si>
    <t>Repeatability (%)</t>
  </si>
  <si>
    <t>Target</t>
  </si>
  <si>
    <t>Pass/Fail</t>
  </si>
  <si>
    <t>85 to 115%</t>
  </si>
  <si>
    <t>PASS</t>
  </si>
  <si>
    <t>[Pb] ppb</t>
  </si>
  <si>
    <t>0.112 (0.100)</t>
  </si>
  <si>
    <t>1.015 (1.000)</t>
  </si>
  <si>
    <t>10.135 (10.000)</t>
  </si>
  <si>
    <t>52.117 (50.000)</t>
  </si>
  <si>
    <t>102.035 (100.000)</t>
  </si>
  <si>
    <t>999.689 (1,000.000)</t>
  </si>
  <si>
    <t>Spike and SRM Pb Concentrations</t>
  </si>
  <si>
    <t>Certified SRM 2583</t>
  </si>
  <si>
    <t>Round-robin SRM 2583</t>
  </si>
  <si>
    <t>DF Corrected [As]</t>
  </si>
  <si>
    <t>1MDL calculated as the standard deviation of 7 As soil replicates multiplied by 3.14. Refers to instrument raw values.</t>
  </si>
  <si>
    <t>[As] ppb</t>
  </si>
  <si>
    <t>0.106 (0.100)</t>
  </si>
  <si>
    <t>1.052 (1.000)</t>
  </si>
  <si>
    <t>10.217 (10.000)</t>
  </si>
  <si>
    <t>51.100 (50.000)</t>
  </si>
  <si>
    <t>100.664 (100.000)</t>
  </si>
  <si>
    <t>999.876 (1,000.000)</t>
  </si>
  <si>
    <t>32.9-49.1%</t>
  </si>
  <si>
    <t>60.7-74.2%</t>
  </si>
  <si>
    <t>B544-545 rerun</t>
  </si>
  <si>
    <t>[Pb] (mg/kg)</t>
  </si>
  <si>
    <t>SD</t>
  </si>
  <si>
    <r>
      <t>MDL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(ppm)</t>
    </r>
  </si>
  <si>
    <r>
      <t>LLOQ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(ppm)</t>
    </r>
  </si>
  <si>
    <t>B544</t>
  </si>
  <si>
    <t>B5</t>
  </si>
  <si>
    <t>B545</t>
  </si>
  <si>
    <t>B15</t>
  </si>
  <si>
    <t>B25</t>
  </si>
  <si>
    <t>[As] (mg/kg)</t>
  </si>
  <si>
    <t>B551-555</t>
  </si>
  <si>
    <t>B556-558</t>
  </si>
  <si>
    <r>
      <t>MDL</t>
    </r>
    <r>
      <rPr>
        <b/>
        <vertAlign val="super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 xml:space="preserve"> (ppm)</t>
    </r>
  </si>
  <si>
    <r>
      <t>LLOQ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(ppm)</t>
    </r>
  </si>
  <si>
    <t>B556</t>
  </si>
  <si>
    <t>C1</t>
  </si>
  <si>
    <t>C3</t>
  </si>
  <si>
    <t>C5</t>
  </si>
  <si>
    <t>C11</t>
  </si>
  <si>
    <t>B557</t>
  </si>
  <si>
    <t>C12</t>
  </si>
  <si>
    <t>C21</t>
  </si>
  <si>
    <t>C23</t>
  </si>
  <si>
    <t>C25</t>
  </si>
  <si>
    <t>B558</t>
  </si>
  <si>
    <t>C31</t>
  </si>
  <si>
    <t>C32</t>
  </si>
  <si>
    <t>C40</t>
  </si>
  <si>
    <t>B576</t>
  </si>
  <si>
    <t>Veg + Stability C12</t>
  </si>
  <si>
    <t>Veg + Stability C32</t>
  </si>
  <si>
    <t>B577</t>
  </si>
  <si>
    <t>Stabilty C3</t>
  </si>
  <si>
    <t>Stabilty C5</t>
  </si>
  <si>
    <t>Stabilty C11</t>
  </si>
  <si>
    <t>B544-545</t>
  </si>
  <si>
    <t>Fe-10r</t>
  </si>
  <si>
    <t>MDL1 (ppb)</t>
  </si>
  <si>
    <t>LLOQ2 (ppb)</t>
  </si>
  <si>
    <t>2LLOQ was successfully verified at 1.0 ppb As. Refers to instrument raw values.</t>
  </si>
  <si>
    <t>MARS 6 As (ppb)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</si>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</sst>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"/>
    <numFmt numFmtId="166" formatCode="0.0"/>
    <numFmt numFmtId="167" formatCode="0.0%"/>
    <numFmt numFmtId="168" formatCode="0.000000"/>
    <numFmt numFmtId="169" formatCode="0.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theme="1"/>
      <name val="Aptos Narrow"/>
      <family val="2"/>
      <scheme val="minor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8"/>
      <color rgb="FF000000"/>
      <name val="Microsoft Sans Serif"/>
      <family val="2"/>
    </font>
    <font>
      <sz val="10"/>
      <color theme="1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5F5F5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>
      <alignment vertical="top"/>
    </xf>
    <xf numFmtId="0" fontId="8" fillId="0" borderId="0">
      <alignment vertical="top"/>
    </xf>
  </cellStyleXfs>
  <cellXfs count="212">
    <xf numFmtId="0" fontId="0" fillId="0" borderId="0" xfId="0"/>
    <xf numFmtId="0" fontId="4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4" fillId="0" borderId="1" xfId="2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64" fontId="1" fillId="0" borderId="7" xfId="2" applyNumberFormat="1" applyFont="1" applyBorder="1" applyAlignment="1">
      <alignment horizontal="center" vertical="center"/>
    </xf>
    <xf numFmtId="0" fontId="4" fillId="0" borderId="7" xfId="2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4" fillId="0" borderId="9" xfId="2" applyBorder="1" applyAlignment="1">
      <alignment horizontal="center" vertical="center"/>
    </xf>
    <xf numFmtId="0" fontId="4" fillId="0" borderId="0" xfId="2" quotePrefix="1" applyAlignment="1">
      <alignment vertical="center" wrapText="1"/>
    </xf>
    <xf numFmtId="0" fontId="3" fillId="2" borderId="10" xfId="2" applyFont="1" applyFill="1" applyBorder="1" applyAlignment="1">
      <alignment horizontal="center" vertical="center"/>
    </xf>
    <xf numFmtId="165" fontId="4" fillId="0" borderId="0" xfId="2" applyNumberFormat="1" applyAlignment="1">
      <alignment horizontal="center" vertical="center"/>
    </xf>
    <xf numFmtId="0" fontId="4" fillId="0" borderId="0" xfId="2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/>
    <xf numFmtId="0" fontId="4" fillId="0" borderId="13" xfId="2" applyBorder="1" applyAlignment="1">
      <alignment horizontal="center" vertical="center"/>
    </xf>
    <xf numFmtId="165" fontId="4" fillId="0" borderId="13" xfId="2" applyNumberForma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165" fontId="4" fillId="0" borderId="1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166" fontId="1" fillId="0" borderId="7" xfId="2" applyNumberFormat="1" applyFont="1" applyBorder="1" applyAlignment="1">
      <alignment horizontal="center" vertical="center"/>
    </xf>
    <xf numFmtId="2" fontId="1" fillId="0" borderId="7" xfId="2" applyNumberFormat="1" applyFont="1" applyBorder="1" applyAlignment="1">
      <alignment horizontal="center" vertical="center"/>
    </xf>
    <xf numFmtId="10" fontId="4" fillId="0" borderId="7" xfId="2" applyNumberForma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66" fontId="1" fillId="0" borderId="0" xfId="2" applyNumberFormat="1" applyFont="1" applyAlignment="1">
      <alignment horizontal="center" vertical="center"/>
    </xf>
    <xf numFmtId="2" fontId="1" fillId="0" borderId="0" xfId="2" applyNumberFormat="1" applyFont="1" applyAlignment="1">
      <alignment horizontal="center" vertical="center"/>
    </xf>
    <xf numFmtId="10" fontId="4" fillId="0" borderId="0" xfId="2" applyNumberFormat="1" applyAlignment="1">
      <alignment horizontal="center" vertical="center"/>
    </xf>
    <xf numFmtId="0" fontId="1" fillId="0" borderId="0" xfId="4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10" fontId="4" fillId="0" borderId="1" xfId="2" applyNumberForma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0" fontId="4" fillId="0" borderId="0" xfId="3" applyNumberFormat="1" applyFont="1" applyBorder="1" applyAlignment="1">
      <alignment vertical="center"/>
    </xf>
    <xf numFmtId="0" fontId="3" fillId="2" borderId="8" xfId="4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13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10" fontId="1" fillId="0" borderId="0" xfId="1" applyNumberFormat="1" applyFont="1" applyBorder="1" applyAlignment="1">
      <alignment horizontal="center" vertical="center"/>
    </xf>
    <xf numFmtId="10" fontId="4" fillId="0" borderId="7" xfId="2" applyNumberForma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4" fillId="0" borderId="0" xfId="2" applyNumberFormat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4" fillId="0" borderId="1" xfId="2" applyNumberFormat="1" applyBorder="1" applyAlignment="1">
      <alignment horizontal="center" vertical="center"/>
    </xf>
    <xf numFmtId="164" fontId="4" fillId="0" borderId="0" xfId="2" applyNumberForma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" fillId="0" borderId="0" xfId="2" applyFont="1" applyAlignment="1">
      <alignment horizontal="left" vertical="center"/>
    </xf>
    <xf numFmtId="10" fontId="4" fillId="0" borderId="0" xfId="2" applyNumberFormat="1" applyAlignment="1">
      <alignment vertical="center"/>
    </xf>
    <xf numFmtId="0" fontId="3" fillId="2" borderId="8" xfId="4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65" fontId="4" fillId="0" borderId="7" xfId="2" applyNumberFormat="1" applyBorder="1" applyAlignment="1">
      <alignment horizontal="center" vertical="center"/>
    </xf>
    <xf numFmtId="164" fontId="4" fillId="0" borderId="7" xfId="2" applyNumberFormat="1" applyBorder="1" applyAlignment="1">
      <alignment horizontal="center" vertical="center"/>
    </xf>
    <xf numFmtId="10" fontId="1" fillId="0" borderId="7" xfId="4" applyNumberFormat="1" applyBorder="1" applyAlignment="1">
      <alignment horizontal="center" vertical="center"/>
    </xf>
    <xf numFmtId="10" fontId="1" fillId="0" borderId="0" xfId="4" applyNumberFormat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0" fontId="1" fillId="0" borderId="1" xfId="4" applyNumberFormat="1" applyBorder="1" applyAlignment="1">
      <alignment horizontal="center" vertical="center"/>
    </xf>
    <xf numFmtId="0" fontId="11" fillId="2" borderId="15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9" fontId="12" fillId="0" borderId="0" xfId="5" applyFont="1" applyAlignment="1">
      <alignment horizontal="center"/>
    </xf>
    <xf numFmtId="167" fontId="2" fillId="0" borderId="0" xfId="5" applyNumberFormat="1" applyFont="1" applyAlignment="1">
      <alignment horizontal="center"/>
    </xf>
    <xf numFmtId="165" fontId="12" fillId="0" borderId="0" xfId="5" applyNumberFormat="1" applyFont="1" applyAlignment="1">
      <alignment horizontal="center"/>
    </xf>
    <xf numFmtId="167" fontId="12" fillId="0" borderId="0" xfId="5" applyNumberFormat="1" applyFont="1" applyAlignment="1">
      <alignment horizontal="center"/>
    </xf>
    <xf numFmtId="168" fontId="12" fillId="0" borderId="0" xfId="5" applyNumberFormat="1" applyFont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2" fontId="1" fillId="0" borderId="3" xfId="2" applyNumberFormat="1" applyFont="1" applyBorder="1" applyAlignment="1">
      <alignment horizontal="center" vertical="center"/>
    </xf>
    <xf numFmtId="0" fontId="13" fillId="3" borderId="19" xfId="6" applyFont="1" applyFill="1" applyBorder="1" applyAlignment="1">
      <alignment horizontal="left" vertical="top"/>
    </xf>
    <xf numFmtId="0" fontId="13" fillId="3" borderId="19" xfId="6" applyFont="1" applyFill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2" fontId="1" fillId="0" borderId="13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4" fillId="0" borderId="0" xfId="2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" fillId="0" borderId="0" xfId="6"/>
    <xf numFmtId="0" fontId="1" fillId="0" borderId="0" xfId="4"/>
    <xf numFmtId="165" fontId="4" fillId="0" borderId="0" xfId="2" quotePrefix="1" applyNumberFormat="1" applyAlignment="1">
      <alignment horizontal="center" vertical="center"/>
    </xf>
    <xf numFmtId="2" fontId="4" fillId="0" borderId="0" xfId="2" applyNumberForma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0" fontId="1" fillId="0" borderId="0" xfId="4" applyAlignment="1">
      <alignment horizontal="center" vertical="center"/>
    </xf>
    <xf numFmtId="0" fontId="1" fillId="0" borderId="1" xfId="4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1" fillId="0" borderId="16" xfId="4" applyBorder="1" applyAlignment="1">
      <alignment horizontal="center" vertical="center"/>
    </xf>
    <xf numFmtId="0" fontId="1" fillId="0" borderId="13" xfId="4" applyBorder="1" applyAlignment="1">
      <alignment horizontal="center" vertical="center"/>
    </xf>
    <xf numFmtId="0" fontId="1" fillId="0" borderId="17" xfId="4" applyBorder="1" applyAlignment="1">
      <alignment horizontal="center" vertical="center"/>
    </xf>
    <xf numFmtId="0" fontId="14" fillId="0" borderId="5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0" fontId="1" fillId="0" borderId="12" xfId="4" applyBorder="1" applyAlignment="1">
      <alignment horizontal="center" vertical="center"/>
    </xf>
    <xf numFmtId="0" fontId="1" fillId="0" borderId="0" xfId="4" applyAlignment="1">
      <alignment vertical="top"/>
    </xf>
    <xf numFmtId="0" fontId="3" fillId="2" borderId="20" xfId="2" applyFont="1" applyFill="1" applyBorder="1" applyAlignment="1">
      <alignment horizontal="center" vertical="center"/>
    </xf>
    <xf numFmtId="10" fontId="4" fillId="0" borderId="0" xfId="5" applyNumberFormat="1" applyFont="1" applyBorder="1" applyAlignment="1">
      <alignment vertical="center"/>
    </xf>
    <xf numFmtId="0" fontId="1" fillId="0" borderId="5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0" fontId="1" fillId="0" borderId="21" xfId="4" applyBorder="1" applyAlignment="1">
      <alignment horizontal="center" vertical="center"/>
    </xf>
    <xf numFmtId="0" fontId="1" fillId="0" borderId="22" xfId="4" applyBorder="1" applyAlignment="1">
      <alignment horizontal="center" vertical="center"/>
    </xf>
    <xf numFmtId="0" fontId="1" fillId="0" borderId="23" xfId="4" applyBorder="1" applyAlignment="1">
      <alignment horizontal="center" vertical="center"/>
    </xf>
    <xf numFmtId="0" fontId="1" fillId="0" borderId="0" xfId="4" applyAlignment="1">
      <alignment vertical="center" wrapText="1"/>
    </xf>
    <xf numFmtId="0" fontId="1" fillId="0" borderId="1" xfId="4" applyBorder="1" applyAlignment="1">
      <alignment vertical="center" wrapText="1"/>
    </xf>
    <xf numFmtId="0" fontId="1" fillId="0" borderId="13" xfId="4" applyBorder="1" applyAlignment="1">
      <alignment horizontal="center" vertical="center" wrapText="1"/>
    </xf>
    <xf numFmtId="0" fontId="1" fillId="0" borderId="0" xfId="4" applyAlignment="1">
      <alignment vertical="center"/>
    </xf>
    <xf numFmtId="0" fontId="9" fillId="0" borderId="0" xfId="4" applyFont="1" applyAlignment="1">
      <alignment horizontal="left" vertical="center"/>
    </xf>
    <xf numFmtId="0" fontId="3" fillId="0" borderId="18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9" fontId="1" fillId="0" borderId="0" xfId="4" applyNumberFormat="1" applyAlignment="1">
      <alignment horizontal="center" vertical="center"/>
    </xf>
    <xf numFmtId="0" fontId="1" fillId="0" borderId="25" xfId="4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/>
    </xf>
    <xf numFmtId="0" fontId="1" fillId="0" borderId="26" xfId="4" applyBorder="1" applyAlignment="1">
      <alignment horizontal="center" vertical="center" wrapText="1"/>
    </xf>
    <xf numFmtId="0" fontId="1" fillId="0" borderId="7" xfId="4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0" fillId="0" borderId="13" xfId="0" applyNumberFormat="1" applyBorder="1" applyAlignment="1">
      <alignment horizontal="center" vertical="center"/>
    </xf>
    <xf numFmtId="169" fontId="8" fillId="0" borderId="13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69" fontId="0" fillId="0" borderId="7" xfId="0" applyNumberForma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9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9" fontId="0" fillId="0" borderId="0" xfId="0" applyNumberFormat="1" applyBorder="1" applyAlignment="1">
      <alignment horizontal="center"/>
    </xf>
    <xf numFmtId="0" fontId="11" fillId="0" borderId="0" xfId="2" applyFont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10" fontId="4" fillId="0" borderId="7" xfId="2" applyNumberFormat="1" applyBorder="1" applyAlignment="1">
      <alignment horizontal="center" vertical="center"/>
    </xf>
    <xf numFmtId="10" fontId="4" fillId="0" borderId="1" xfId="2" applyNumberFormat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4" fillId="2" borderId="1" xfId="2" applyFill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4" fillId="0" borderId="7" xfId="2" applyBorder="1" applyAlignment="1">
      <alignment horizontal="center" vertical="center"/>
    </xf>
    <xf numFmtId="10" fontId="4" fillId="0" borderId="0" xfId="2" applyNumberFormat="1" applyAlignment="1">
      <alignment horizontal="center" vertical="center"/>
    </xf>
    <xf numFmtId="10" fontId="4" fillId="0" borderId="13" xfId="2" applyNumberFormat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4" fillId="2" borderId="13" xfId="2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13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1" fillId="0" borderId="0" xfId="4" applyAlignment="1">
      <alignment horizontal="center" vertical="center" wrapText="1"/>
    </xf>
    <xf numFmtId="0" fontId="1" fillId="0" borderId="13" xfId="4" applyBorder="1" applyAlignment="1">
      <alignment horizontal="center" vertical="center" wrapText="1"/>
    </xf>
    <xf numFmtId="0" fontId="1" fillId="0" borderId="1" xfId="4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13" xfId="2" applyFont="1" applyFill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3" fillId="2" borderId="30" xfId="4" applyFont="1" applyFill="1" applyBorder="1" applyAlignment="1">
      <alignment horizontal="center" vertical="center"/>
    </xf>
    <xf numFmtId="0" fontId="3" fillId="2" borderId="31" xfId="4" applyFont="1" applyFill="1" applyBorder="1" applyAlignment="1">
      <alignment horizontal="center" vertical="center"/>
    </xf>
    <xf numFmtId="0" fontId="3" fillId="2" borderId="32" xfId="4" applyFont="1" applyFill="1" applyBorder="1" applyAlignment="1">
      <alignment horizontal="center" vertical="center"/>
    </xf>
    <xf numFmtId="0" fontId="1" fillId="0" borderId="11" xfId="4" quotePrefix="1" applyBorder="1" applyAlignment="1">
      <alignment horizontal="center" vertical="center"/>
    </xf>
  </cellXfs>
  <cellStyles count="9">
    <cellStyle name="Normal" xfId="0" builtinId="0"/>
    <cellStyle name="Normal 2" xfId="8" xr:uid="{9A610399-8335-4ED9-A715-000FDB16EC94}"/>
    <cellStyle name="Normal 2 2" xfId="2" xr:uid="{CFD078DC-4656-4188-BA57-6910C123C1E1}"/>
    <cellStyle name="Normal 2 3" xfId="4" xr:uid="{2AD9E626-92EA-4AE4-B963-DF0BD20774CA}"/>
    <cellStyle name="Normal 3 2" xfId="6" xr:uid="{1E4C98C9-0E29-49FA-B55A-E6021E393C9A}"/>
    <cellStyle name="Percent" xfId="1" builtinId="5"/>
    <cellStyle name="Percent 2 2 2" xfId="5" xr:uid="{7F61C5AE-B112-4CC9-A288-E3A27D012C4E}"/>
    <cellStyle name="Percent 3" xfId="7" xr:uid="{69B64277-11FE-4B91-B55C-6ACD31D40B14}"/>
    <cellStyle name="Percent 3 2" xfId="3" xr:uid="{5F0E7662-CA19-4C65-8CDB-D7994427E341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180975</xdr:colOff>
      <xdr:row>46</xdr:row>
      <xdr:rowOff>76200</xdr:rowOff>
    </xdr:from>
    <xdr:to>
      <xdr:col>22</xdr:col>
      <xdr:colOff>504825</xdr:colOff>
      <xdr:row>67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8A01DF-1F30-4029-9B6C-0FF8D665A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26125" y="9182100"/>
          <a:ext cx="7372350" cy="3981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58</xdr:row>
      <xdr:rowOff>0</xdr:rowOff>
    </xdr:from>
    <xdr:to>
      <xdr:col>18</xdr:col>
      <xdr:colOff>209550</xdr:colOff>
      <xdr:row>73</xdr:row>
      <xdr:rowOff>158750</xdr:rowOff>
    </xdr:to>
    <xdr:pic>
      <xdr:nvPicPr>
        <xdr:cNvPr id="2" name="Picture 1040">
          <a:extLst>
            <a:ext uri="{FF2B5EF4-FFF2-40B4-BE49-F238E27FC236}">
              <a16:creationId xmlns:a16="http://schemas.microsoft.com/office/drawing/2014/main" id="{365CA70C-5FDE-4D4B-8E31-EA5410326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50" y="11410950"/>
          <a:ext cx="3705225" cy="30067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39</xdr:col>
      <xdr:colOff>0</xdr:colOff>
      <xdr:row>58</xdr:row>
      <xdr:rowOff>0</xdr:rowOff>
    </xdr:from>
    <xdr:to>
      <xdr:col>45</xdr:col>
      <xdr:colOff>47625</xdr:colOff>
      <xdr:row>73</xdr:row>
      <xdr:rowOff>152400</xdr:rowOff>
    </xdr:to>
    <xdr:pic>
      <xdr:nvPicPr>
        <xdr:cNvPr id="3" name="Picture 1026">
          <a:extLst>
            <a:ext uri="{FF2B5EF4-FFF2-40B4-BE49-F238E27FC236}">
              <a16:creationId xmlns:a16="http://schemas.microsoft.com/office/drawing/2014/main" id="{408304AD-54E1-4FA8-B74F-4146B6079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4825" y="11430000"/>
          <a:ext cx="3705225" cy="30099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58</xdr:row>
      <xdr:rowOff>0</xdr:rowOff>
    </xdr:from>
    <xdr:to>
      <xdr:col>18</xdr:col>
      <xdr:colOff>209550</xdr:colOff>
      <xdr:row>73</xdr:row>
      <xdr:rowOff>152400</xdr:rowOff>
    </xdr:to>
    <xdr:pic>
      <xdr:nvPicPr>
        <xdr:cNvPr id="2" name="Picture 1026">
          <a:extLst>
            <a:ext uri="{FF2B5EF4-FFF2-40B4-BE49-F238E27FC236}">
              <a16:creationId xmlns:a16="http://schemas.microsoft.com/office/drawing/2014/main" id="{ECF6AD47-0095-4409-9FAE-E0E742051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4825" y="11430000"/>
          <a:ext cx="3705225" cy="30099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sepa-my.sharepoint.com/personal/blackmon_matthew_epa_gov1/Documents/Profile/Documents/Toxic%20Elements%20Bioavailability/Major%20Research%20Projects/Jarosite%20Stability%20and%20Vegetation/Data/2023%200517_Fe-10,%20tray%20B_p(MDB).xlsx" TargetMode="External"/><Relationship Id="rId2" Type="http://schemas.microsoft.com/office/2019/04/relationships/externalLinkLongPath" Target="/personal/blackmon_matthew_epa_gov1/Documents/Profile/Documents/Toxic%20Elements%20Bioavailability/Major%20Research%20Projects/Jarosite%20Stability%20and%20Vegetation/Data/2023%200517_Fe-10,%20tray%20B_p(MDB).xlsx?210BC671" TargetMode="External"/><Relationship Id="rId1" Type="http://schemas.openxmlformats.org/officeDocument/2006/relationships/externalLinkPath" Target="file:///\\210BC671\2023%200517_Fe-10,%20tray%20B_p(MDB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epa-my.sharepoint.com/personal/blackmon_matthew_epa_gov1/Documents/Profile/Documents/Toxic%20Elements%20Bioavailability/ICP-OES%20Data/Fe%20mineral%20associated%20digestions/2024%200220_IVBA%20B574-575,B578,Fe15_p(MDB).xlsx" TargetMode="External"/><Relationship Id="rId1" Type="http://schemas.openxmlformats.org/officeDocument/2006/relationships/externalLinkPath" Target="/personal/blackmon_matthew_epa_gov1/Documents/Profile/Documents/Toxic%20Elements%20Bioavailability/ICP-OES%20Data/Fe%20mineral%20associated%20digestions/2024%200220_IVBA%20B574-575,B578,Fe15_p(MDB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Hotblock"/>
      <sheetName val="Data All"/>
      <sheetName val="Meta Data"/>
      <sheetName val="Data Cropped"/>
      <sheetName val="Data Processed"/>
      <sheetName val="As Report"/>
      <sheetName val="Pb Report"/>
      <sheetName val="MDL_LLOQ"/>
    </sheetNames>
    <sheetDataSet>
      <sheetData sheetId="0"/>
      <sheetData sheetId="1"/>
      <sheetData sheetId="2"/>
      <sheetData sheetId="3"/>
      <sheetData sheetId="4">
        <row r="15">
          <cell r="A15">
            <v>18</v>
          </cell>
          <cell r="B15" t="str">
            <v>1 Fe-10</v>
          </cell>
          <cell r="D15">
            <v>3.1419874586208064E-3</v>
          </cell>
          <cell r="E15">
            <v>4.0134705663454798E-2</v>
          </cell>
        </row>
        <row r="16">
          <cell r="A16">
            <v>19</v>
          </cell>
          <cell r="B16" t="str">
            <v>2</v>
          </cell>
          <cell r="D16">
            <v>3.4293207871643906E-3</v>
          </cell>
          <cell r="E16">
            <v>-3.1550108845289459E-3</v>
          </cell>
        </row>
        <row r="17">
          <cell r="A17">
            <v>20</v>
          </cell>
          <cell r="B17" t="str">
            <v>3</v>
          </cell>
          <cell r="D17">
            <v>3.5595456074686794E-3</v>
          </cell>
          <cell r="E17">
            <v>-2.816372138050157E-3</v>
          </cell>
        </row>
        <row r="18">
          <cell r="A18">
            <v>21</v>
          </cell>
          <cell r="B18" t="str">
            <v>4</v>
          </cell>
          <cell r="C18">
            <v>12500</v>
          </cell>
          <cell r="D18">
            <v>1.6866668241981699</v>
          </cell>
          <cell r="E18">
            <v>1.6776086382924911</v>
          </cell>
        </row>
        <row r="19">
          <cell r="A19">
            <v>22</v>
          </cell>
          <cell r="B19" t="str">
            <v>5</v>
          </cell>
          <cell r="C19">
            <v>12500</v>
          </cell>
          <cell r="D19">
            <v>1.666055186779636</v>
          </cell>
          <cell r="E19">
            <v>1.639404430556646</v>
          </cell>
        </row>
        <row r="20">
          <cell r="A20">
            <v>23</v>
          </cell>
          <cell r="B20" t="str">
            <v>6</v>
          </cell>
          <cell r="C20">
            <v>12500</v>
          </cell>
          <cell r="D20">
            <v>1.7030667616056454</v>
          </cell>
          <cell r="E20">
            <v>1.6712171667704439</v>
          </cell>
        </row>
        <row r="24">
          <cell r="A24">
            <v>27</v>
          </cell>
          <cell r="B24" t="str">
            <v>10</v>
          </cell>
          <cell r="C24">
            <v>12500</v>
          </cell>
          <cell r="D24">
            <v>0.63082428594341666</v>
          </cell>
          <cell r="E24">
            <v>3.2989342556494745</v>
          </cell>
          <cell r="I24" t="str">
            <v xml:space="preserve"> </v>
          </cell>
        </row>
        <row r="25">
          <cell r="A25">
            <v>28</v>
          </cell>
          <cell r="B25" t="str">
            <v>10 Rep</v>
          </cell>
          <cell r="C25">
            <v>12500</v>
          </cell>
          <cell r="D25">
            <v>0.64087506491770374</v>
          </cell>
          <cell r="E25">
            <v>3.2972029529131466</v>
          </cell>
          <cell r="I25" t="str">
            <v xml:space="preserve"> </v>
          </cell>
        </row>
        <row r="37">
          <cell r="A37">
            <v>40</v>
          </cell>
          <cell r="B37" t="str">
            <v>20</v>
          </cell>
          <cell r="C37">
            <v>12500</v>
          </cell>
          <cell r="D37">
            <v>0.50942174344022051</v>
          </cell>
          <cell r="E37">
            <v>3.2042451035195163</v>
          </cell>
          <cell r="I37" t="str">
            <v xml:space="preserve"> </v>
          </cell>
        </row>
        <row r="38">
          <cell r="A38">
            <v>41</v>
          </cell>
          <cell r="B38" t="str">
            <v>20 Rep</v>
          </cell>
          <cell r="C38">
            <v>12500</v>
          </cell>
          <cell r="D38">
            <v>0.49499955911103793</v>
          </cell>
          <cell r="E38">
            <v>3.2305750573506353</v>
          </cell>
          <cell r="I38" t="str">
            <v xml:space="preserve"> </v>
          </cell>
        </row>
        <row r="50">
          <cell r="A50">
            <v>53</v>
          </cell>
          <cell r="B50" t="str">
            <v>30</v>
          </cell>
          <cell r="C50">
            <v>12500</v>
          </cell>
          <cell r="D50">
            <v>5.4058492959837542E-2</v>
          </cell>
          <cell r="E50">
            <v>2.6299379984831162</v>
          </cell>
          <cell r="I50" t="str">
            <v xml:space="preserve"> </v>
          </cell>
        </row>
        <row r="51">
          <cell r="A51">
            <v>54</v>
          </cell>
          <cell r="B51" t="str">
            <v>30 Rep</v>
          </cell>
          <cell r="C51">
            <v>12500</v>
          </cell>
          <cell r="D51">
            <v>5.4467650622678866E-2</v>
          </cell>
          <cell r="E51">
            <v>2.6020489734020007</v>
          </cell>
          <cell r="I51" t="str">
            <v>MDL</v>
          </cell>
        </row>
        <row r="63">
          <cell r="A63">
            <v>66</v>
          </cell>
          <cell r="B63" t="str">
            <v>40</v>
          </cell>
          <cell r="C63">
            <v>12500</v>
          </cell>
          <cell r="D63">
            <v>4.2928414934978176E-2</v>
          </cell>
          <cell r="E63">
            <v>0.59685682039208832</v>
          </cell>
          <cell r="I63" t="str">
            <v>LLOQ</v>
          </cell>
        </row>
        <row r="64">
          <cell r="A64">
            <v>67</v>
          </cell>
          <cell r="B64" t="str">
            <v>40 Rep</v>
          </cell>
          <cell r="C64">
            <v>12500</v>
          </cell>
          <cell r="D64">
            <v>4.1965510141749936E-2</v>
          </cell>
          <cell r="E64">
            <v>0.60241189185554178</v>
          </cell>
          <cell r="I64" t="str">
            <v>MDL</v>
          </cell>
        </row>
        <row r="76">
          <cell r="A76">
            <v>79</v>
          </cell>
          <cell r="B76" t="str">
            <v>50</v>
          </cell>
          <cell r="C76">
            <v>12500</v>
          </cell>
          <cell r="D76">
            <v>3.4580539715998677E-2</v>
          </cell>
          <cell r="E76">
            <v>2.4378171480987851</v>
          </cell>
          <cell r="I76" t="str">
            <v xml:space="preserve"> </v>
          </cell>
        </row>
        <row r="77">
          <cell r="A77">
            <v>80</v>
          </cell>
          <cell r="B77" t="str">
            <v>50 Rep</v>
          </cell>
          <cell r="C77">
            <v>12500</v>
          </cell>
          <cell r="D77">
            <v>3.3947444288211517E-2</v>
          </cell>
          <cell r="E77">
            <v>2.4025107504990406</v>
          </cell>
          <cell r="I77" t="str">
            <v>MDL</v>
          </cell>
        </row>
        <row r="89">
          <cell r="A89">
            <v>92</v>
          </cell>
          <cell r="B89" t="str">
            <v>60</v>
          </cell>
          <cell r="C89">
            <v>12500</v>
          </cell>
          <cell r="D89">
            <v>1.1622306128323125</v>
          </cell>
          <cell r="E89">
            <v>8.000497097461194</v>
          </cell>
          <cell r="I89" t="str">
            <v xml:space="preserve"> </v>
          </cell>
        </row>
        <row r="90">
          <cell r="A90">
            <v>93</v>
          </cell>
          <cell r="B90" t="str">
            <v>60 Rep</v>
          </cell>
          <cell r="C90">
            <v>12500</v>
          </cell>
          <cell r="D90">
            <v>1.1978697122689792</v>
          </cell>
          <cell r="E90">
            <v>8.0097952605426421</v>
          </cell>
          <cell r="I90" t="str">
            <v xml:space="preserve"> </v>
          </cell>
        </row>
        <row r="95">
          <cell r="A95">
            <v>98</v>
          </cell>
          <cell r="B95" t="str">
            <v>63</v>
          </cell>
          <cell r="C95">
            <v>12500</v>
          </cell>
          <cell r="D95">
            <v>5.7196570852843811</v>
          </cell>
          <cell r="E95">
            <v>19.922886560696909</v>
          </cell>
        </row>
        <row r="96">
          <cell r="A96">
            <v>99</v>
          </cell>
          <cell r="B96" t="str">
            <v>64</v>
          </cell>
          <cell r="C96">
            <v>12500</v>
          </cell>
          <cell r="D96">
            <v>5.6502140360805404</v>
          </cell>
          <cell r="E96">
            <v>19.844036493945026</v>
          </cell>
        </row>
        <row r="97">
          <cell r="A97">
            <v>100</v>
          </cell>
          <cell r="B97" t="str">
            <v>65</v>
          </cell>
          <cell r="C97">
            <v>12500</v>
          </cell>
          <cell r="D97">
            <v>5.7366943998629694</v>
          </cell>
          <cell r="E97">
            <v>19.673784588994454</v>
          </cell>
          <cell r="I97" t="str">
            <v xml:space="preserve"> </v>
          </cell>
        </row>
        <row r="98">
          <cell r="A98">
            <v>101</v>
          </cell>
          <cell r="B98" t="str">
            <v>65 Rep</v>
          </cell>
          <cell r="C98">
            <v>12500</v>
          </cell>
          <cell r="D98">
            <v>5.6598563326755658</v>
          </cell>
          <cell r="E98">
            <v>19.761233199407584</v>
          </cell>
          <cell r="I98" t="str">
            <v xml:space="preserve"> 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VBA-Hotblock"/>
      <sheetName val="Data All"/>
      <sheetName val="Meta Data"/>
      <sheetName val="Data Processed"/>
      <sheetName val="As Report"/>
      <sheetName val="Pb Report"/>
      <sheetName val="MDL-LLOQ"/>
    </sheetNames>
    <sheetDataSet>
      <sheetData sheetId="0"/>
      <sheetData sheetId="1"/>
      <sheetData sheetId="2"/>
      <sheetData sheetId="3">
        <row r="21">
          <cell r="A21">
            <v>19</v>
          </cell>
          <cell r="B21" t="str">
            <v>B574-9</v>
          </cell>
          <cell r="C21">
            <v>10.101010101010102</v>
          </cell>
          <cell r="D21">
            <v>0.51229999999999998</v>
          </cell>
          <cell r="E21">
            <v>2.9529999999999998</v>
          </cell>
        </row>
        <row r="22">
          <cell r="A22">
            <v>20</v>
          </cell>
          <cell r="B22" t="str">
            <v>B574-10</v>
          </cell>
          <cell r="D22">
            <v>9.7000000000000003E-3</v>
          </cell>
          <cell r="E22">
            <v>1E-3</v>
          </cell>
        </row>
        <row r="26">
          <cell r="A26">
            <v>24</v>
          </cell>
          <cell r="B26" t="str">
            <v>B574-11</v>
          </cell>
          <cell r="C26">
            <v>5.0505050505050511</v>
          </cell>
          <cell r="D26">
            <v>1.823</v>
          </cell>
          <cell r="E26">
            <v>0.37790000000000001</v>
          </cell>
        </row>
        <row r="27">
          <cell r="A27">
            <v>25</v>
          </cell>
          <cell r="B27" t="str">
            <v>B574-12</v>
          </cell>
          <cell r="D27">
            <v>1.0200000000000001E-2</v>
          </cell>
          <cell r="E27">
            <v>-1E-4</v>
          </cell>
        </row>
        <row r="28">
          <cell r="A28">
            <v>26</v>
          </cell>
          <cell r="B28" t="str">
            <v>B574-13</v>
          </cell>
        </row>
        <row r="29">
          <cell r="A29">
            <v>27</v>
          </cell>
          <cell r="B29" t="str">
            <v>B575-1</v>
          </cell>
        </row>
        <row r="38">
          <cell r="L38">
            <v>0.52969999999999995</v>
          </cell>
          <cell r="M38">
            <v>2.4140000000000001</v>
          </cell>
          <cell r="N38">
            <v>0.95426335138553986</v>
          </cell>
        </row>
        <row r="39">
          <cell r="A39">
            <v>37</v>
          </cell>
          <cell r="B39" t="str">
            <v>B575-9</v>
          </cell>
          <cell r="C39">
            <v>10.101010101010102</v>
          </cell>
          <cell r="D39">
            <v>0.52490000000000003</v>
          </cell>
          <cell r="E39">
            <v>2.9950000000000001</v>
          </cell>
        </row>
        <row r="40">
          <cell r="A40">
            <v>38</v>
          </cell>
          <cell r="B40" t="str">
            <v>B575-10</v>
          </cell>
          <cell r="D40">
            <v>1.01E-2</v>
          </cell>
          <cell r="E40">
            <v>2.8E-3</v>
          </cell>
        </row>
        <row r="42">
          <cell r="A42">
            <v>40</v>
          </cell>
          <cell r="B42" t="str">
            <v>B575-11</v>
          </cell>
          <cell r="C42">
            <v>5.0505050505050511</v>
          </cell>
          <cell r="D42">
            <v>1.8720000000000001</v>
          </cell>
          <cell r="E42">
            <v>0.3831</v>
          </cell>
        </row>
        <row r="43">
          <cell r="A43">
            <v>41</v>
          </cell>
          <cell r="B43" t="str">
            <v>B575-12</v>
          </cell>
          <cell r="D43">
            <v>1.1599999999999999E-2</v>
          </cell>
          <cell r="E43">
            <v>5.0000000000000001E-4</v>
          </cell>
        </row>
        <row r="44">
          <cell r="A44">
            <v>42</v>
          </cell>
          <cell r="B44" t="str">
            <v>B575-13</v>
          </cell>
        </row>
        <row r="53">
          <cell r="A53">
            <v>51</v>
          </cell>
          <cell r="B53" t="str">
            <v>B578-7</v>
          </cell>
          <cell r="C53">
            <v>10.101010101010102</v>
          </cell>
          <cell r="D53">
            <v>0.50949999999999995</v>
          </cell>
          <cell r="E53">
            <v>2.9460000000000002</v>
          </cell>
        </row>
        <row r="54">
          <cell r="A54">
            <v>52</v>
          </cell>
          <cell r="B54" t="str">
            <v>B578-8</v>
          </cell>
          <cell r="D54">
            <v>-1.2999999999999999E-3</v>
          </cell>
          <cell r="E54">
            <v>1.4E-3</v>
          </cell>
        </row>
        <row r="55">
          <cell r="A55">
            <v>53</v>
          </cell>
          <cell r="B55" t="str">
            <v>B578-9</v>
          </cell>
          <cell r="C55">
            <v>10.101010101010102</v>
          </cell>
          <cell r="D55">
            <v>0.8952</v>
          </cell>
          <cell r="E55">
            <v>0.19189999999999999</v>
          </cell>
        </row>
        <row r="56">
          <cell r="A56">
            <v>54</v>
          </cell>
          <cell r="B56" t="str">
            <v>B578-10</v>
          </cell>
          <cell r="D56">
            <v>-1.6999999999999999E-3</v>
          </cell>
          <cell r="E56">
            <v>5.0000000000000001E-4</v>
          </cell>
        </row>
        <row r="58">
          <cell r="A58">
            <v>56</v>
          </cell>
          <cell r="B58" t="str">
            <v>B578-11</v>
          </cell>
        </row>
        <row r="61">
          <cell r="A61">
            <v>59</v>
          </cell>
          <cell r="B61" t="str">
            <v>Fe15-1</v>
          </cell>
          <cell r="D61">
            <v>-3.5999999999999999E-3</v>
          </cell>
          <cell r="E61">
            <v>8.0000000000000004E-4</v>
          </cell>
        </row>
        <row r="62">
          <cell r="A62">
            <v>60</v>
          </cell>
          <cell r="B62" t="str">
            <v>Fe15-2</v>
          </cell>
          <cell r="D62">
            <v>-3.0000000000000001E-3</v>
          </cell>
          <cell r="E62">
            <v>0</v>
          </cell>
        </row>
        <row r="63">
          <cell r="A63">
            <v>61</v>
          </cell>
          <cell r="B63" t="str">
            <v>Fe15-3</v>
          </cell>
          <cell r="C63">
            <v>20</v>
          </cell>
          <cell r="D63">
            <v>0.23810000000000001</v>
          </cell>
          <cell r="E63">
            <v>0.25950000000000001</v>
          </cell>
        </row>
        <row r="64">
          <cell r="A64">
            <v>62</v>
          </cell>
          <cell r="B64" t="str">
            <v>Fe15-4</v>
          </cell>
          <cell r="C64">
            <v>20</v>
          </cell>
          <cell r="D64">
            <v>0.24030000000000001</v>
          </cell>
          <cell r="E64">
            <v>0.2626</v>
          </cell>
          <cell r="L64">
            <v>0.37680000000000002</v>
          </cell>
          <cell r="M64">
            <v>2.2650000000000001</v>
          </cell>
          <cell r="N64">
            <v>0.95296196566812519</v>
          </cell>
        </row>
        <row r="67">
          <cell r="A67">
            <v>65</v>
          </cell>
          <cell r="B67" t="str">
            <v>Fe15-7</v>
          </cell>
          <cell r="C67">
            <v>20</v>
          </cell>
          <cell r="D67">
            <v>9.4999999999999998E-3</v>
          </cell>
          <cell r="E67">
            <v>0.1095</v>
          </cell>
        </row>
        <row r="68">
          <cell r="A68">
            <v>66</v>
          </cell>
          <cell r="B68" t="str">
            <v>Fe15-8</v>
          </cell>
          <cell r="C68">
            <v>40</v>
          </cell>
          <cell r="D68">
            <v>0.97230000000000005</v>
          </cell>
          <cell r="E68">
            <v>3.6269999999999998</v>
          </cell>
        </row>
        <row r="86">
          <cell r="L86">
            <v>0.21640000000000001</v>
          </cell>
          <cell r="M86">
            <v>2.1360000000000001</v>
          </cell>
          <cell r="N86">
            <v>0.96372495939361125</v>
          </cell>
        </row>
        <row r="117">
          <cell r="K117">
            <v>4.0000000000000001E-3</v>
          </cell>
          <cell r="L117">
            <v>87.34</v>
          </cell>
          <cell r="M117">
            <v>0.34676000000000001</v>
          </cell>
          <cell r="N117">
            <v>0.34936</v>
          </cell>
        </row>
        <row r="119">
          <cell r="K119">
            <v>4.0000000000000001E-3</v>
          </cell>
          <cell r="L119">
            <v>24.78</v>
          </cell>
          <cell r="M119">
            <v>9.9979999999999999E-2</v>
          </cell>
          <cell r="N119">
            <v>9.912E-2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F438-0831-48A1-B4E6-374855BF559B}">
  <dimension ref="A1:Y80"/>
  <sheetViews>
    <sheetView tabSelected="1" workbookViewId="0">
      <selection activeCell="T21" sqref="T21"/>
    </sheetView>
  </sheetViews>
  <sheetFormatPr defaultColWidth="9.140625" defaultRowHeight="15" x14ac:dyDescent="0.25"/>
  <cols>
    <col min="1" max="1" width="9.140625" style="16"/>
    <col min="2" max="2" width="12.140625" style="16" customWidth="1"/>
    <col min="3" max="3" width="20.85546875" style="16" customWidth="1"/>
    <col min="4" max="4" width="19.28515625" style="16" customWidth="1"/>
    <col min="5" max="5" width="41.140625" style="16" bestFit="1" customWidth="1"/>
    <col min="6" max="6" width="14.5703125" style="16" customWidth="1"/>
    <col min="7" max="8" width="9.140625" style="16"/>
    <col min="9" max="9" width="27.85546875" style="16" bestFit="1" customWidth="1"/>
    <col min="10" max="10" width="27" style="16" bestFit="1" customWidth="1"/>
    <col min="11" max="11" width="14.7109375" style="16" bestFit="1" customWidth="1"/>
    <col min="12" max="12" width="16.42578125" style="16" customWidth="1"/>
    <col min="13" max="13" width="15.85546875" style="16" customWidth="1"/>
    <col min="14" max="14" width="17" style="16" customWidth="1"/>
    <col min="15" max="15" width="20.85546875" style="16" customWidth="1"/>
    <col min="16" max="16" width="17" style="16" bestFit="1" customWidth="1"/>
    <col min="17" max="17" width="18.42578125" style="16" bestFit="1" customWidth="1"/>
    <col min="18" max="18" width="17" style="16" bestFit="1" customWidth="1"/>
    <col min="19" max="19" width="16" style="16" bestFit="1" customWidth="1"/>
    <col min="20" max="20" width="19" style="16" customWidth="1"/>
    <col min="21" max="16384" width="9.140625" style="16"/>
  </cols>
  <sheetData>
    <row r="1" spans="1:25" ht="15.75" thickBot="1" x14ac:dyDescent="0.3">
      <c r="C1" s="2" t="s">
        <v>180</v>
      </c>
      <c r="F1"/>
      <c r="I1" s="3" t="s">
        <v>1</v>
      </c>
      <c r="J1" s="3"/>
      <c r="K1" s="3"/>
      <c r="O1"/>
      <c r="P1"/>
      <c r="Q1"/>
      <c r="R1"/>
      <c r="S1"/>
      <c r="T1"/>
    </row>
    <row r="2" spans="1:25" ht="15.75" thickBot="1" x14ac:dyDescent="0.3">
      <c r="F2"/>
      <c r="I2" s="3"/>
      <c r="J2" s="3"/>
      <c r="K2" s="3"/>
      <c r="L2" s="4"/>
      <c r="O2"/>
      <c r="P2"/>
      <c r="Q2"/>
      <c r="R2"/>
      <c r="S2"/>
      <c r="T2"/>
    </row>
    <row r="3" spans="1:25" ht="16.5" x14ac:dyDescent="0.25">
      <c r="C3" s="5" t="s">
        <v>2</v>
      </c>
      <c r="D3" s="6">
        <v>8.4000000000000005E-2</v>
      </c>
      <c r="E3" s="7"/>
      <c r="F3"/>
      <c r="I3" s="8" t="s">
        <v>3</v>
      </c>
      <c r="J3" s="8" t="s">
        <v>4</v>
      </c>
      <c r="K3" s="8" t="s">
        <v>5</v>
      </c>
      <c r="L3"/>
      <c r="O3"/>
      <c r="P3"/>
      <c r="Q3"/>
      <c r="R3"/>
      <c r="S3"/>
      <c r="T3"/>
    </row>
    <row r="4" spans="1:25" ht="17.25" customHeight="1" thickBot="1" x14ac:dyDescent="0.3">
      <c r="C4" s="9" t="s">
        <v>7</v>
      </c>
      <c r="D4" s="10">
        <v>1</v>
      </c>
      <c r="E4" s="4"/>
      <c r="F4"/>
      <c r="I4" s="11" t="s">
        <v>8</v>
      </c>
      <c r="J4" s="11" t="s">
        <v>9</v>
      </c>
      <c r="K4" s="12" t="s">
        <v>99</v>
      </c>
      <c r="L4"/>
      <c r="O4"/>
      <c r="P4"/>
      <c r="Q4"/>
      <c r="R4"/>
      <c r="S4"/>
      <c r="T4"/>
      <c r="U4" s="13"/>
      <c r="V4" s="13"/>
      <c r="W4" s="13"/>
      <c r="X4" s="13"/>
      <c r="Y4" s="13"/>
    </row>
    <row r="5" spans="1:25" x14ac:dyDescent="0.25">
      <c r="C5" s="14" t="s">
        <v>11</v>
      </c>
      <c r="D5" s="14" t="s">
        <v>12</v>
      </c>
      <c r="E5" s="14" t="s">
        <v>13</v>
      </c>
      <c r="F5"/>
      <c r="I5" s="16">
        <f>'[1]Data Processed'!A15</f>
        <v>18</v>
      </c>
      <c r="J5" s="16" t="str">
        <f>'[1]Data Processed'!B15</f>
        <v>1 Fe-10</v>
      </c>
      <c r="K5" s="16">
        <f>'[1]Data Processed'!E15</f>
        <v>4.0134705663454798E-2</v>
      </c>
      <c r="L5"/>
      <c r="O5"/>
      <c r="P5"/>
      <c r="Q5"/>
      <c r="R5"/>
      <c r="S5"/>
      <c r="T5"/>
      <c r="U5" s="13"/>
      <c r="V5" s="13"/>
      <c r="W5" s="13"/>
      <c r="X5" s="13"/>
      <c r="Y5" s="13"/>
    </row>
    <row r="6" spans="1:25" x14ac:dyDescent="0.25">
      <c r="A6" s="18" t="s">
        <v>14</v>
      </c>
      <c r="B6" s="187" t="s">
        <v>104</v>
      </c>
      <c r="C6" s="16" t="s">
        <v>105</v>
      </c>
      <c r="D6" s="15">
        <v>1796.2658266492413</v>
      </c>
      <c r="E6" s="15">
        <v>60.29742148702767</v>
      </c>
      <c r="F6"/>
      <c r="G6" s="18">
        <f t="shared" ref="G6:G13" si="0">IF(F6="PASS","",F6)</f>
        <v>0</v>
      </c>
      <c r="I6" s="16">
        <f>'[1]Data Processed'!A16</f>
        <v>19</v>
      </c>
      <c r="J6" s="16" t="str">
        <f>'[1]Data Processed'!B16</f>
        <v>2</v>
      </c>
      <c r="K6" s="16">
        <f>'[1]Data Processed'!E16</f>
        <v>-3.1550108845289459E-3</v>
      </c>
      <c r="L6"/>
      <c r="Q6" s="19"/>
      <c r="R6" s="19"/>
      <c r="S6" s="19"/>
      <c r="T6" s="19"/>
      <c r="U6" s="19"/>
      <c r="V6" s="19"/>
      <c r="W6" s="19"/>
      <c r="X6" s="19"/>
      <c r="Y6" s="19"/>
    </row>
    <row r="7" spans="1:25" ht="15.75" thickBot="1" x14ac:dyDescent="0.3">
      <c r="A7" s="18" t="s">
        <v>14</v>
      </c>
      <c r="B7" s="187"/>
      <c r="C7" s="16" t="s">
        <v>106</v>
      </c>
      <c r="D7" s="15">
        <v>2091.542821146907</v>
      </c>
      <c r="E7" s="15">
        <v>652.84990096749277</v>
      </c>
      <c r="F7"/>
      <c r="G7" s="18">
        <f t="shared" si="0"/>
        <v>0</v>
      </c>
      <c r="I7" s="4">
        <f>'[1]Data Processed'!A17</f>
        <v>20</v>
      </c>
      <c r="J7" s="4" t="str">
        <f>'[1]Data Processed'!B17</f>
        <v>3</v>
      </c>
      <c r="K7" s="4">
        <f>'[1]Data Processed'!E17</f>
        <v>-2.816372138050157E-3</v>
      </c>
      <c r="L7"/>
      <c r="Q7" s="19"/>
      <c r="R7" s="19"/>
      <c r="S7" s="19"/>
      <c r="T7" s="19"/>
      <c r="U7" s="19"/>
      <c r="V7" s="19"/>
      <c r="W7" s="19"/>
      <c r="X7" s="19"/>
      <c r="Y7" s="19"/>
    </row>
    <row r="8" spans="1:25" x14ac:dyDescent="0.25">
      <c r="A8" s="18" t="s">
        <v>14</v>
      </c>
      <c r="B8" s="187"/>
      <c r="C8" s="16" t="s">
        <v>107</v>
      </c>
      <c r="D8" s="15">
        <v>1955.5968645320638</v>
      </c>
      <c r="E8" s="15">
        <v>210.60225022335399</v>
      </c>
      <c r="F8"/>
      <c r="G8" s="18">
        <f t="shared" si="0"/>
        <v>0</v>
      </c>
      <c r="Q8" s="19"/>
      <c r="R8" s="19"/>
      <c r="S8" s="19"/>
      <c r="T8" s="19"/>
      <c r="U8" s="19"/>
      <c r="V8" s="19"/>
      <c r="W8" s="19"/>
      <c r="X8" s="19"/>
      <c r="Y8" s="19"/>
    </row>
    <row r="9" spans="1:25" x14ac:dyDescent="0.25">
      <c r="A9" s="18" t="s">
        <v>14</v>
      </c>
      <c r="B9" s="187"/>
      <c r="C9" s="16" t="s">
        <v>108</v>
      </c>
      <c r="D9" s="15">
        <v>774.05099566813692</v>
      </c>
      <c r="E9" s="15">
        <v>15.14718834170324</v>
      </c>
      <c r="F9"/>
      <c r="G9" s="18">
        <f t="shared" si="0"/>
        <v>0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8" t="s">
        <v>20</v>
      </c>
      <c r="O9"/>
      <c r="P9"/>
      <c r="Q9" s="19"/>
      <c r="R9" s="19"/>
      <c r="S9" s="19"/>
      <c r="T9" s="19"/>
      <c r="U9" s="19"/>
      <c r="V9" s="19"/>
      <c r="W9" s="19"/>
      <c r="X9" s="19"/>
      <c r="Y9" s="19"/>
    </row>
    <row r="10" spans="1:25" x14ac:dyDescent="0.25">
      <c r="A10" s="18" t="s">
        <v>14</v>
      </c>
      <c r="B10" s="187"/>
      <c r="C10" s="16" t="s">
        <v>109</v>
      </c>
      <c r="D10" s="15">
        <v>740.3846187006327</v>
      </c>
      <c r="E10" s="15">
        <v>0.64361126183421025</v>
      </c>
      <c r="F10"/>
      <c r="G10" s="18">
        <f t="shared" si="0"/>
        <v>0</v>
      </c>
      <c r="I10" s="11" t="s">
        <v>8</v>
      </c>
      <c r="J10" s="11" t="s">
        <v>9</v>
      </c>
      <c r="K10" s="11" t="s">
        <v>21</v>
      </c>
      <c r="L10" s="12" t="s">
        <v>99</v>
      </c>
      <c r="M10" s="12" t="s">
        <v>99</v>
      </c>
      <c r="N10" s="20" t="s">
        <v>22</v>
      </c>
      <c r="O10"/>
      <c r="P10"/>
      <c r="Q10" s="19"/>
      <c r="R10" s="19"/>
      <c r="S10" s="19"/>
      <c r="T10" s="19"/>
      <c r="U10" s="19"/>
      <c r="V10" s="19"/>
      <c r="W10" s="19"/>
      <c r="X10" s="19"/>
      <c r="Y10" s="19"/>
    </row>
    <row r="11" spans="1:25" x14ac:dyDescent="0.25">
      <c r="A11" s="18" t="s">
        <v>14</v>
      </c>
      <c r="B11" s="187"/>
      <c r="C11" s="16" t="s">
        <v>110</v>
      </c>
      <c r="D11" s="15">
        <v>785.76750630192646</v>
      </c>
      <c r="E11" s="15">
        <v>38.646787008480892</v>
      </c>
      <c r="F11"/>
      <c r="G11" s="18">
        <f t="shared" si="0"/>
        <v>0</v>
      </c>
      <c r="I11" s="24">
        <f>'[1]Data Processed'!A18</f>
        <v>21</v>
      </c>
      <c r="J11" s="24" t="str">
        <f>'[1]Data Processed'!B18</f>
        <v>4</v>
      </c>
      <c r="K11" s="24">
        <f>'[1]Data Processed'!C18</f>
        <v>12500</v>
      </c>
      <c r="L11" s="24">
        <f>'[1]Data Processed'!E18</f>
        <v>1.6776086382924911</v>
      </c>
      <c r="M11" s="24">
        <f>K11*L11</f>
        <v>20970.107978656139</v>
      </c>
      <c r="N11" s="45">
        <f>M11/$B$22</f>
        <v>1.048505398932807</v>
      </c>
      <c r="O11"/>
      <c r="P11"/>
      <c r="Q11" s="19"/>
      <c r="R11" s="19"/>
      <c r="S11" s="19"/>
      <c r="T11" s="19"/>
      <c r="U11" s="19"/>
    </row>
    <row r="12" spans="1:25" x14ac:dyDescent="0.25">
      <c r="A12" s="18" t="s">
        <v>14</v>
      </c>
      <c r="B12" s="187"/>
      <c r="C12" s="16" t="s">
        <v>111</v>
      </c>
      <c r="D12" s="15">
        <v>1500.2523163250164</v>
      </c>
      <c r="E12" s="15">
        <v>63.224892153324753</v>
      </c>
      <c r="F12"/>
      <c r="G12" s="18">
        <f t="shared" si="0"/>
        <v>0</v>
      </c>
      <c r="I12" s="57">
        <f>'[1]Data Processed'!A19</f>
        <v>22</v>
      </c>
      <c r="J12" s="57" t="str">
        <f>'[1]Data Processed'!B19</f>
        <v>5</v>
      </c>
      <c r="K12" s="57">
        <f>'[1]Data Processed'!C19</f>
        <v>12500</v>
      </c>
      <c r="L12" s="57">
        <f>'[1]Data Processed'!E19</f>
        <v>1.639404430556646</v>
      </c>
      <c r="M12" s="57">
        <f>K12*L12</f>
        <v>20492.555381958075</v>
      </c>
      <c r="N12" s="47">
        <f>M12/$B$22</f>
        <v>1.0246277690979038</v>
      </c>
      <c r="O12"/>
      <c r="P12"/>
      <c r="Q12" s="19"/>
      <c r="R12" s="19"/>
      <c r="S12" s="19"/>
      <c r="T12" s="19"/>
      <c r="U12" s="19"/>
    </row>
    <row r="13" spans="1:25" ht="15.75" thickBot="1" x14ac:dyDescent="0.3">
      <c r="A13" s="18" t="s">
        <v>14</v>
      </c>
      <c r="B13" s="188"/>
      <c r="C13" s="20" t="s">
        <v>112</v>
      </c>
      <c r="D13" s="21">
        <v>589.62862040325308</v>
      </c>
      <c r="E13" s="21">
        <v>15.52680635359077</v>
      </c>
      <c r="F13"/>
      <c r="G13" s="18">
        <f t="shared" si="0"/>
        <v>0</v>
      </c>
      <c r="I13" s="4">
        <f>'[1]Data Processed'!A20</f>
        <v>23</v>
      </c>
      <c r="J13" s="4" t="str">
        <f>'[1]Data Processed'!B20</f>
        <v>6</v>
      </c>
      <c r="K13" s="4">
        <f>'[1]Data Processed'!C20</f>
        <v>12500</v>
      </c>
      <c r="L13" s="4">
        <f>'[1]Data Processed'!E20</f>
        <v>1.6712171667704439</v>
      </c>
      <c r="M13" s="72">
        <f>K13*L13</f>
        <v>20890.214584630547</v>
      </c>
      <c r="N13" s="49">
        <f>M13/$B$22</f>
        <v>1.0445107292315274</v>
      </c>
      <c r="O13"/>
      <c r="P13"/>
      <c r="Q13" s="19"/>
      <c r="R13" s="19"/>
      <c r="S13" s="19"/>
      <c r="T13" s="19"/>
      <c r="U13" s="19"/>
    </row>
    <row r="14" spans="1:25" x14ac:dyDescent="0.25">
      <c r="B14" s="172" t="s">
        <v>37</v>
      </c>
      <c r="C14" s="172"/>
      <c r="D14" s="172"/>
      <c r="E14" s="172"/>
      <c r="F14" s="50"/>
      <c r="I14" s="54"/>
      <c r="J14" s="54"/>
      <c r="K14" s="54"/>
      <c r="Q14" s="19"/>
      <c r="R14" s="19"/>
      <c r="S14" s="19"/>
      <c r="T14" s="19"/>
      <c r="U14" s="19"/>
    </row>
    <row r="15" spans="1:25" ht="30" x14ac:dyDescent="0.25">
      <c r="A15" s="18" t="str">
        <f>IF(AND(A6&lt;&gt;"",F6&lt;&gt;""),_xlfn.CONCAT(F6,", ",A6),_xlfn.CONCAT(A6,F6))</f>
        <v/>
      </c>
      <c r="B15" s="172" t="s">
        <v>38</v>
      </c>
      <c r="C15" s="172"/>
      <c r="D15" s="172"/>
      <c r="E15" s="172"/>
      <c r="F15" s="50"/>
      <c r="I15" s="8" t="s">
        <v>43</v>
      </c>
      <c r="J15" s="8" t="s">
        <v>16</v>
      </c>
      <c r="K15" s="8" t="s">
        <v>17</v>
      </c>
      <c r="L15" s="8" t="s">
        <v>18</v>
      </c>
      <c r="M15" s="8" t="s">
        <v>19</v>
      </c>
      <c r="N15" s="8" t="s">
        <v>44</v>
      </c>
      <c r="O15" s="8" t="s">
        <v>45</v>
      </c>
      <c r="P15" s="8" t="s">
        <v>46</v>
      </c>
      <c r="Q15" s="8" t="s">
        <v>5</v>
      </c>
      <c r="R15" s="56" t="s">
        <v>47</v>
      </c>
      <c r="S15"/>
      <c r="T15"/>
      <c r="U15" s="19"/>
    </row>
    <row r="16" spans="1:25" x14ac:dyDescent="0.25">
      <c r="A16" s="18" t="str">
        <f>IF(AND(A7&lt;&gt;"",F7&lt;&gt;""),_xlfn.CONCAT(F7,", ",A7),_xlfn.CONCAT(A7,F7))</f>
        <v/>
      </c>
      <c r="B16" s="172"/>
      <c r="C16" s="172"/>
      <c r="D16" s="172"/>
      <c r="E16" s="172"/>
      <c r="F16" s="50"/>
      <c r="I16" s="11" t="s">
        <v>8</v>
      </c>
      <c r="J16" s="11" t="s">
        <v>9</v>
      </c>
      <c r="K16" s="11" t="s">
        <v>21</v>
      </c>
      <c r="L16" s="12" t="s">
        <v>99</v>
      </c>
      <c r="M16" s="12" t="s">
        <v>99</v>
      </c>
      <c r="N16" s="12" t="s">
        <v>48</v>
      </c>
      <c r="O16" s="12" t="s">
        <v>49</v>
      </c>
      <c r="P16" s="12" t="s">
        <v>113</v>
      </c>
      <c r="Q16" s="12" t="s">
        <v>114</v>
      </c>
      <c r="R16" s="43" t="s">
        <v>22</v>
      </c>
      <c r="S16"/>
      <c r="T16"/>
      <c r="U16" s="19"/>
    </row>
    <row r="17" spans="1:21" x14ac:dyDescent="0.25">
      <c r="A17" s="18" t="str">
        <f>IF(AND(A8&lt;&gt;"",F8&lt;&gt;""),_xlfn.CONCAT(F8,", ",A8),_xlfn.CONCAT(A8,F8))</f>
        <v/>
      </c>
      <c r="F17" s="50"/>
      <c r="I17" s="24">
        <f>'[1]Data Processed'!A95</f>
        <v>98</v>
      </c>
      <c r="J17" s="24" t="str">
        <f>'[1]Data Processed'!B95</f>
        <v>63</v>
      </c>
      <c r="K17" s="24">
        <f>'[1]Data Processed'!C95</f>
        <v>12500</v>
      </c>
      <c r="L17" s="24">
        <f>'[1]Data Processed'!E95</f>
        <v>19.922886560696909</v>
      </c>
      <c r="M17" s="24">
        <f>K17*L17</f>
        <v>249036.08200871138</v>
      </c>
      <c r="N17" s="7">
        <v>0.25679999999999997</v>
      </c>
      <c r="O17" s="58">
        <v>4.0000000000000001E-3</v>
      </c>
      <c r="P17" s="59">
        <f>M17*O17</f>
        <v>996.14432803484556</v>
      </c>
      <c r="Q17" s="59">
        <f>P17/N17</f>
        <v>3879.0666979550065</v>
      </c>
      <c r="R17" s="60">
        <f>Q17/$E$22</f>
        <v>0.76060131332451109</v>
      </c>
      <c r="S17"/>
      <c r="T17"/>
      <c r="U17" s="19"/>
    </row>
    <row r="18" spans="1:21" ht="15.75" thickBot="1" x14ac:dyDescent="0.3">
      <c r="A18" s="18" t="e">
        <f>IF(AND(#REF!&lt;&gt;"",#REF!&lt;&gt;""),_xlfn.CONCAT(#REF!,", ",#REF!),_xlfn.CONCAT(#REF!,#REF!))</f>
        <v>#REF!</v>
      </c>
      <c r="F18" s="50"/>
      <c r="I18" s="57">
        <f>'[1]Data Processed'!A96</f>
        <v>99</v>
      </c>
      <c r="J18" s="57" t="str">
        <f>'[1]Data Processed'!B96</f>
        <v>64</v>
      </c>
      <c r="K18" s="57">
        <f>'[1]Data Processed'!C96</f>
        <v>12500</v>
      </c>
      <c r="L18" s="57">
        <f>'[1]Data Processed'!E96</f>
        <v>19.844036493945026</v>
      </c>
      <c r="M18" s="57">
        <f>K18*L18</f>
        <v>248050.45617431283</v>
      </c>
      <c r="N18" s="16">
        <v>0.25309999999999999</v>
      </c>
      <c r="O18" s="15">
        <v>4.0000000000000001E-3</v>
      </c>
      <c r="P18" s="50">
        <f>M18*O18</f>
        <v>992.20182469725137</v>
      </c>
      <c r="Q18" s="50">
        <f>P18/N18</f>
        <v>3920.1968577528701</v>
      </c>
      <c r="R18" s="61">
        <f>Q18/$E$22</f>
        <v>0.76866605053977843</v>
      </c>
      <c r="S18"/>
      <c r="T18"/>
    </row>
    <row r="19" spans="1:21" ht="15.75" thickBot="1" x14ac:dyDescent="0.3">
      <c r="A19" s="18" t="e">
        <f>IF(AND(#REF!&lt;&gt;"",#REF!&lt;&gt;""),_xlfn.CONCAT(#REF!,", ",#REF!),_xlfn.CONCAT(#REF!,#REF!))</f>
        <v>#REF!</v>
      </c>
      <c r="B19" s="166" t="s">
        <v>129</v>
      </c>
      <c r="C19" s="167"/>
      <c r="D19" s="167"/>
      <c r="E19" s="167"/>
      <c r="F19" s="168"/>
      <c r="I19" s="72">
        <f>'[1]Data Processed'!A97</f>
        <v>100</v>
      </c>
      <c r="J19" s="72" t="str">
        <f>'[1]Data Processed'!B97</f>
        <v>65</v>
      </c>
      <c r="K19" s="72">
        <f>'[1]Data Processed'!C97</f>
        <v>12500</v>
      </c>
      <c r="L19" s="72">
        <f>'[1]Data Processed'!E97</f>
        <v>19.673784588994454</v>
      </c>
      <c r="M19" s="72">
        <f>K19*L19</f>
        <v>245922.30736243067</v>
      </c>
      <c r="N19" s="23">
        <v>0.25359999999999999</v>
      </c>
      <c r="O19" s="23">
        <v>4.0000000000000001E-3</v>
      </c>
      <c r="P19" s="62">
        <f>M19*O19</f>
        <v>983.68922944972269</v>
      </c>
      <c r="Q19" s="62">
        <f>P19/N19</f>
        <v>3878.9007470414936</v>
      </c>
      <c r="R19" s="63">
        <f>Q19/$E$22</f>
        <v>0.76056877392970457</v>
      </c>
      <c r="S19"/>
      <c r="T19"/>
    </row>
    <row r="20" spans="1:21" ht="15.75" thickBot="1" x14ac:dyDescent="0.3">
      <c r="A20" s="18" t="e">
        <f>IF(AND(#REF!&lt;&gt;"",#REF!&lt;&gt;""),_xlfn.CONCAT(#REF!,", ",#REF!),_xlfn.CONCAT(#REF!,#REF!))</f>
        <v>#REF!</v>
      </c>
      <c r="B20" s="105" t="s">
        <v>15</v>
      </c>
      <c r="C20" s="106" t="s">
        <v>130</v>
      </c>
      <c r="D20" s="106" t="s">
        <v>131</v>
      </c>
      <c r="E20" s="106" t="s">
        <v>61</v>
      </c>
      <c r="F20" s="107" t="s">
        <v>28</v>
      </c>
    </row>
    <row r="21" spans="1:21" x14ac:dyDescent="0.25">
      <c r="A21" s="18" t="e">
        <f>IF(AND(#REF!&lt;&gt;"",#REF!&lt;&gt;""),_xlfn.CONCAT(#REF!,", ",#REF!),_xlfn.CONCAT(#REF!,#REF!))</f>
        <v>#REF!</v>
      </c>
      <c r="B21" s="119" t="s">
        <v>99</v>
      </c>
      <c r="C21" s="103" t="s">
        <v>64</v>
      </c>
      <c r="D21" s="103" t="s">
        <v>64</v>
      </c>
      <c r="E21" s="103" t="s">
        <v>64</v>
      </c>
      <c r="F21" s="120" t="s">
        <v>99</v>
      </c>
      <c r="I21" s="8" t="s">
        <v>115</v>
      </c>
      <c r="J21" s="8" t="s">
        <v>16</v>
      </c>
      <c r="K21" s="8" t="s">
        <v>17</v>
      </c>
      <c r="L21" s="8" t="s">
        <v>18</v>
      </c>
      <c r="M21" s="8" t="s">
        <v>19</v>
      </c>
      <c r="N21" s="8" t="s">
        <v>116</v>
      </c>
      <c r="O21" s="8" t="s">
        <v>117</v>
      </c>
      <c r="P21" s="8" t="s">
        <v>118</v>
      </c>
      <c r="Q21" s="117" t="s">
        <v>119</v>
      </c>
      <c r="R21" s="117" t="s">
        <v>23</v>
      </c>
      <c r="S21"/>
      <c r="T21" s="118"/>
    </row>
    <row r="22" spans="1:21" ht="15.75" thickBot="1" x14ac:dyDescent="0.3">
      <c r="A22" s="18" t="e">
        <f>IF(AND(#REF!&lt;&gt;"",#REF!&lt;&gt;""),_xlfn.CONCAT(#REF!,", ",#REF!),_xlfn.CONCAT(#REF!,#REF!))</f>
        <v>#REF!</v>
      </c>
      <c r="B22" s="121">
        <f>200000/(4/0.4)</f>
        <v>20000</v>
      </c>
      <c r="C22" s="122">
        <v>85.9</v>
      </c>
      <c r="D22" s="122">
        <v>78</v>
      </c>
      <c r="E22" s="122">
        <v>5100</v>
      </c>
      <c r="F22" s="123">
        <f>50000/(20/1)</f>
        <v>2500</v>
      </c>
      <c r="I22" s="11" t="s">
        <v>8</v>
      </c>
      <c r="J22" s="11" t="s">
        <v>9</v>
      </c>
      <c r="K22" s="11" t="s">
        <v>21</v>
      </c>
      <c r="L22" s="12" t="s">
        <v>99</v>
      </c>
      <c r="M22" s="12" t="s">
        <v>99</v>
      </c>
      <c r="N22" s="12"/>
      <c r="O22" s="12"/>
      <c r="P22" s="12"/>
      <c r="Q22" s="12"/>
      <c r="R22" s="12"/>
      <c r="S22"/>
    </row>
    <row r="23" spans="1:21" x14ac:dyDescent="0.25">
      <c r="A23" s="18" t="e">
        <f>IF(AND(#REF!&lt;&gt;"",#REF!&lt;&gt;""),_xlfn.CONCAT(#REF!,", ",#REF!),_xlfn.CONCAT(#REF!,#REF!))</f>
        <v>#REF!</v>
      </c>
      <c r="C23" s="97"/>
      <c r="I23" s="16">
        <f>'[1]Data Processed'!A24</f>
        <v>27</v>
      </c>
      <c r="J23" s="16" t="str">
        <f>'[1]Data Processed'!B24</f>
        <v>10</v>
      </c>
      <c r="K23" s="16">
        <f>'[1]Data Processed'!C24</f>
        <v>12500</v>
      </c>
      <c r="L23" s="16">
        <f>'[1]Data Processed'!E24</f>
        <v>3.2989342556494745</v>
      </c>
      <c r="M23" s="16">
        <f>K23*L23</f>
        <v>41236.678195618435</v>
      </c>
      <c r="N23" s="17" t="str">
        <f>'[1]Data Processed'!I24</f>
        <v xml:space="preserve"> </v>
      </c>
      <c r="O23" s="173">
        <f>M24/M23</f>
        <v>0.99947519331936874</v>
      </c>
      <c r="P23" s="175" t="s">
        <v>120</v>
      </c>
      <c r="Q23" s="177" t="s">
        <v>121</v>
      </c>
      <c r="R23" s="179">
        <f>ABS(((M24-M23)/((M24+M23)/2))*100)</f>
        <v>5.2494442780261337E-2</v>
      </c>
      <c r="S23"/>
    </row>
    <row r="24" spans="1:21" x14ac:dyDescent="0.25">
      <c r="A24" s="18" t="e">
        <f>IF(AND(#REF!&lt;&gt;"",#REF!&lt;&gt;""),_xlfn.CONCAT(#REF!,", ",#REF!),_xlfn.CONCAT(#REF!,#REF!))</f>
        <v>#REF!</v>
      </c>
      <c r="I24" s="20">
        <f>'[1]Data Processed'!A25</f>
        <v>28</v>
      </c>
      <c r="J24" s="20" t="str">
        <f>'[1]Data Processed'!B25</f>
        <v>10 Rep</v>
      </c>
      <c r="K24" s="20">
        <f>'[1]Data Processed'!C25</f>
        <v>12500</v>
      </c>
      <c r="L24" s="20">
        <f>'[1]Data Processed'!E25</f>
        <v>3.2972029529131466</v>
      </c>
      <c r="M24" s="20">
        <f t="shared" ref="M24:M36" si="1">K24*L24</f>
        <v>41215.036911414332</v>
      </c>
      <c r="N24" s="22" t="str">
        <f>'[1]Data Processed'!I25</f>
        <v xml:space="preserve"> </v>
      </c>
      <c r="O24" s="181"/>
      <c r="P24" s="183"/>
      <c r="Q24" s="185"/>
      <c r="R24" s="185" t="e">
        <f>ABS(((M24-#REF!)/((M24+#REF!)/2))*100)</f>
        <v>#REF!</v>
      </c>
      <c r="S24"/>
    </row>
    <row r="25" spans="1:21" x14ac:dyDescent="0.25">
      <c r="A25" s="18" t="e">
        <f>IF(AND(#REF!&lt;&gt;"",#REF!&lt;&gt;""),_xlfn.CONCAT(#REF!,", ",#REF!),_xlfn.CONCAT(#REF!,#REF!))</f>
        <v>#REF!</v>
      </c>
      <c r="B25" s="99"/>
      <c r="I25" s="16">
        <f>'[1]Data Processed'!A37</f>
        <v>40</v>
      </c>
      <c r="J25" s="16" t="str">
        <f>'[1]Data Processed'!B37</f>
        <v>20</v>
      </c>
      <c r="K25" s="16">
        <f>'[1]Data Processed'!C37</f>
        <v>12500</v>
      </c>
      <c r="L25" s="16">
        <f>'[1]Data Processed'!E37</f>
        <v>3.2042451035195163</v>
      </c>
      <c r="M25" s="16">
        <f t="shared" si="1"/>
        <v>40053.063793993955</v>
      </c>
      <c r="N25" s="17" t="str">
        <f>'[1]Data Processed'!I37</f>
        <v xml:space="preserve"> </v>
      </c>
      <c r="O25" s="180">
        <f>M26/M25</f>
        <v>1.0082172096642039</v>
      </c>
      <c r="P25" s="182" t="s">
        <v>120</v>
      </c>
      <c r="Q25" s="184" t="s">
        <v>121</v>
      </c>
      <c r="R25" s="186">
        <f>ABS(((M26-M25)/((M26+M25)/2))*100)</f>
        <v>0.8183586540997686</v>
      </c>
      <c r="S25"/>
    </row>
    <row r="26" spans="1:21" x14ac:dyDescent="0.25">
      <c r="B26" s="99"/>
      <c r="I26" s="20">
        <f>'[1]Data Processed'!A38</f>
        <v>41</v>
      </c>
      <c r="J26" s="20" t="str">
        <f>'[1]Data Processed'!B38</f>
        <v>20 Rep</v>
      </c>
      <c r="K26" s="20">
        <f>'[1]Data Processed'!C38</f>
        <v>12500</v>
      </c>
      <c r="L26" s="20">
        <f>'[1]Data Processed'!E38</f>
        <v>3.2305750573506353</v>
      </c>
      <c r="M26" s="20">
        <f t="shared" si="1"/>
        <v>40382.18821688294</v>
      </c>
      <c r="N26" s="22" t="str">
        <f>'[1]Data Processed'!I38</f>
        <v xml:space="preserve"> </v>
      </c>
      <c r="O26" s="181"/>
      <c r="P26" s="183"/>
      <c r="Q26" s="185"/>
      <c r="R26" s="185" t="e">
        <f>ABS(((M26-#REF!)/((M26+#REF!)/2))*100)</f>
        <v>#REF!</v>
      </c>
      <c r="S26"/>
    </row>
    <row r="27" spans="1:21" x14ac:dyDescent="0.25">
      <c r="B27" s="99"/>
      <c r="I27" s="16">
        <f>'[1]Data Processed'!A50</f>
        <v>53</v>
      </c>
      <c r="J27" s="16" t="str">
        <f>'[1]Data Processed'!B50</f>
        <v>30</v>
      </c>
      <c r="K27" s="16">
        <f>'[1]Data Processed'!C50</f>
        <v>12500</v>
      </c>
      <c r="L27" s="16">
        <f>'[1]Data Processed'!E50</f>
        <v>2.6299379984831162</v>
      </c>
      <c r="M27" s="16">
        <f t="shared" si="1"/>
        <v>32874.224981038955</v>
      </c>
      <c r="N27" s="17" t="str">
        <f>'[1]Data Processed'!I50</f>
        <v xml:space="preserve"> </v>
      </c>
      <c r="O27" s="180">
        <f>M28/M27</f>
        <v>0.98939555795718315</v>
      </c>
      <c r="P27" s="182" t="s">
        <v>120</v>
      </c>
      <c r="Q27" s="184" t="s">
        <v>121</v>
      </c>
      <c r="R27" s="186">
        <f>ABS(((M28-M27)/((M28+M27)/2))*100)</f>
        <v>1.0660968855993631</v>
      </c>
      <c r="S27"/>
    </row>
    <row r="28" spans="1:21" x14ac:dyDescent="0.25">
      <c r="B28" s="99"/>
      <c r="I28" s="20">
        <f>'[1]Data Processed'!A51</f>
        <v>54</v>
      </c>
      <c r="J28" s="20" t="str">
        <f>'[1]Data Processed'!B51</f>
        <v>30 Rep</v>
      </c>
      <c r="K28" s="20">
        <f>'[1]Data Processed'!C51</f>
        <v>12500</v>
      </c>
      <c r="L28" s="20">
        <f>'[1]Data Processed'!E51</f>
        <v>2.6020489734020007</v>
      </c>
      <c r="M28" s="20">
        <f t="shared" si="1"/>
        <v>32525.612167525007</v>
      </c>
      <c r="N28" s="22" t="str">
        <f>'[1]Data Processed'!I51</f>
        <v>MDL</v>
      </c>
      <c r="O28" s="181"/>
      <c r="P28" s="183"/>
      <c r="Q28" s="185"/>
      <c r="R28" s="185" t="e">
        <f>ABS(((M28-#REF!)/((M28+#REF!)/2))*100)</f>
        <v>#REF!</v>
      </c>
      <c r="S28"/>
    </row>
    <row r="29" spans="1:21" x14ac:dyDescent="0.25">
      <c r="I29" s="16">
        <f>'[1]Data Processed'!A63</f>
        <v>66</v>
      </c>
      <c r="J29" s="16" t="str">
        <f>'[1]Data Processed'!B63</f>
        <v>40</v>
      </c>
      <c r="K29" s="16">
        <f>'[1]Data Processed'!C63</f>
        <v>12500</v>
      </c>
      <c r="L29" s="16">
        <f>'[1]Data Processed'!E63</f>
        <v>0.59685682039208832</v>
      </c>
      <c r="M29" s="16">
        <f t="shared" si="1"/>
        <v>7460.7102549011042</v>
      </c>
      <c r="N29" s="17" t="str">
        <f>'[1]Data Processed'!I63</f>
        <v>LLOQ</v>
      </c>
      <c r="O29" s="180">
        <f>M30/M29</f>
        <v>1.0093072094908861</v>
      </c>
      <c r="P29" s="182" t="s">
        <v>120</v>
      </c>
      <c r="Q29" s="184" t="s">
        <v>121</v>
      </c>
      <c r="R29" s="186">
        <f>ABS(((M30-M29)/((M30+M29)/2))*100)</f>
        <v>0.92640980402837159</v>
      </c>
      <c r="S29"/>
    </row>
    <row r="30" spans="1:21" x14ac:dyDescent="0.25">
      <c r="F30" s="96"/>
      <c r="I30" s="20">
        <f>'[1]Data Processed'!A64</f>
        <v>67</v>
      </c>
      <c r="J30" s="20" t="str">
        <f>'[1]Data Processed'!B64</f>
        <v>40 Rep</v>
      </c>
      <c r="K30" s="20">
        <f>'[1]Data Processed'!C64</f>
        <v>12500</v>
      </c>
      <c r="L30" s="20">
        <f>'[1]Data Processed'!E64</f>
        <v>0.60241189185554178</v>
      </c>
      <c r="M30" s="20">
        <f t="shared" si="1"/>
        <v>7530.148648194272</v>
      </c>
      <c r="N30" s="22" t="str">
        <f>'[1]Data Processed'!I64</f>
        <v>MDL</v>
      </c>
      <c r="O30" s="181"/>
      <c r="P30" s="183"/>
      <c r="Q30" s="185"/>
      <c r="R30" s="185" t="e">
        <f>ABS(((M30-#REF!)/((M30+#REF!)/2))*100)</f>
        <v>#REF!</v>
      </c>
      <c r="S30"/>
    </row>
    <row r="31" spans="1:21" x14ac:dyDescent="0.25">
      <c r="F31" s="96"/>
      <c r="I31" s="16">
        <f>'[1]Data Processed'!A76</f>
        <v>79</v>
      </c>
      <c r="J31" s="16" t="str">
        <f>'[1]Data Processed'!B76</f>
        <v>50</v>
      </c>
      <c r="K31" s="16">
        <f>'[1]Data Processed'!C76</f>
        <v>12500</v>
      </c>
      <c r="L31" s="16">
        <f>'[1]Data Processed'!E76</f>
        <v>2.4378171480987851</v>
      </c>
      <c r="M31" s="16">
        <f t="shared" si="1"/>
        <v>30472.714351234816</v>
      </c>
      <c r="N31" s="17" t="str">
        <f>'[1]Data Processed'!I76</f>
        <v xml:space="preserve"> </v>
      </c>
      <c r="O31" s="180">
        <f>M32/M31</f>
        <v>0.9855172084472047</v>
      </c>
      <c r="P31" s="182" t="s">
        <v>120</v>
      </c>
      <c r="Q31" s="184" t="s">
        <v>121</v>
      </c>
      <c r="R31" s="186">
        <f>ABS(((M32-M31)/((M32+M31)/2))*100)</f>
        <v>1.4588432163850897</v>
      </c>
      <c r="S31"/>
    </row>
    <row r="32" spans="1:21" x14ac:dyDescent="0.25">
      <c r="F32" s="97"/>
      <c r="I32" s="20">
        <f>'[1]Data Processed'!A77</f>
        <v>80</v>
      </c>
      <c r="J32" s="20" t="str">
        <f>'[1]Data Processed'!B77</f>
        <v>50 Rep</v>
      </c>
      <c r="K32" s="20">
        <f>'[1]Data Processed'!C77</f>
        <v>12500</v>
      </c>
      <c r="L32" s="20">
        <f>'[1]Data Processed'!E77</f>
        <v>2.4025107504990406</v>
      </c>
      <c r="M32" s="20">
        <f t="shared" si="1"/>
        <v>30031.384381238007</v>
      </c>
      <c r="N32" s="22" t="str">
        <f>'[1]Data Processed'!I77</f>
        <v>MDL</v>
      </c>
      <c r="O32" s="181"/>
      <c r="P32" s="183"/>
      <c r="Q32" s="185"/>
      <c r="R32" s="185" t="e">
        <f>ABS(((M32-#REF!)/((M32+#REF!)/2))*100)</f>
        <v>#REF!</v>
      </c>
      <c r="S32"/>
    </row>
    <row r="33" spans="6:19" x14ac:dyDescent="0.25">
      <c r="I33" s="16">
        <f>'[1]Data Processed'!A89</f>
        <v>92</v>
      </c>
      <c r="J33" s="16" t="str">
        <f>'[1]Data Processed'!B89</f>
        <v>60</v>
      </c>
      <c r="K33" s="16">
        <f>'[1]Data Processed'!C89</f>
        <v>12500</v>
      </c>
      <c r="L33" s="16">
        <f>'[1]Data Processed'!E89</f>
        <v>8.000497097461194</v>
      </c>
      <c r="M33" s="16">
        <f t="shared" si="1"/>
        <v>100006.21371826493</v>
      </c>
      <c r="N33" s="17" t="str">
        <f>'[1]Data Processed'!I89</f>
        <v xml:space="preserve"> </v>
      </c>
      <c r="O33" s="180">
        <f>M34/M33</f>
        <v>1.0011621981694609</v>
      </c>
      <c r="P33" s="182" t="s">
        <v>120</v>
      </c>
      <c r="Q33" s="184" t="s">
        <v>121</v>
      </c>
      <c r="R33" s="186">
        <f>ABS(((M34-M33)/((M34+M33)/2))*100)</f>
        <v>0.11615232093870925</v>
      </c>
      <c r="S33"/>
    </row>
    <row r="34" spans="6:19" x14ac:dyDescent="0.25">
      <c r="I34" s="20">
        <f>'[1]Data Processed'!A90</f>
        <v>93</v>
      </c>
      <c r="J34" s="20" t="str">
        <f>'[1]Data Processed'!B90</f>
        <v>60 Rep</v>
      </c>
      <c r="K34" s="20">
        <f>'[1]Data Processed'!C90</f>
        <v>12500</v>
      </c>
      <c r="L34" s="20">
        <f>'[1]Data Processed'!E90</f>
        <v>8.0097952605426421</v>
      </c>
      <c r="M34" s="20">
        <f t="shared" si="1"/>
        <v>100122.44075678302</v>
      </c>
      <c r="N34" s="22" t="str">
        <f>'[1]Data Processed'!I90</f>
        <v xml:space="preserve"> </v>
      </c>
      <c r="O34" s="181"/>
      <c r="P34" s="183"/>
      <c r="Q34" s="185"/>
      <c r="R34" s="185" t="e">
        <f>ABS(((M34-#REF!)/((M34+#REF!)/2))*100)</f>
        <v>#REF!</v>
      </c>
      <c r="S34"/>
    </row>
    <row r="35" spans="6:19" x14ac:dyDescent="0.25">
      <c r="I35" s="7">
        <f>'[1]Data Processed'!A97</f>
        <v>100</v>
      </c>
      <c r="J35" s="7" t="str">
        <f>'[1]Data Processed'!B97</f>
        <v>65</v>
      </c>
      <c r="K35" s="7">
        <f>'[1]Data Processed'!C97</f>
        <v>12500</v>
      </c>
      <c r="L35" s="7">
        <f>'[1]Data Processed'!E97</f>
        <v>19.673784588994454</v>
      </c>
      <c r="M35" s="7">
        <f t="shared" si="1"/>
        <v>245922.30736243067</v>
      </c>
      <c r="N35" s="28" t="str">
        <f>'[1]Data Processed'!I97</f>
        <v xml:space="preserve"> </v>
      </c>
      <c r="O35" s="173">
        <f>M36/M35</f>
        <v>1.0044449307665009</v>
      </c>
      <c r="P35" s="175" t="s">
        <v>120</v>
      </c>
      <c r="Q35" s="177" t="s">
        <v>121</v>
      </c>
      <c r="R35" s="179">
        <f>ABS(((M36-M35)/((M36+M35)/2))*100)</f>
        <v>0.4435073968134447</v>
      </c>
      <c r="S35"/>
    </row>
    <row r="36" spans="6:19" ht="15.75" thickBot="1" x14ac:dyDescent="0.3">
      <c r="I36" s="4">
        <f>'[1]Data Processed'!A98</f>
        <v>101</v>
      </c>
      <c r="J36" s="4" t="str">
        <f>'[1]Data Processed'!B98</f>
        <v>65 Rep</v>
      </c>
      <c r="K36" s="4">
        <f>'[1]Data Processed'!C98</f>
        <v>12500</v>
      </c>
      <c r="L36" s="4">
        <f>'[1]Data Processed'!E98</f>
        <v>19.761233199407584</v>
      </c>
      <c r="M36" s="4">
        <f t="shared" si="1"/>
        <v>247015.4149925948</v>
      </c>
      <c r="N36" s="36" t="str">
        <f>'[1]Data Processed'!I98</f>
        <v xml:space="preserve"> </v>
      </c>
      <c r="O36" s="174"/>
      <c r="P36" s="176"/>
      <c r="Q36" s="178"/>
      <c r="R36" s="178" t="e">
        <f>ABS(((M36-#REF!)/((M36+#REF!)/2))*100)</f>
        <v>#REF!</v>
      </c>
      <c r="S36"/>
    </row>
    <row r="37" spans="6:19" x14ac:dyDescent="0.25">
      <c r="F37" s="15"/>
      <c r="S37"/>
    </row>
    <row r="38" spans="6:19" ht="15.75" thickBot="1" x14ac:dyDescent="0.3">
      <c r="F38" s="100"/>
      <c r="I38" s="64" t="s">
        <v>53</v>
      </c>
      <c r="J38" s="64" t="s">
        <v>54</v>
      </c>
      <c r="K38" s="65" t="s">
        <v>6</v>
      </c>
      <c r="L38" s="64" t="s">
        <v>55</v>
      </c>
      <c r="M38" s="65" t="s">
        <v>6</v>
      </c>
      <c r="N38" s="64" t="s">
        <v>56</v>
      </c>
      <c r="O38" s="65" t="s">
        <v>6</v>
      </c>
      <c r="P38" s="64" t="s">
        <v>57</v>
      </c>
      <c r="Q38" s="65" t="s">
        <v>6</v>
      </c>
    </row>
    <row r="39" spans="6:19" x14ac:dyDescent="0.25">
      <c r="F39" s="15"/>
      <c r="I39" s="66">
        <v>1</v>
      </c>
      <c r="J39" s="67">
        <f>K49/10</f>
        <v>1.0244687695220711</v>
      </c>
      <c r="K39" s="68" t="str">
        <f>IF(J39&lt;90%,"ICV", (IF(J39&gt;110%,"ICV", " ")))</f>
        <v xml:space="preserve"> </v>
      </c>
      <c r="L39" s="69">
        <f>K50</f>
        <v>4.9802869985933022E-3</v>
      </c>
      <c r="M39" s="68" t="str">
        <f>IF((ABS(L39)&gt;0.5),"ICB"," ")</f>
        <v xml:space="preserve"> </v>
      </c>
      <c r="N39" s="70">
        <f>K51/10</f>
        <v>1.0295271579721172</v>
      </c>
      <c r="O39" s="68" t="str">
        <f t="shared" ref="O39:O45" si="2">IF(N39&lt;90%,"CCV", (IF(N39&gt;110%,"CCV", " ")))</f>
        <v xml:space="preserve"> </v>
      </c>
      <c r="P39" s="71">
        <f>K52</f>
        <v>2.2127907393964187E-3</v>
      </c>
      <c r="Q39" s="68" t="str">
        <f t="shared" ref="Q39:Q45" si="3">IF((ABS(P39)&gt;0.5),"CCB"," ")</f>
        <v xml:space="preserve"> </v>
      </c>
    </row>
    <row r="40" spans="6:19" x14ac:dyDescent="0.25">
      <c r="F40" s="15"/>
      <c r="I40" s="66">
        <v>2</v>
      </c>
      <c r="J40" s="70"/>
      <c r="K40" s="70"/>
      <c r="L40" s="69"/>
      <c r="M40" s="70"/>
      <c r="N40" s="70">
        <f>K53/10</f>
        <v>1.0212939072891951</v>
      </c>
      <c r="O40" s="68" t="str">
        <f t="shared" si="2"/>
        <v xml:space="preserve"> </v>
      </c>
      <c r="P40" s="71">
        <f>K54</f>
        <v>2.0446736461955865E-3</v>
      </c>
      <c r="Q40" s="68" t="str">
        <f t="shared" si="3"/>
        <v xml:space="preserve"> </v>
      </c>
    </row>
    <row r="41" spans="6:19" x14ac:dyDescent="0.25">
      <c r="F41" s="100"/>
      <c r="I41" s="66">
        <v>3</v>
      </c>
      <c r="J41" s="70"/>
      <c r="K41" s="70"/>
      <c r="L41" s="69"/>
      <c r="M41" s="70"/>
      <c r="N41" s="70">
        <f>K55/10</f>
        <v>1.0113029166152279</v>
      </c>
      <c r="O41" s="68" t="str">
        <f t="shared" si="2"/>
        <v xml:space="preserve"> </v>
      </c>
      <c r="P41" s="71">
        <f>K56</f>
        <v>1.7152181147504189E-3</v>
      </c>
      <c r="Q41" s="68" t="str">
        <f t="shared" si="3"/>
        <v xml:space="preserve"> </v>
      </c>
    </row>
    <row r="42" spans="6:19" x14ac:dyDescent="0.25">
      <c r="F42" s="100"/>
      <c r="I42" s="16">
        <v>4</v>
      </c>
      <c r="N42" s="70">
        <f>K57/10</f>
        <v>1.0178266005130563</v>
      </c>
      <c r="O42" s="68" t="str">
        <f t="shared" si="2"/>
        <v xml:space="preserve"> </v>
      </c>
      <c r="P42" s="71">
        <f>K58</f>
        <v>1.7989423096554903E-3</v>
      </c>
      <c r="Q42" s="68" t="str">
        <f t="shared" si="3"/>
        <v xml:space="preserve"> </v>
      </c>
    </row>
    <row r="43" spans="6:19" x14ac:dyDescent="0.25">
      <c r="F43" s="100"/>
      <c r="I43" s="66">
        <v>5</v>
      </c>
      <c r="N43" s="70">
        <f>K59/10</f>
        <v>1.0256729578809918</v>
      </c>
      <c r="O43" s="68" t="str">
        <f t="shared" si="2"/>
        <v xml:space="preserve"> </v>
      </c>
      <c r="P43" s="71">
        <f>K60</f>
        <v>1.6895590407861815E-3</v>
      </c>
      <c r="Q43" s="68" t="str">
        <f t="shared" si="3"/>
        <v xml:space="preserve"> </v>
      </c>
    </row>
    <row r="44" spans="6:19" x14ac:dyDescent="0.25">
      <c r="F44" s="100"/>
      <c r="I44" s="16">
        <v>6</v>
      </c>
      <c r="N44" s="70">
        <f>K61/10</f>
        <v>1.0214626710611405</v>
      </c>
      <c r="O44" s="68" t="str">
        <f t="shared" si="2"/>
        <v xml:space="preserve"> </v>
      </c>
      <c r="P44" s="71">
        <f>K62</f>
        <v>2.4373328172385758E-3</v>
      </c>
      <c r="Q44" s="68" t="str">
        <f t="shared" si="3"/>
        <v xml:space="preserve"> </v>
      </c>
    </row>
    <row r="45" spans="6:19" x14ac:dyDescent="0.25">
      <c r="I45" s="66">
        <v>7</v>
      </c>
      <c r="N45" s="70">
        <f>K63/10</f>
        <v>1.0255111800626655</v>
      </c>
      <c r="O45" s="68" t="str">
        <f t="shared" si="2"/>
        <v xml:space="preserve"> </v>
      </c>
      <c r="P45" s="71">
        <f>K64</f>
        <v>2.5999568388886357E-3</v>
      </c>
      <c r="Q45" s="68" t="str">
        <f t="shared" si="3"/>
        <v xml:space="preserve"> </v>
      </c>
    </row>
    <row r="46" spans="6:19" x14ac:dyDescent="0.25">
      <c r="N46" s="70"/>
      <c r="O46" s="68"/>
      <c r="P46" s="71"/>
      <c r="Q46" s="68"/>
    </row>
    <row r="47" spans="6:19" x14ac:dyDescent="0.25">
      <c r="N47" s="70"/>
      <c r="O47" s="68"/>
      <c r="P47" s="71"/>
      <c r="Q47" s="68"/>
    </row>
    <row r="48" spans="6:19" ht="15.75" thickBot="1" x14ac:dyDescent="0.3">
      <c r="I48" s="64" t="s">
        <v>53</v>
      </c>
      <c r="J48" s="64" t="s">
        <v>67</v>
      </c>
      <c r="K48" s="64" t="s">
        <v>122</v>
      </c>
      <c r="N48" s="14" t="s">
        <v>69</v>
      </c>
      <c r="O48" s="14" t="s">
        <v>70</v>
      </c>
    </row>
    <row r="49" spans="9:15" x14ac:dyDescent="0.25">
      <c r="I49" s="169">
        <v>1</v>
      </c>
      <c r="J49" s="86" t="s">
        <v>52</v>
      </c>
      <c r="K49" s="87">
        <v>10.24468769522071</v>
      </c>
      <c r="N49" s="88" t="s">
        <v>75</v>
      </c>
      <c r="O49" s="89" t="s">
        <v>123</v>
      </c>
    </row>
    <row r="50" spans="9:15" x14ac:dyDescent="0.25">
      <c r="I50" s="170"/>
      <c r="J50" s="41" t="s">
        <v>55</v>
      </c>
      <c r="K50" s="92">
        <v>4.9802869985933022E-3</v>
      </c>
      <c r="N50" s="88" t="s">
        <v>78</v>
      </c>
      <c r="O50" s="89" t="s">
        <v>124</v>
      </c>
    </row>
    <row r="51" spans="9:15" x14ac:dyDescent="0.25">
      <c r="I51" s="171">
        <v>1</v>
      </c>
      <c r="J51" s="57" t="s">
        <v>58</v>
      </c>
      <c r="K51" s="31">
        <v>10.295271579721172</v>
      </c>
      <c r="N51" s="88" t="s">
        <v>80</v>
      </c>
      <c r="O51" s="89" t="s">
        <v>125</v>
      </c>
    </row>
    <row r="52" spans="9:15" x14ac:dyDescent="0.25">
      <c r="I52" s="165"/>
      <c r="J52" s="57" t="s">
        <v>59</v>
      </c>
      <c r="K52" s="31">
        <v>2.2127907393964187E-3</v>
      </c>
      <c r="N52" s="88" t="s">
        <v>81</v>
      </c>
      <c r="O52" s="89" t="s">
        <v>126</v>
      </c>
    </row>
    <row r="53" spans="9:15" x14ac:dyDescent="0.25">
      <c r="I53" s="165">
        <v>2</v>
      </c>
      <c r="J53" s="57" t="s">
        <v>58</v>
      </c>
      <c r="K53" s="31">
        <v>10.212939072891951</v>
      </c>
      <c r="N53" s="88" t="s">
        <v>82</v>
      </c>
      <c r="O53" s="89" t="s">
        <v>127</v>
      </c>
    </row>
    <row r="54" spans="9:15" x14ac:dyDescent="0.25">
      <c r="I54" s="165"/>
      <c r="J54" s="57" t="s">
        <v>59</v>
      </c>
      <c r="K54" s="31">
        <v>2.0446736461955865E-3</v>
      </c>
      <c r="N54" s="88" t="s">
        <v>83</v>
      </c>
      <c r="O54" s="89" t="s">
        <v>128</v>
      </c>
    </row>
    <row r="55" spans="9:15" x14ac:dyDescent="0.25">
      <c r="I55" s="165">
        <v>3</v>
      </c>
      <c r="J55" s="57" t="s">
        <v>58</v>
      </c>
      <c r="K55" s="31">
        <v>10.113029166152279</v>
      </c>
      <c r="N55" s="98"/>
      <c r="O55" s="98"/>
    </row>
    <row r="56" spans="9:15" x14ac:dyDescent="0.25">
      <c r="I56" s="165"/>
      <c r="J56" s="57" t="s">
        <v>59</v>
      </c>
      <c r="K56" s="31">
        <v>1.7152181147504189E-3</v>
      </c>
      <c r="M56" s="99"/>
      <c r="N56" s="99"/>
      <c r="O56" s="99"/>
    </row>
    <row r="57" spans="9:15" ht="15" customHeight="1" x14ac:dyDescent="0.25">
      <c r="I57" s="165">
        <v>4</v>
      </c>
      <c r="J57" s="57" t="s">
        <v>58</v>
      </c>
      <c r="K57" s="31">
        <v>10.178266005130563</v>
      </c>
      <c r="M57" s="99"/>
      <c r="N57" s="99"/>
      <c r="O57" s="99"/>
    </row>
    <row r="58" spans="9:15" x14ac:dyDescent="0.25">
      <c r="I58" s="165"/>
      <c r="J58" s="57" t="s">
        <v>59</v>
      </c>
      <c r="K58" s="31">
        <v>1.7989423096554903E-3</v>
      </c>
      <c r="M58" s="99"/>
      <c r="N58" s="99"/>
      <c r="O58" s="99"/>
    </row>
    <row r="59" spans="9:15" x14ac:dyDescent="0.25">
      <c r="I59" s="165">
        <v>5</v>
      </c>
      <c r="J59" s="57" t="s">
        <v>58</v>
      </c>
      <c r="K59" s="31">
        <v>10.256729578809917</v>
      </c>
      <c r="M59" s="99"/>
      <c r="N59" s="99"/>
      <c r="O59" s="99"/>
    </row>
    <row r="60" spans="9:15" x14ac:dyDescent="0.25">
      <c r="I60" s="165"/>
      <c r="J60" s="57" t="s">
        <v>59</v>
      </c>
      <c r="K60" s="31">
        <v>1.6895590407861815E-3</v>
      </c>
      <c r="M60" s="99"/>
      <c r="N60" s="99"/>
      <c r="O60" s="99"/>
    </row>
    <row r="61" spans="9:15" x14ac:dyDescent="0.25">
      <c r="I61" s="165">
        <v>6</v>
      </c>
      <c r="J61" s="57" t="s">
        <v>58</v>
      </c>
      <c r="K61" s="31">
        <v>10.214626710611405</v>
      </c>
      <c r="M61" s="99"/>
      <c r="N61" s="99"/>
      <c r="O61" s="99"/>
    </row>
    <row r="62" spans="9:15" x14ac:dyDescent="0.25">
      <c r="I62" s="165"/>
      <c r="J62" s="57" t="s">
        <v>59</v>
      </c>
      <c r="K62" s="31">
        <v>2.4373328172385758E-3</v>
      </c>
      <c r="M62" s="99"/>
      <c r="N62" s="99"/>
      <c r="O62" s="99"/>
    </row>
    <row r="63" spans="9:15" x14ac:dyDescent="0.25">
      <c r="I63" s="165">
        <v>7</v>
      </c>
      <c r="J63" s="57" t="s">
        <v>58</v>
      </c>
      <c r="K63" s="31">
        <v>10.255111800626656</v>
      </c>
      <c r="M63" s="99"/>
      <c r="N63" s="99"/>
      <c r="O63" s="99"/>
    </row>
    <row r="64" spans="9:15" x14ac:dyDescent="0.25">
      <c r="I64" s="165"/>
      <c r="J64" s="57" t="s">
        <v>59</v>
      </c>
      <c r="K64" s="31">
        <v>2.5999568388886357E-3</v>
      </c>
      <c r="M64" s="99"/>
      <c r="N64" s="99"/>
      <c r="O64" s="99"/>
    </row>
    <row r="65" spans="9:15" x14ac:dyDescent="0.25">
      <c r="I65" s="165"/>
      <c r="J65" s="57"/>
      <c r="K65" s="101"/>
      <c r="M65" s="99"/>
      <c r="N65" s="99"/>
      <c r="O65" s="99"/>
    </row>
    <row r="66" spans="9:15" x14ac:dyDescent="0.25">
      <c r="I66" s="165"/>
      <c r="J66" s="57"/>
      <c r="K66" s="101"/>
      <c r="M66" s="99"/>
      <c r="N66" s="99"/>
      <c r="O66" s="99"/>
    </row>
    <row r="67" spans="9:15" x14ac:dyDescent="0.25">
      <c r="J67" s="101"/>
      <c r="M67" s="99"/>
      <c r="N67" s="99"/>
      <c r="O67" s="99"/>
    </row>
    <row r="68" spans="9:15" x14ac:dyDescent="0.25">
      <c r="J68" s="101"/>
      <c r="M68" s="99"/>
      <c r="N68" s="99"/>
      <c r="O68" s="99"/>
    </row>
    <row r="69" spans="9:15" x14ac:dyDescent="0.25">
      <c r="J69" s="101"/>
      <c r="M69" s="99"/>
      <c r="N69" s="99"/>
      <c r="O69" s="99"/>
    </row>
    <row r="70" spans="9:15" x14ac:dyDescent="0.25">
      <c r="J70" s="101"/>
      <c r="M70" s="99"/>
      <c r="N70" s="99"/>
      <c r="O70" s="99"/>
    </row>
    <row r="71" spans="9:15" x14ac:dyDescent="0.25">
      <c r="J71" s="101"/>
      <c r="M71" s="99"/>
      <c r="N71" s="99"/>
      <c r="O71" s="99"/>
    </row>
    <row r="72" spans="9:15" x14ac:dyDescent="0.25">
      <c r="J72" s="101"/>
      <c r="M72" s="99"/>
      <c r="N72" s="99"/>
      <c r="O72" s="99"/>
    </row>
    <row r="73" spans="9:15" x14ac:dyDescent="0.25">
      <c r="J73" s="101"/>
      <c r="M73" s="99"/>
      <c r="N73" s="99"/>
      <c r="O73" s="99"/>
    </row>
    <row r="74" spans="9:15" x14ac:dyDescent="0.25">
      <c r="J74" s="101"/>
      <c r="M74" s="99"/>
      <c r="N74" s="99"/>
      <c r="O74" s="99"/>
    </row>
    <row r="75" spans="9:15" x14ac:dyDescent="0.25">
      <c r="J75" s="101"/>
      <c r="M75" s="99"/>
      <c r="N75" s="99"/>
      <c r="O75" s="99"/>
    </row>
    <row r="76" spans="9:15" x14ac:dyDescent="0.25">
      <c r="J76" s="101"/>
      <c r="M76" s="99"/>
      <c r="N76" s="99"/>
      <c r="O76" s="99"/>
    </row>
    <row r="77" spans="9:15" x14ac:dyDescent="0.25">
      <c r="M77" s="99"/>
      <c r="N77" s="99"/>
      <c r="O77" s="99"/>
    </row>
    <row r="78" spans="9:15" x14ac:dyDescent="0.25">
      <c r="M78" s="99"/>
      <c r="N78" s="99"/>
      <c r="O78" s="99"/>
    </row>
    <row r="79" spans="9:15" x14ac:dyDescent="0.25">
      <c r="M79" s="99"/>
      <c r="N79" s="99"/>
      <c r="O79" s="99"/>
    </row>
    <row r="80" spans="9:15" x14ac:dyDescent="0.25">
      <c r="M80" s="99"/>
      <c r="N80" s="99"/>
      <c r="O80" s="99"/>
    </row>
  </sheetData>
  <mergeCells count="42">
    <mergeCell ref="B6:B13"/>
    <mergeCell ref="O23:O24"/>
    <mergeCell ref="P23:P24"/>
    <mergeCell ref="Q23:Q24"/>
    <mergeCell ref="R23:R24"/>
    <mergeCell ref="O25:O26"/>
    <mergeCell ref="P25:P26"/>
    <mergeCell ref="Q25:Q26"/>
    <mergeCell ref="R25:R26"/>
    <mergeCell ref="R33:R34"/>
    <mergeCell ref="O27:O28"/>
    <mergeCell ref="P27:P28"/>
    <mergeCell ref="Q27:Q28"/>
    <mergeCell ref="R27:R28"/>
    <mergeCell ref="O29:O30"/>
    <mergeCell ref="P29:P30"/>
    <mergeCell ref="Q29:Q30"/>
    <mergeCell ref="R29:R30"/>
    <mergeCell ref="B16:E16"/>
    <mergeCell ref="B14:E14"/>
    <mergeCell ref="B15:E15"/>
    <mergeCell ref="O35:O36"/>
    <mergeCell ref="P35:P36"/>
    <mergeCell ref="Q35:Q36"/>
    <mergeCell ref="R35:R36"/>
    <mergeCell ref="O31:O32"/>
    <mergeCell ref="P31:P32"/>
    <mergeCell ref="Q31:Q32"/>
    <mergeCell ref="R31:R32"/>
    <mergeCell ref="O33:O34"/>
    <mergeCell ref="P33:P34"/>
    <mergeCell ref="Q33:Q34"/>
    <mergeCell ref="B19:F19"/>
    <mergeCell ref="I57:I58"/>
    <mergeCell ref="I59:I60"/>
    <mergeCell ref="I49:I50"/>
    <mergeCell ref="I51:I52"/>
    <mergeCell ref="I61:I62"/>
    <mergeCell ref="I63:I64"/>
    <mergeCell ref="I65:I66"/>
    <mergeCell ref="I53:I54"/>
    <mergeCell ref="I55:I56"/>
  </mergeCells>
  <conditionalFormatting sqref="K39 Q39:Q47">
    <cfRule type="expression" dxfId="11" priority="1">
      <formula>"i140&gt;110%"</formula>
    </cfRule>
    <cfRule type="expression" dxfId="10" priority="2">
      <formula>"i140&lt;90%"</formula>
    </cfRule>
  </conditionalFormatting>
  <conditionalFormatting sqref="M39 O39:O47">
    <cfRule type="expression" dxfId="9" priority="3">
      <formula>"i140&gt;110%"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F9A0-E20C-4F84-991E-BF8F2AE5676A}">
  <dimension ref="A1:V80"/>
  <sheetViews>
    <sheetView workbookViewId="0">
      <selection activeCell="C24" sqref="C24"/>
    </sheetView>
  </sheetViews>
  <sheetFormatPr defaultColWidth="9.140625" defaultRowHeight="15" x14ac:dyDescent="0.25"/>
  <cols>
    <col min="1" max="1" width="5.7109375" style="16" customWidth="1"/>
    <col min="2" max="2" width="12.85546875" style="16" customWidth="1"/>
    <col min="3" max="3" width="26" style="16" bestFit="1" customWidth="1"/>
    <col min="4" max="4" width="18.140625" style="16" bestFit="1" customWidth="1"/>
    <col min="5" max="5" width="21.42578125" style="16" bestFit="1" customWidth="1"/>
    <col min="6" max="6" width="43.85546875" style="16" bestFit="1" customWidth="1"/>
    <col min="7" max="7" width="16.42578125" style="16" bestFit="1" customWidth="1"/>
    <col min="8" max="8" width="9.140625" style="16"/>
    <col min="9" max="9" width="27.85546875" style="16" bestFit="1" customWidth="1"/>
    <col min="10" max="10" width="27" style="16" bestFit="1" customWidth="1"/>
    <col min="11" max="11" width="14.7109375" style="16" bestFit="1" customWidth="1"/>
    <col min="12" max="12" width="16.42578125" style="16" customWidth="1"/>
    <col min="13" max="13" width="15.85546875" style="16" customWidth="1"/>
    <col min="14" max="14" width="17" style="16" customWidth="1"/>
    <col min="15" max="15" width="20.85546875" style="16" customWidth="1"/>
    <col min="16" max="16" width="17" style="16" bestFit="1" customWidth="1"/>
    <col min="17" max="17" width="18.42578125" style="16" bestFit="1" customWidth="1"/>
    <col min="18" max="18" width="17" style="16" bestFit="1" customWidth="1"/>
    <col min="19" max="19" width="16" style="16" bestFit="1" customWidth="1"/>
    <col min="20" max="20" width="19" style="16" customWidth="1"/>
    <col min="21" max="22" width="9.140625" style="16"/>
  </cols>
  <sheetData>
    <row r="1" spans="1:22" ht="15.75" thickBot="1" x14ac:dyDescent="0.3">
      <c r="C1" s="2" t="s">
        <v>180</v>
      </c>
      <c r="F1"/>
      <c r="I1" s="3" t="s">
        <v>1</v>
      </c>
      <c r="J1" s="3"/>
      <c r="K1" s="3"/>
      <c r="O1"/>
      <c r="P1"/>
      <c r="Q1"/>
      <c r="R1"/>
      <c r="S1"/>
      <c r="T1"/>
    </row>
    <row r="2" spans="1:22" ht="15" customHeight="1" thickBot="1" x14ac:dyDescent="0.3">
      <c r="F2"/>
      <c r="I2" s="3"/>
      <c r="J2" s="3"/>
      <c r="K2" s="3"/>
      <c r="L2"/>
      <c r="O2"/>
      <c r="P2"/>
      <c r="Q2"/>
      <c r="R2"/>
      <c r="S2"/>
      <c r="T2"/>
    </row>
    <row r="3" spans="1:22" ht="16.5" x14ac:dyDescent="0.25">
      <c r="C3" s="5" t="s">
        <v>181</v>
      </c>
      <c r="D3" s="6">
        <v>8.4000000000000005E-2</v>
      </c>
      <c r="E3" s="7"/>
      <c r="F3"/>
      <c r="I3" s="8" t="s">
        <v>3</v>
      </c>
      <c r="J3" s="8" t="s">
        <v>4</v>
      </c>
      <c r="K3" s="8" t="s">
        <v>84</v>
      </c>
      <c r="L3"/>
      <c r="O3"/>
      <c r="P3"/>
      <c r="Q3"/>
      <c r="R3"/>
      <c r="S3"/>
      <c r="T3"/>
    </row>
    <row r="4" spans="1:22" ht="18" customHeight="1" thickBot="1" x14ac:dyDescent="0.3">
      <c r="C4" s="9" t="s">
        <v>182</v>
      </c>
      <c r="D4" s="10">
        <v>1</v>
      </c>
      <c r="E4" s="4"/>
      <c r="F4"/>
      <c r="I4" s="11" t="s">
        <v>8</v>
      </c>
      <c r="J4" s="11" t="s">
        <v>9</v>
      </c>
      <c r="K4" s="12" t="s">
        <v>99</v>
      </c>
      <c r="L4"/>
      <c r="O4"/>
      <c r="P4"/>
      <c r="Q4"/>
      <c r="R4"/>
      <c r="S4"/>
      <c r="T4"/>
      <c r="U4" s="13"/>
      <c r="V4" s="13"/>
    </row>
    <row r="5" spans="1:22" x14ac:dyDescent="0.25">
      <c r="C5" s="14" t="s">
        <v>11</v>
      </c>
      <c r="D5" s="14" t="s">
        <v>85</v>
      </c>
      <c r="E5" s="14" t="s">
        <v>13</v>
      </c>
      <c r="F5"/>
      <c r="I5" s="16">
        <f>'[1]Data Processed'!A15</f>
        <v>18</v>
      </c>
      <c r="J5" s="16" t="str">
        <f>'[1]Data Processed'!B15</f>
        <v>1 Fe-10</v>
      </c>
      <c r="K5" s="16">
        <f>'[1]Data Processed'!D15</f>
        <v>3.1419874586208064E-3</v>
      </c>
      <c r="L5"/>
      <c r="O5"/>
      <c r="P5"/>
      <c r="Q5"/>
      <c r="R5"/>
      <c r="S5"/>
      <c r="T5"/>
      <c r="U5" s="13"/>
      <c r="V5" s="13"/>
    </row>
    <row r="6" spans="1:22" ht="14.45" customHeight="1" x14ac:dyDescent="0.25">
      <c r="A6" s="18" t="s">
        <v>35</v>
      </c>
      <c r="B6" s="33" t="s">
        <v>104</v>
      </c>
      <c r="C6" s="16" t="s">
        <v>105</v>
      </c>
      <c r="D6" s="15">
        <v>331.69761594409198</v>
      </c>
      <c r="E6" s="15">
        <v>13.847620022503715</v>
      </c>
      <c r="F6"/>
      <c r="G6" s="102">
        <f>IF(F6="PASS","",F6)</f>
        <v>0</v>
      </c>
      <c r="I6" s="16">
        <f>'[1]Data Processed'!A16</f>
        <v>19</v>
      </c>
      <c r="J6" s="16" t="str">
        <f>'[1]Data Processed'!B16</f>
        <v>2</v>
      </c>
      <c r="K6" s="16">
        <f>'[1]Data Processed'!D16</f>
        <v>3.4293207871643906E-3</v>
      </c>
      <c r="L6"/>
      <c r="Q6" s="19"/>
      <c r="R6" s="19"/>
      <c r="S6" s="19"/>
      <c r="T6" s="19"/>
      <c r="U6" s="19"/>
      <c r="V6" s="19"/>
    </row>
    <row r="7" spans="1:22" ht="15.75" thickBot="1" x14ac:dyDescent="0.3">
      <c r="A7" s="18" t="s">
        <v>35</v>
      </c>
      <c r="B7" s="33"/>
      <c r="C7" s="16" t="s">
        <v>106</v>
      </c>
      <c r="D7" s="15">
        <v>340.44185482828101</v>
      </c>
      <c r="E7" s="15">
        <v>40.686608527102152</v>
      </c>
      <c r="F7"/>
      <c r="G7" s="102">
        <f t="shared" ref="G7:G13" si="0">IF(F7="PASS","",F7)</f>
        <v>0</v>
      </c>
      <c r="I7" s="4">
        <f>'[1]Data Processed'!A17</f>
        <v>20</v>
      </c>
      <c r="J7" s="4" t="str">
        <f>'[1]Data Processed'!B17</f>
        <v>3</v>
      </c>
      <c r="K7" s="4">
        <f>'[1]Data Processed'!D17</f>
        <v>3.5595456074686794E-3</v>
      </c>
      <c r="L7"/>
      <c r="Q7" s="19"/>
      <c r="R7" s="19"/>
      <c r="S7" s="19"/>
      <c r="T7" s="19"/>
      <c r="U7" s="19"/>
      <c r="V7" s="19"/>
    </row>
    <row r="8" spans="1:22" x14ac:dyDescent="0.25">
      <c r="A8" s="18" t="s">
        <v>35</v>
      </c>
      <c r="B8" s="33"/>
      <c r="C8" s="16" t="s">
        <v>107</v>
      </c>
      <c r="D8" s="15">
        <v>355.603644265507</v>
      </c>
      <c r="E8" s="15">
        <v>7.8130328361534813</v>
      </c>
      <c r="F8"/>
      <c r="G8" s="102">
        <f t="shared" si="0"/>
        <v>0</v>
      </c>
      <c r="Q8" s="19"/>
      <c r="R8" s="19"/>
      <c r="S8" s="19"/>
      <c r="T8" s="19"/>
      <c r="U8" s="19"/>
      <c r="V8" s="19"/>
    </row>
    <row r="9" spans="1:22" x14ac:dyDescent="0.25">
      <c r="A9" s="18" t="s">
        <v>35</v>
      </c>
      <c r="B9" s="33"/>
      <c r="C9" s="16" t="s">
        <v>108</v>
      </c>
      <c r="D9" s="15">
        <v>11.698582614257999</v>
      </c>
      <c r="E9" s="15">
        <v>0.56973170720017896</v>
      </c>
      <c r="F9"/>
      <c r="G9" s="102">
        <f t="shared" si="0"/>
        <v>0</v>
      </c>
      <c r="I9" s="8" t="s">
        <v>15</v>
      </c>
      <c r="J9" s="8" t="s">
        <v>16</v>
      </c>
      <c r="K9" s="8" t="s">
        <v>17</v>
      </c>
      <c r="L9" s="8" t="s">
        <v>86</v>
      </c>
      <c r="M9" s="8" t="s">
        <v>87</v>
      </c>
      <c r="N9" s="8" t="s">
        <v>20</v>
      </c>
      <c r="O9"/>
      <c r="P9"/>
      <c r="Q9" s="19"/>
      <c r="R9" s="19"/>
      <c r="S9" s="19"/>
      <c r="T9" s="19"/>
      <c r="U9" s="19"/>
      <c r="V9" s="19"/>
    </row>
    <row r="10" spans="1:22" x14ac:dyDescent="0.25">
      <c r="A10" s="18" t="s">
        <v>35</v>
      </c>
      <c r="B10" s="33"/>
      <c r="C10" s="16" t="s">
        <v>109</v>
      </c>
      <c r="D10" s="15">
        <v>14.3075936202919</v>
      </c>
      <c r="E10" s="15">
        <v>1.7077061723932427</v>
      </c>
      <c r="F10"/>
      <c r="G10" s="102">
        <f t="shared" si="0"/>
        <v>0</v>
      </c>
      <c r="I10" s="11" t="s">
        <v>8</v>
      </c>
      <c r="J10" s="11" t="s">
        <v>9</v>
      </c>
      <c r="K10" s="11" t="s">
        <v>21</v>
      </c>
      <c r="L10" s="12" t="s">
        <v>99</v>
      </c>
      <c r="M10" s="12" t="s">
        <v>99</v>
      </c>
      <c r="N10" s="20" t="s">
        <v>22</v>
      </c>
      <c r="O10"/>
      <c r="P10"/>
      <c r="Q10" s="19"/>
      <c r="R10" s="19"/>
      <c r="S10" s="19"/>
      <c r="T10" s="19"/>
      <c r="U10" s="19"/>
      <c r="V10" s="19"/>
    </row>
    <row r="11" spans="1:22" x14ac:dyDescent="0.25">
      <c r="A11" s="18" t="s">
        <v>35</v>
      </c>
      <c r="B11" s="33"/>
      <c r="C11" s="16" t="s">
        <v>110</v>
      </c>
      <c r="D11" s="15">
        <v>11.476364789301501</v>
      </c>
      <c r="E11" s="15">
        <v>0.74128865956738099</v>
      </c>
      <c r="F11"/>
      <c r="G11" s="102">
        <f t="shared" si="0"/>
        <v>0</v>
      </c>
      <c r="I11" s="24">
        <f>'[1]Data Processed'!A18</f>
        <v>21</v>
      </c>
      <c r="J11" s="24" t="str">
        <f>'[1]Data Processed'!B18</f>
        <v>4</v>
      </c>
      <c r="K11" s="24">
        <f>'[1]Data Processed'!C18</f>
        <v>12500</v>
      </c>
      <c r="L11" s="24">
        <f>'[1]Data Processed'!D18</f>
        <v>1.6866668241981699</v>
      </c>
      <c r="M11" s="24">
        <f>K11*L11</f>
        <v>21083.335302477124</v>
      </c>
      <c r="N11" s="45">
        <f>M11/$C$22</f>
        <v>1.0541667651238562</v>
      </c>
      <c r="O11"/>
      <c r="P11"/>
      <c r="Q11" s="19"/>
      <c r="R11" s="19"/>
      <c r="S11" s="19"/>
      <c r="T11" s="19"/>
      <c r="U11" s="19"/>
    </row>
    <row r="12" spans="1:22" x14ac:dyDescent="0.25">
      <c r="A12" s="18" t="s">
        <v>35</v>
      </c>
      <c r="B12" s="33"/>
      <c r="C12" s="16" t="s">
        <v>111</v>
      </c>
      <c r="D12" s="15">
        <v>230.506449765349</v>
      </c>
      <c r="E12" s="15">
        <v>21.377785864356387</v>
      </c>
      <c r="F12"/>
      <c r="G12" s="102">
        <f t="shared" si="0"/>
        <v>0</v>
      </c>
      <c r="I12" s="57">
        <f>'[1]Data Processed'!A19</f>
        <v>22</v>
      </c>
      <c r="J12" s="57" t="str">
        <f>'[1]Data Processed'!B19</f>
        <v>5</v>
      </c>
      <c r="K12" s="57">
        <f>'[1]Data Processed'!C19</f>
        <v>12500</v>
      </c>
      <c r="L12" s="57">
        <f>'[1]Data Processed'!D19</f>
        <v>1.666055186779636</v>
      </c>
      <c r="M12" s="57">
        <f>K12*L12</f>
        <v>20825.689834745452</v>
      </c>
      <c r="N12" s="47">
        <f t="shared" ref="N12:N13" si="1">M12/$C$22</f>
        <v>1.0412844917372726</v>
      </c>
      <c r="O12"/>
      <c r="P12"/>
      <c r="Q12" s="19"/>
      <c r="R12" s="19"/>
      <c r="S12" s="19"/>
      <c r="T12" s="19"/>
      <c r="U12" s="19"/>
    </row>
    <row r="13" spans="1:22" ht="15.75" thickBot="1" x14ac:dyDescent="0.3">
      <c r="A13" s="18" t="s">
        <v>35</v>
      </c>
      <c r="B13" s="126"/>
      <c r="C13" s="20" t="s">
        <v>112</v>
      </c>
      <c r="D13" s="21">
        <v>12.8347119447627</v>
      </c>
      <c r="E13" s="21">
        <v>1.186057600765827</v>
      </c>
      <c r="F13"/>
      <c r="G13" s="102">
        <f t="shared" si="0"/>
        <v>0</v>
      </c>
      <c r="I13" s="4">
        <f>'[1]Data Processed'!A20</f>
        <v>23</v>
      </c>
      <c r="J13" s="4" t="str">
        <f>'[1]Data Processed'!B20</f>
        <v>6</v>
      </c>
      <c r="K13" s="4">
        <f>'[1]Data Processed'!C20</f>
        <v>12500</v>
      </c>
      <c r="L13" s="4">
        <f>'[1]Data Processed'!D20</f>
        <v>1.7030667616056454</v>
      </c>
      <c r="M13" s="72">
        <f>K13*L13</f>
        <v>21288.334520070566</v>
      </c>
      <c r="N13" s="49">
        <f t="shared" si="1"/>
        <v>1.0644167260035282</v>
      </c>
      <c r="O13"/>
      <c r="P13"/>
      <c r="Q13" s="19"/>
      <c r="R13" s="19"/>
      <c r="S13" s="19"/>
      <c r="T13" s="19"/>
      <c r="U13" s="19"/>
    </row>
    <row r="14" spans="1:22" x14ac:dyDescent="0.25">
      <c r="B14" s="103"/>
      <c r="D14" s="15"/>
      <c r="E14" s="15"/>
      <c r="F14" s="37"/>
      <c r="G14" s="102"/>
      <c r="I14" s="54"/>
      <c r="J14" s="54"/>
      <c r="K14" s="54"/>
      <c r="Q14" s="19"/>
      <c r="R14" s="19"/>
      <c r="S14" s="19"/>
      <c r="T14" s="19"/>
      <c r="U14" s="19"/>
    </row>
    <row r="15" spans="1:22" ht="30" x14ac:dyDescent="0.25">
      <c r="A15" s="18"/>
      <c r="B15" s="127"/>
      <c r="C15" s="52"/>
      <c r="G15" s="50"/>
      <c r="I15" s="8" t="s">
        <v>43</v>
      </c>
      <c r="J15" s="8" t="s">
        <v>16</v>
      </c>
      <c r="K15" s="8" t="s">
        <v>17</v>
      </c>
      <c r="L15" s="8" t="s">
        <v>86</v>
      </c>
      <c r="M15" s="8" t="s">
        <v>132</v>
      </c>
      <c r="N15" s="8" t="s">
        <v>44</v>
      </c>
      <c r="O15" s="8" t="s">
        <v>45</v>
      </c>
      <c r="P15" s="8" t="s">
        <v>98</v>
      </c>
      <c r="Q15" s="8" t="s">
        <v>84</v>
      </c>
      <c r="R15" s="56" t="s">
        <v>47</v>
      </c>
      <c r="S15"/>
      <c r="T15"/>
      <c r="U15" s="19"/>
    </row>
    <row r="16" spans="1:22" x14ac:dyDescent="0.25">
      <c r="A16" s="18"/>
      <c r="B16" s="127"/>
      <c r="C16" s="128" t="s">
        <v>133</v>
      </c>
      <c r="D16" s="128"/>
      <c r="E16" s="128"/>
      <c r="F16" s="128"/>
      <c r="G16" s="50"/>
      <c r="I16" s="11" t="s">
        <v>8</v>
      </c>
      <c r="J16" s="11" t="s">
        <v>9</v>
      </c>
      <c r="K16" s="11" t="s">
        <v>21</v>
      </c>
      <c r="L16" s="12" t="s">
        <v>99</v>
      </c>
      <c r="M16" s="12" t="s">
        <v>99</v>
      </c>
      <c r="N16" s="12" t="s">
        <v>48</v>
      </c>
      <c r="O16" s="12" t="s">
        <v>49</v>
      </c>
      <c r="P16" s="12" t="s">
        <v>113</v>
      </c>
      <c r="Q16" s="12" t="s">
        <v>114</v>
      </c>
      <c r="R16" s="43" t="s">
        <v>22</v>
      </c>
      <c r="S16"/>
      <c r="T16"/>
      <c r="U16" s="19"/>
    </row>
    <row r="17" spans="1:21" x14ac:dyDescent="0.25">
      <c r="A17" s="18"/>
      <c r="B17" s="127"/>
      <c r="C17" s="128" t="s">
        <v>183</v>
      </c>
      <c r="D17" s="128"/>
      <c r="E17" s="128"/>
      <c r="F17" s="128"/>
      <c r="G17" s="50"/>
      <c r="I17" s="24">
        <f>'[1]Data Processed'!A95</f>
        <v>98</v>
      </c>
      <c r="J17" s="24" t="str">
        <f>'[1]Data Processed'!B95</f>
        <v>63</v>
      </c>
      <c r="K17" s="24">
        <f>'[1]Data Processed'!C95</f>
        <v>12500</v>
      </c>
      <c r="L17" s="24">
        <f>'[1]Data Processed'!D95</f>
        <v>5.7196570852843811</v>
      </c>
      <c r="M17" s="24">
        <f>K17*L17</f>
        <v>71495.713566054765</v>
      </c>
      <c r="N17" s="7">
        <v>0.25679999999999997</v>
      </c>
      <c r="O17" s="58">
        <v>4.0000000000000001E-3</v>
      </c>
      <c r="P17" s="59">
        <f>M17*O17</f>
        <v>285.98285426421904</v>
      </c>
      <c r="Q17" s="59">
        <f>P17/N17</f>
        <v>1113.6403982251522</v>
      </c>
      <c r="R17" s="60">
        <f>Q17/$D$22</f>
        <v>0.85664646017319401</v>
      </c>
      <c r="S17"/>
      <c r="T17"/>
      <c r="U17" s="19"/>
    </row>
    <row r="18" spans="1:21" ht="15.75" thickBot="1" x14ac:dyDescent="0.3">
      <c r="A18" s="18"/>
      <c r="B18" s="103"/>
      <c r="C18" s="128"/>
      <c r="D18" s="128"/>
      <c r="E18" s="128"/>
      <c r="F18" s="128"/>
      <c r="G18" s="50"/>
      <c r="I18" s="57">
        <f>'[1]Data Processed'!A96</f>
        <v>99</v>
      </c>
      <c r="J18" s="57" t="str">
        <f>'[1]Data Processed'!B96</f>
        <v>64</v>
      </c>
      <c r="K18" s="57">
        <f>'[1]Data Processed'!C96</f>
        <v>12500</v>
      </c>
      <c r="L18" s="57">
        <f>'[1]Data Processed'!D96</f>
        <v>5.6502140360805404</v>
      </c>
      <c r="M18" s="57">
        <f>K18*L18</f>
        <v>70627.675451006755</v>
      </c>
      <c r="N18" s="16">
        <v>0.25309999999999999</v>
      </c>
      <c r="O18" s="15">
        <v>4.0000000000000001E-3</v>
      </c>
      <c r="P18" s="50">
        <f>M18*O18</f>
        <v>282.51070180402701</v>
      </c>
      <c r="Q18" s="50">
        <f>P18/N18</f>
        <v>1116.2019036113277</v>
      </c>
      <c r="R18" s="61">
        <f t="shared" ref="R18:R19" si="2">Q18/$D$22</f>
        <v>0.85861684893179058</v>
      </c>
      <c r="S18"/>
      <c r="T18"/>
    </row>
    <row r="19" spans="1:21" ht="15.75" thickBot="1" x14ac:dyDescent="0.3">
      <c r="A19" s="18"/>
      <c r="C19" s="166" t="s">
        <v>60</v>
      </c>
      <c r="D19" s="167"/>
      <c r="E19" s="167"/>
      <c r="F19" s="167"/>
      <c r="G19" s="168"/>
      <c r="I19" s="72">
        <f>'[1]Data Processed'!A97</f>
        <v>100</v>
      </c>
      <c r="J19" s="72" t="str">
        <f>'[1]Data Processed'!B97</f>
        <v>65</v>
      </c>
      <c r="K19" s="72">
        <f>'[1]Data Processed'!C97</f>
        <v>12500</v>
      </c>
      <c r="L19" s="72">
        <f>'[1]Data Processed'!D97</f>
        <v>5.7366943998629694</v>
      </c>
      <c r="M19" s="72">
        <f>K19*L19</f>
        <v>71708.679998287116</v>
      </c>
      <c r="N19" s="23">
        <v>0.25359999999999999</v>
      </c>
      <c r="O19" s="23">
        <v>4.0000000000000001E-3</v>
      </c>
      <c r="P19" s="62">
        <f>M19*O19</f>
        <v>286.8347199931485</v>
      </c>
      <c r="Q19" s="62">
        <f>P19/N19</f>
        <v>1131.0517349887559</v>
      </c>
      <c r="R19" s="63">
        <f t="shared" si="2"/>
        <v>0.87003979614519689</v>
      </c>
      <c r="S19"/>
      <c r="T19"/>
    </row>
    <row r="20" spans="1:21" ht="15.75" thickBot="1" x14ac:dyDescent="0.3">
      <c r="A20" s="18"/>
      <c r="C20" s="105" t="s">
        <v>15</v>
      </c>
      <c r="D20" s="106" t="s">
        <v>61</v>
      </c>
      <c r="E20" s="106" t="s">
        <v>62</v>
      </c>
      <c r="F20" s="106" t="s">
        <v>63</v>
      </c>
      <c r="G20" s="107" t="s">
        <v>28</v>
      </c>
      <c r="S20"/>
    </row>
    <row r="21" spans="1:21" x14ac:dyDescent="0.25">
      <c r="A21" s="18"/>
      <c r="C21" s="108" t="s">
        <v>99</v>
      </c>
      <c r="D21" s="109" t="s">
        <v>100</v>
      </c>
      <c r="E21" s="109" t="s">
        <v>100</v>
      </c>
      <c r="F21" s="109" t="s">
        <v>100</v>
      </c>
      <c r="G21" s="110" t="s">
        <v>99</v>
      </c>
      <c r="I21" s="8" t="s">
        <v>115</v>
      </c>
      <c r="J21" s="8" t="s">
        <v>16</v>
      </c>
      <c r="K21" s="8" t="s">
        <v>17</v>
      </c>
      <c r="L21" s="8" t="s">
        <v>86</v>
      </c>
      <c r="M21" s="8" t="s">
        <v>87</v>
      </c>
      <c r="N21" s="8" t="s">
        <v>116</v>
      </c>
      <c r="O21" s="8" t="s">
        <v>117</v>
      </c>
      <c r="P21" s="8" t="s">
        <v>118</v>
      </c>
      <c r="Q21" s="117" t="s">
        <v>119</v>
      </c>
      <c r="R21" s="117" t="s">
        <v>23</v>
      </c>
      <c r="S21"/>
      <c r="T21" s="118"/>
    </row>
    <row r="22" spans="1:21" x14ac:dyDescent="0.25">
      <c r="A22" s="18"/>
      <c r="B22" s="16" t="s">
        <v>65</v>
      </c>
      <c r="C22" s="111">
        <f>200000/(4/0.4)</f>
        <v>20000</v>
      </c>
      <c r="D22" s="112">
        <v>1300</v>
      </c>
      <c r="E22" s="112">
        <v>7</v>
      </c>
      <c r="F22" s="112">
        <v>640</v>
      </c>
      <c r="G22" s="113" t="s">
        <v>101</v>
      </c>
      <c r="I22" s="11" t="s">
        <v>8</v>
      </c>
      <c r="J22" s="11" t="s">
        <v>9</v>
      </c>
      <c r="K22" s="11" t="s">
        <v>21</v>
      </c>
      <c r="L22" s="12" t="s">
        <v>99</v>
      </c>
      <c r="M22" s="12" t="s">
        <v>99</v>
      </c>
      <c r="N22" s="12"/>
      <c r="O22" s="12"/>
      <c r="P22" s="12"/>
      <c r="Q22" s="12"/>
      <c r="R22" s="12"/>
      <c r="S22"/>
    </row>
    <row r="23" spans="1:21" ht="15.75" thickBot="1" x14ac:dyDescent="0.3">
      <c r="A23" s="18"/>
      <c r="B23" s="16" t="s">
        <v>66</v>
      </c>
      <c r="C23" s="211" t="s">
        <v>185</v>
      </c>
      <c r="D23" s="104">
        <v>1300</v>
      </c>
      <c r="E23" s="104">
        <v>7</v>
      </c>
      <c r="F23" s="104">
        <v>640</v>
      </c>
      <c r="G23" s="115" t="s">
        <v>101</v>
      </c>
      <c r="I23" s="16">
        <f>'[1]Data Processed'!A24</f>
        <v>27</v>
      </c>
      <c r="J23" s="16" t="str">
        <f>'[1]Data Processed'!B24</f>
        <v>10</v>
      </c>
      <c r="K23" s="16">
        <f>'[1]Data Processed'!C24</f>
        <v>12500</v>
      </c>
      <c r="L23" s="16">
        <f>'[1]Data Processed'!D24</f>
        <v>0.63082428594341666</v>
      </c>
      <c r="M23" s="16">
        <f>K23*L23</f>
        <v>7885.3035742927086</v>
      </c>
      <c r="N23" s="17" t="str">
        <f>'[1]Data Processed'!I24</f>
        <v xml:space="preserve"> </v>
      </c>
      <c r="O23" s="173">
        <f>M24/M23</f>
        <v>1.015932771134922</v>
      </c>
      <c r="P23" s="175" t="s">
        <v>120</v>
      </c>
      <c r="Q23" s="177" t="s">
        <v>121</v>
      </c>
      <c r="R23" s="179">
        <f>ABS(((M24-M23)/((M24+M23)/2))*100)</f>
        <v>1.5806847691604504</v>
      </c>
      <c r="S23"/>
    </row>
    <row r="24" spans="1:21" ht="15.75" thickBot="1" x14ac:dyDescent="0.3">
      <c r="A24" s="18"/>
      <c r="F24" s="116"/>
      <c r="G24" s="116"/>
      <c r="I24" s="20">
        <f>'[1]Data Processed'!A25</f>
        <v>28</v>
      </c>
      <c r="J24" s="20" t="str">
        <f>'[1]Data Processed'!B25</f>
        <v>10 Rep</v>
      </c>
      <c r="K24" s="20">
        <f>'[1]Data Processed'!C25</f>
        <v>12500</v>
      </c>
      <c r="L24" s="20">
        <f>'[1]Data Processed'!D25</f>
        <v>0.64087506491770374</v>
      </c>
      <c r="M24" s="20">
        <f t="shared" ref="M24:M36" si="3">K24*L24</f>
        <v>8010.9383114712964</v>
      </c>
      <c r="N24" s="22" t="str">
        <f>'[1]Data Processed'!I25</f>
        <v xml:space="preserve"> </v>
      </c>
      <c r="O24" s="181"/>
      <c r="P24" s="205"/>
      <c r="Q24" s="206"/>
      <c r="R24" s="185"/>
      <c r="S24"/>
    </row>
    <row r="25" spans="1:21" x14ac:dyDescent="0.25">
      <c r="A25" s="18"/>
      <c r="C25" s="208" t="s">
        <v>61</v>
      </c>
      <c r="D25" s="209"/>
      <c r="E25" s="209"/>
      <c r="F25" s="209"/>
      <c r="G25" s="210"/>
      <c r="I25" s="16">
        <f>'[1]Data Processed'!A37</f>
        <v>40</v>
      </c>
      <c r="J25" s="16" t="str">
        <f>'[1]Data Processed'!B37</f>
        <v>20</v>
      </c>
      <c r="K25" s="16">
        <f>'[1]Data Processed'!C37</f>
        <v>12500</v>
      </c>
      <c r="L25" s="16">
        <f>'[1]Data Processed'!D37</f>
        <v>0.50942174344022051</v>
      </c>
      <c r="M25" s="16">
        <f t="shared" si="3"/>
        <v>6367.7717930027566</v>
      </c>
      <c r="N25" s="17" t="str">
        <f>'[1]Data Processed'!I37</f>
        <v xml:space="preserve"> </v>
      </c>
      <c r="O25" s="173">
        <f>M26/M25</f>
        <v>0.97168910727723001</v>
      </c>
      <c r="P25" s="175" t="s">
        <v>120</v>
      </c>
      <c r="Q25" s="177" t="s">
        <v>121</v>
      </c>
      <c r="R25" s="179">
        <f>ABS(((M26-M25)/((M26+M25)/2))*100)</f>
        <v>2.8717400342963275</v>
      </c>
      <c r="S25"/>
    </row>
    <row r="26" spans="1:21" x14ac:dyDescent="0.25">
      <c r="A26" s="18"/>
      <c r="C26" s="129" t="s">
        <v>72</v>
      </c>
      <c r="D26" s="130" t="s">
        <v>73</v>
      </c>
      <c r="E26" s="130" t="s">
        <v>74</v>
      </c>
      <c r="F26" s="130"/>
      <c r="G26" s="131" t="s">
        <v>184</v>
      </c>
      <c r="I26" s="20">
        <f>'[1]Data Processed'!A38</f>
        <v>41</v>
      </c>
      <c r="J26" s="20" t="str">
        <f>'[1]Data Processed'!B38</f>
        <v>20 Rep</v>
      </c>
      <c r="K26" s="20">
        <f>'[1]Data Processed'!C38</f>
        <v>12500</v>
      </c>
      <c r="L26" s="20">
        <f>'[1]Data Processed'!D38</f>
        <v>0.49499955911103793</v>
      </c>
      <c r="M26" s="20">
        <f t="shared" si="3"/>
        <v>6187.4944888879745</v>
      </c>
      <c r="N26" s="22" t="str">
        <f>'[1]Data Processed'!I38</f>
        <v xml:space="preserve"> </v>
      </c>
      <c r="O26" s="181"/>
      <c r="P26" s="205"/>
      <c r="Q26" s="206"/>
      <c r="R26" s="185"/>
      <c r="S26"/>
    </row>
    <row r="27" spans="1:21" ht="30" x14ac:dyDescent="0.25">
      <c r="C27" s="105" t="s">
        <v>76</v>
      </c>
      <c r="D27" s="132">
        <v>0.41</v>
      </c>
      <c r="E27" s="103" t="s">
        <v>141</v>
      </c>
      <c r="F27" s="103"/>
      <c r="G27" s="133" t="s">
        <v>77</v>
      </c>
      <c r="I27" s="16">
        <f>'[1]Data Processed'!A50</f>
        <v>53</v>
      </c>
      <c r="J27" s="16" t="str">
        <f>'[1]Data Processed'!B50</f>
        <v>30</v>
      </c>
      <c r="K27" s="16">
        <f>'[1]Data Processed'!C50</f>
        <v>12500</v>
      </c>
      <c r="L27" s="16">
        <f>'[1]Data Processed'!D50</f>
        <v>5.4058492959837542E-2</v>
      </c>
      <c r="M27" s="16">
        <f t="shared" si="3"/>
        <v>675.73116199796925</v>
      </c>
      <c r="N27" s="17" t="str">
        <f>'[1]Data Processed'!I50</f>
        <v xml:space="preserve"> </v>
      </c>
      <c r="O27" s="173">
        <f>M28/M27</f>
        <v>1.0075687952149408</v>
      </c>
      <c r="P27" s="175" t="s">
        <v>120</v>
      </c>
      <c r="Q27" s="177" t="s">
        <v>121</v>
      </c>
      <c r="R27" s="179">
        <f>ABS(((M28-M27)/((M28+M27)/2))*100)</f>
        <v>0.75402598735156989</v>
      </c>
      <c r="S27"/>
    </row>
    <row r="28" spans="1:21" ht="15.75" thickBot="1" x14ac:dyDescent="0.3">
      <c r="C28" s="134" t="s">
        <v>79</v>
      </c>
      <c r="D28" s="63">
        <v>0.67500000000000004</v>
      </c>
      <c r="E28" s="104" t="s">
        <v>142</v>
      </c>
      <c r="F28" s="104"/>
      <c r="G28" s="135"/>
      <c r="I28" s="20">
        <f>'[1]Data Processed'!A51</f>
        <v>54</v>
      </c>
      <c r="J28" s="20" t="str">
        <f>'[1]Data Processed'!B51</f>
        <v>30 Rep</v>
      </c>
      <c r="K28" s="20">
        <f>'[1]Data Processed'!C51</f>
        <v>12500</v>
      </c>
      <c r="L28" s="20">
        <f>'[1]Data Processed'!D51</f>
        <v>5.4467650622678866E-2</v>
      </c>
      <c r="M28" s="20">
        <f t="shared" si="3"/>
        <v>680.84563278348583</v>
      </c>
      <c r="N28" s="22" t="str">
        <f>'[1]Data Processed'!I51</f>
        <v>MDL</v>
      </c>
      <c r="O28" s="181"/>
      <c r="P28" s="205"/>
      <c r="Q28" s="206"/>
      <c r="R28" s="185"/>
      <c r="S28"/>
    </row>
    <row r="29" spans="1:21" x14ac:dyDescent="0.25">
      <c r="F29" s="116"/>
      <c r="G29" s="116"/>
      <c r="I29" s="16">
        <f>'[1]Data Processed'!A63</f>
        <v>66</v>
      </c>
      <c r="J29" s="16" t="str">
        <f>'[1]Data Processed'!B63</f>
        <v>40</v>
      </c>
      <c r="K29" s="16">
        <f>'[1]Data Processed'!C63</f>
        <v>12500</v>
      </c>
      <c r="L29" s="16">
        <f>'[1]Data Processed'!D63</f>
        <v>4.2928414934978176E-2</v>
      </c>
      <c r="M29" s="16">
        <f t="shared" si="3"/>
        <v>536.60518668722716</v>
      </c>
      <c r="N29" s="17" t="str">
        <f>'[1]Data Processed'!I63</f>
        <v>LLOQ</v>
      </c>
      <c r="O29" s="173">
        <f>M30/M29</f>
        <v>0.97756952371321637</v>
      </c>
      <c r="P29" s="175" t="s">
        <v>120</v>
      </c>
      <c r="Q29" s="177" t="s">
        <v>121</v>
      </c>
      <c r="R29" s="179">
        <f>ABS(((M30-M29)/((M30+M29)/2))*100)</f>
        <v>2.2684892761359565</v>
      </c>
      <c r="S29"/>
    </row>
    <row r="30" spans="1:21" x14ac:dyDescent="0.25">
      <c r="I30" s="20">
        <f>'[1]Data Processed'!A64</f>
        <v>67</v>
      </c>
      <c r="J30" s="20" t="str">
        <f>'[1]Data Processed'!B64</f>
        <v>40 Rep</v>
      </c>
      <c r="K30" s="20">
        <f>'[1]Data Processed'!C64</f>
        <v>12500</v>
      </c>
      <c r="L30" s="20">
        <f>'[1]Data Processed'!D64</f>
        <v>4.1965510141749936E-2</v>
      </c>
      <c r="M30" s="20">
        <f t="shared" si="3"/>
        <v>524.56887677187422</v>
      </c>
      <c r="N30" s="22" t="str">
        <f>'[1]Data Processed'!I64</f>
        <v>MDL</v>
      </c>
      <c r="O30" s="181"/>
      <c r="P30" s="205"/>
      <c r="Q30" s="206"/>
      <c r="R30" s="185"/>
      <c r="S30"/>
    </row>
    <row r="31" spans="1:21" x14ac:dyDescent="0.25">
      <c r="I31" s="16">
        <f>'[1]Data Processed'!A76</f>
        <v>79</v>
      </c>
      <c r="J31" s="16" t="str">
        <f>'[1]Data Processed'!B76</f>
        <v>50</v>
      </c>
      <c r="K31" s="16">
        <f>'[1]Data Processed'!C76</f>
        <v>12500</v>
      </c>
      <c r="L31" s="16">
        <f>'[1]Data Processed'!D76</f>
        <v>3.4580539715998677E-2</v>
      </c>
      <c r="M31" s="16">
        <f t="shared" si="3"/>
        <v>432.2567464499835</v>
      </c>
      <c r="N31" s="17" t="str">
        <f>'[1]Data Processed'!I76</f>
        <v xml:space="preserve"> </v>
      </c>
      <c r="O31" s="173">
        <f>M32/M31</f>
        <v>0.98169214728900656</v>
      </c>
      <c r="P31" s="175" t="s">
        <v>120</v>
      </c>
      <c r="Q31" s="177" t="s">
        <v>121</v>
      </c>
      <c r="R31" s="179">
        <f>ABS(((M32-M31)/((M32+M31)/2))*100)</f>
        <v>1.8476989714107617</v>
      </c>
      <c r="S31"/>
    </row>
    <row r="32" spans="1:21" x14ac:dyDescent="0.25">
      <c r="I32" s="20">
        <f>'[1]Data Processed'!A77</f>
        <v>80</v>
      </c>
      <c r="J32" s="20" t="str">
        <f>'[1]Data Processed'!B77</f>
        <v>50 Rep</v>
      </c>
      <c r="K32" s="20">
        <f>'[1]Data Processed'!C77</f>
        <v>12500</v>
      </c>
      <c r="L32" s="20">
        <f>'[1]Data Processed'!D77</f>
        <v>3.3947444288211517E-2</v>
      </c>
      <c r="M32" s="20">
        <f t="shared" si="3"/>
        <v>424.34305360264398</v>
      </c>
      <c r="N32" s="22" t="str">
        <f>'[1]Data Processed'!I77</f>
        <v>MDL</v>
      </c>
      <c r="O32" s="181"/>
      <c r="P32" s="205"/>
      <c r="Q32" s="206"/>
      <c r="R32" s="185"/>
      <c r="S32"/>
    </row>
    <row r="33" spans="3:19" x14ac:dyDescent="0.25">
      <c r="I33" s="16">
        <f>'[1]Data Processed'!A89</f>
        <v>92</v>
      </c>
      <c r="J33" s="16" t="str">
        <f>'[1]Data Processed'!B89</f>
        <v>60</v>
      </c>
      <c r="K33" s="16">
        <f>'[1]Data Processed'!C89</f>
        <v>12500</v>
      </c>
      <c r="L33" s="16">
        <f>'[1]Data Processed'!D89</f>
        <v>1.1622306128323125</v>
      </c>
      <c r="M33" s="16">
        <f t="shared" si="3"/>
        <v>14527.882660403908</v>
      </c>
      <c r="N33" s="17" t="str">
        <f>'[1]Data Processed'!I89</f>
        <v xml:space="preserve"> </v>
      </c>
      <c r="O33" s="173">
        <f>M34/M33</f>
        <v>1.0306643957259183</v>
      </c>
      <c r="P33" s="175" t="s">
        <v>120</v>
      </c>
      <c r="Q33" s="177" t="s">
        <v>121</v>
      </c>
      <c r="R33" s="179">
        <f>ABS(((M34-M33)/((M34+M33)/2))*100)</f>
        <v>3.0201342762949714</v>
      </c>
      <c r="S33"/>
    </row>
    <row r="34" spans="3:19" x14ac:dyDescent="0.25">
      <c r="C34" s="99"/>
      <c r="I34" s="20">
        <f>'[1]Data Processed'!A90</f>
        <v>93</v>
      </c>
      <c r="J34" s="20" t="str">
        <f>'[1]Data Processed'!B90</f>
        <v>60 Rep</v>
      </c>
      <c r="K34" s="20">
        <f>'[1]Data Processed'!C90</f>
        <v>12500</v>
      </c>
      <c r="L34" s="20">
        <f>'[1]Data Processed'!D90</f>
        <v>1.1978697122689792</v>
      </c>
      <c r="M34" s="20">
        <f t="shared" si="3"/>
        <v>14973.37140336224</v>
      </c>
      <c r="N34" s="22" t="str">
        <f>'[1]Data Processed'!I90</f>
        <v xml:space="preserve"> </v>
      </c>
      <c r="O34" s="181"/>
      <c r="P34" s="205"/>
      <c r="Q34" s="206"/>
      <c r="R34" s="185"/>
      <c r="S34"/>
    </row>
    <row r="35" spans="3:19" x14ac:dyDescent="0.25">
      <c r="C35" s="99"/>
      <c r="I35" s="7">
        <f>'[1]Data Processed'!A97</f>
        <v>100</v>
      </c>
      <c r="J35" s="7" t="str">
        <f>'[1]Data Processed'!B97</f>
        <v>65</v>
      </c>
      <c r="K35" s="7">
        <f>'[1]Data Processed'!C97</f>
        <v>12500</v>
      </c>
      <c r="L35" s="7">
        <f>'[1]Data Processed'!D97</f>
        <v>5.7366943998629694</v>
      </c>
      <c r="M35" s="7">
        <f t="shared" si="3"/>
        <v>71708.679998287116</v>
      </c>
      <c r="N35" s="28" t="str">
        <f>'[1]Data Processed'!I97</f>
        <v xml:space="preserve"> </v>
      </c>
      <c r="O35" s="173">
        <f>M36/M35</f>
        <v>0.98660586361559732</v>
      </c>
      <c r="P35" s="175" t="s">
        <v>120</v>
      </c>
      <c r="Q35" s="177" t="s">
        <v>121</v>
      </c>
      <c r="R35" s="179">
        <f>ABS(((M36-M35)/((M36+M35)/2))*100)</f>
        <v>1.3484442616136791</v>
      </c>
      <c r="S35"/>
    </row>
    <row r="36" spans="3:19" ht="15.75" thickBot="1" x14ac:dyDescent="0.3">
      <c r="C36" s="116"/>
      <c r="D36" s="116"/>
      <c r="E36" s="116"/>
      <c r="F36" s="116"/>
      <c r="G36" s="116"/>
      <c r="I36" s="4">
        <f>'[1]Data Processed'!A98</f>
        <v>101</v>
      </c>
      <c r="J36" s="4" t="str">
        <f>'[1]Data Processed'!B98</f>
        <v>65 Rep</v>
      </c>
      <c r="K36" s="4">
        <f>'[1]Data Processed'!C98</f>
        <v>12500</v>
      </c>
      <c r="L36" s="4">
        <f>'[1]Data Processed'!D98</f>
        <v>5.6598563326755658</v>
      </c>
      <c r="M36" s="4">
        <f t="shared" si="3"/>
        <v>70748.204158444569</v>
      </c>
      <c r="N36" s="36" t="str">
        <f>'[1]Data Processed'!I98</f>
        <v xml:space="preserve"> </v>
      </c>
      <c r="O36" s="174"/>
      <c r="P36" s="204"/>
      <c r="Q36" s="207"/>
      <c r="R36" s="178"/>
      <c r="S36"/>
    </row>
    <row r="37" spans="3:19" x14ac:dyDescent="0.25">
      <c r="C37" s="116"/>
      <c r="D37" s="116"/>
      <c r="E37" s="116"/>
      <c r="F37" s="116"/>
      <c r="G37" s="116"/>
      <c r="S37"/>
    </row>
    <row r="38" spans="3:19" ht="15.75" thickBot="1" x14ac:dyDescent="0.3">
      <c r="C38" s="116"/>
      <c r="D38" s="116"/>
      <c r="E38" s="116"/>
      <c r="F38" s="116"/>
      <c r="G38" s="116"/>
      <c r="I38" s="64" t="s">
        <v>53</v>
      </c>
      <c r="J38" s="64" t="s">
        <v>54</v>
      </c>
      <c r="K38" s="65" t="s">
        <v>6</v>
      </c>
      <c r="L38" s="64" t="s">
        <v>55</v>
      </c>
      <c r="M38" s="65" t="s">
        <v>6</v>
      </c>
      <c r="N38" s="64" t="s">
        <v>56</v>
      </c>
      <c r="O38" s="65" t="s">
        <v>6</v>
      </c>
      <c r="P38" s="64" t="s">
        <v>57</v>
      </c>
      <c r="Q38" s="65" t="s">
        <v>6</v>
      </c>
    </row>
    <row r="39" spans="3:19" x14ac:dyDescent="0.25">
      <c r="C39" s="116"/>
      <c r="D39" s="116"/>
      <c r="E39" s="116"/>
      <c r="F39" s="116"/>
      <c r="G39" s="116"/>
      <c r="I39" s="66">
        <v>1</v>
      </c>
      <c r="J39" s="67">
        <f>K49/10</f>
        <v>1.0239899568421058</v>
      </c>
      <c r="K39" s="68" t="str">
        <f>IF(J39&lt;90%,"ICV", (IF(J39&gt;110%,"ICV", " ")))</f>
        <v xml:space="preserve"> </v>
      </c>
      <c r="L39" s="69">
        <f>K50</f>
        <v>7.2895171260232523E-3</v>
      </c>
      <c r="M39" s="68" t="str">
        <f>IF((ABS(L39)&gt;0.5),"ICB"," ")</f>
        <v xml:space="preserve"> </v>
      </c>
      <c r="N39" s="70">
        <f>K51/10</f>
        <v>1.0303909854598765</v>
      </c>
      <c r="O39" s="68" t="str">
        <f t="shared" ref="O39:O45" si="4">IF(N39&lt;90%,"CCV", (IF(N39&gt;110%,"CCV", " ")))</f>
        <v xml:space="preserve"> </v>
      </c>
      <c r="P39" s="71">
        <f>K52</f>
        <v>7.032651356377497E-3</v>
      </c>
      <c r="Q39" s="68" t="str">
        <f t="shared" ref="Q39:Q45" si="5">IF((ABS(P39)&gt;0.5),"CCB"," ")</f>
        <v xml:space="preserve"> </v>
      </c>
    </row>
    <row r="40" spans="3:19" x14ac:dyDescent="0.25">
      <c r="C40" s="116"/>
      <c r="D40" s="116"/>
      <c r="E40" s="116"/>
      <c r="F40" s="116"/>
      <c r="G40" s="116"/>
      <c r="I40" s="66">
        <v>2</v>
      </c>
      <c r="J40" s="70"/>
      <c r="K40" s="70"/>
      <c r="L40" s="69"/>
      <c r="M40" s="70"/>
      <c r="N40" s="70">
        <f>K53/10</f>
        <v>1.0253508390307426</v>
      </c>
      <c r="O40" s="68" t="str">
        <f t="shared" si="4"/>
        <v xml:space="preserve"> </v>
      </c>
      <c r="P40" s="71">
        <f>K54</f>
        <v>5.372841953937238E-3</v>
      </c>
      <c r="Q40" s="68" t="str">
        <f t="shared" si="5"/>
        <v xml:space="preserve"> </v>
      </c>
    </row>
    <row r="41" spans="3:19" x14ac:dyDescent="0.25">
      <c r="C41" s="116"/>
      <c r="D41" s="116"/>
      <c r="E41" s="116"/>
      <c r="F41" s="116"/>
      <c r="G41" s="116"/>
      <c r="I41" s="66">
        <v>3</v>
      </c>
      <c r="J41" s="70"/>
      <c r="K41" s="70"/>
      <c r="L41" s="69"/>
      <c r="M41" s="70"/>
      <c r="N41" s="70">
        <f>K55/10</f>
        <v>1.0286729048320573</v>
      </c>
      <c r="O41" s="68" t="str">
        <f t="shared" si="4"/>
        <v xml:space="preserve"> </v>
      </c>
      <c r="P41" s="71">
        <f>K56</f>
        <v>6.9303184195382127E-3</v>
      </c>
      <c r="Q41" s="68" t="str">
        <f t="shared" si="5"/>
        <v xml:space="preserve"> </v>
      </c>
    </row>
    <row r="42" spans="3:19" x14ac:dyDescent="0.25">
      <c r="C42" s="116"/>
      <c r="D42" s="116"/>
      <c r="E42" s="116"/>
      <c r="F42" s="116"/>
      <c r="G42" s="116"/>
      <c r="I42" s="16">
        <v>4</v>
      </c>
      <c r="N42" s="70">
        <f>K57/10</f>
        <v>1.0205100611527</v>
      </c>
      <c r="O42" s="68" t="str">
        <f t="shared" si="4"/>
        <v xml:space="preserve"> </v>
      </c>
      <c r="P42" s="71">
        <f>K58</f>
        <v>8.1384058219255186E-3</v>
      </c>
      <c r="Q42" s="68" t="str">
        <f t="shared" si="5"/>
        <v xml:space="preserve"> </v>
      </c>
    </row>
    <row r="43" spans="3:19" x14ac:dyDescent="0.25">
      <c r="C43" s="116"/>
      <c r="D43" s="116"/>
      <c r="E43" s="116"/>
      <c r="F43" s="116"/>
      <c r="G43" s="116"/>
      <c r="I43" s="66">
        <v>5</v>
      </c>
      <c r="N43" s="70">
        <f>K59/10</f>
        <v>1.0301638202294183</v>
      </c>
      <c r="O43" s="68" t="str">
        <f t="shared" si="4"/>
        <v xml:space="preserve"> </v>
      </c>
      <c r="P43" s="71">
        <f>K60</f>
        <v>6.1748904946714121E-3</v>
      </c>
      <c r="Q43" s="68" t="str">
        <f t="shared" si="5"/>
        <v xml:space="preserve"> </v>
      </c>
    </row>
    <row r="44" spans="3:19" x14ac:dyDescent="0.25">
      <c r="C44" s="116"/>
      <c r="D44" s="116"/>
      <c r="E44" s="116"/>
      <c r="F44" s="116"/>
      <c r="G44" s="116"/>
      <c r="I44" s="16">
        <v>6</v>
      </c>
      <c r="N44" s="70">
        <f>K61/10</f>
        <v>1.0279250738739376</v>
      </c>
      <c r="O44" s="68" t="str">
        <f t="shared" si="4"/>
        <v xml:space="preserve"> </v>
      </c>
      <c r="P44" s="71">
        <f>K62</f>
        <v>1.0210609059441465E-2</v>
      </c>
      <c r="Q44" s="68" t="str">
        <f t="shared" si="5"/>
        <v xml:space="preserve"> </v>
      </c>
    </row>
    <row r="45" spans="3:19" x14ac:dyDescent="0.25">
      <c r="C45" s="116"/>
      <c r="D45" s="116"/>
      <c r="E45" s="116"/>
      <c r="F45" s="116"/>
      <c r="G45" s="116"/>
      <c r="I45" s="66">
        <v>7</v>
      </c>
      <c r="N45" s="70">
        <f>K63/10</f>
        <v>1.0146336501272224</v>
      </c>
      <c r="O45" s="68" t="str">
        <f t="shared" si="4"/>
        <v xml:space="preserve"> </v>
      </c>
      <c r="P45" s="71">
        <f>K64</f>
        <v>1.1707586590092975E-2</v>
      </c>
      <c r="Q45" s="68" t="str">
        <f t="shared" si="5"/>
        <v xml:space="preserve"> </v>
      </c>
    </row>
    <row r="46" spans="3:19" x14ac:dyDescent="0.25">
      <c r="I46" s="16">
        <v>8</v>
      </c>
      <c r="N46" s="70">
        <f>K65/10</f>
        <v>0</v>
      </c>
      <c r="O46" s="68"/>
      <c r="P46" s="71">
        <f>K66</f>
        <v>0</v>
      </c>
      <c r="Q46" s="68"/>
    </row>
    <row r="47" spans="3:19" x14ac:dyDescent="0.25">
      <c r="N47" s="70"/>
      <c r="O47" s="68"/>
      <c r="P47" s="71"/>
      <c r="Q47" s="68"/>
    </row>
    <row r="48" spans="3:19" ht="15.75" thickBot="1" x14ac:dyDescent="0.3">
      <c r="I48" s="64" t="s">
        <v>53</v>
      </c>
      <c r="J48" s="64" t="s">
        <v>67</v>
      </c>
      <c r="K48" s="64" t="s">
        <v>134</v>
      </c>
      <c r="N48" s="14" t="s">
        <v>69</v>
      </c>
      <c r="O48" s="14" t="s">
        <v>103</v>
      </c>
    </row>
    <row r="49" spans="9:15" x14ac:dyDescent="0.25">
      <c r="I49" s="85">
        <v>1</v>
      </c>
      <c r="J49" s="86" t="s">
        <v>52</v>
      </c>
      <c r="K49" s="87">
        <v>10.239899568421057</v>
      </c>
      <c r="N49" s="88" t="s">
        <v>75</v>
      </c>
      <c r="O49" s="89" t="s">
        <v>135</v>
      </c>
    </row>
    <row r="50" spans="9:15" x14ac:dyDescent="0.25">
      <c r="I50" s="91"/>
      <c r="J50" s="41" t="s">
        <v>55</v>
      </c>
      <c r="K50" s="92">
        <v>7.2895171260232523E-3</v>
      </c>
      <c r="N50" s="88" t="s">
        <v>78</v>
      </c>
      <c r="O50" s="89" t="s">
        <v>136</v>
      </c>
    </row>
    <row r="51" spans="9:15" x14ac:dyDescent="0.25">
      <c r="I51" s="94">
        <v>1</v>
      </c>
      <c r="J51" s="57" t="s">
        <v>58</v>
      </c>
      <c r="K51" s="31">
        <v>10.303909854598766</v>
      </c>
      <c r="N51" s="88" t="s">
        <v>80</v>
      </c>
      <c r="O51" s="89" t="s">
        <v>137</v>
      </c>
    </row>
    <row r="52" spans="9:15" x14ac:dyDescent="0.25">
      <c r="I52" s="95"/>
      <c r="J52" s="57" t="s">
        <v>59</v>
      </c>
      <c r="K52" s="31">
        <v>7.032651356377497E-3</v>
      </c>
      <c r="N52" s="88" t="s">
        <v>81</v>
      </c>
      <c r="O52" s="89" t="s">
        <v>138</v>
      </c>
    </row>
    <row r="53" spans="9:15" x14ac:dyDescent="0.25">
      <c r="I53" s="95">
        <v>2</v>
      </c>
      <c r="J53" s="57" t="s">
        <v>58</v>
      </c>
      <c r="K53" s="31">
        <v>10.253508390307427</v>
      </c>
      <c r="N53" s="88" t="s">
        <v>82</v>
      </c>
      <c r="O53" s="89" t="s">
        <v>139</v>
      </c>
    </row>
    <row r="54" spans="9:15" x14ac:dyDescent="0.25">
      <c r="I54" s="95"/>
      <c r="J54" s="57" t="s">
        <v>59</v>
      </c>
      <c r="K54" s="31">
        <v>5.372841953937238E-3</v>
      </c>
      <c r="N54" s="88" t="s">
        <v>83</v>
      </c>
      <c r="O54" s="89" t="s">
        <v>140</v>
      </c>
    </row>
    <row r="55" spans="9:15" x14ac:dyDescent="0.25">
      <c r="I55" s="95">
        <v>3</v>
      </c>
      <c r="J55" s="57" t="s">
        <v>58</v>
      </c>
      <c r="K55" s="31">
        <v>10.286729048320574</v>
      </c>
      <c r="N55" s="98"/>
      <c r="O55" s="98"/>
    </row>
    <row r="56" spans="9:15" x14ac:dyDescent="0.25">
      <c r="I56" s="95"/>
      <c r="J56" s="57" t="s">
        <v>59</v>
      </c>
      <c r="K56" s="31">
        <v>6.9303184195382127E-3</v>
      </c>
      <c r="M56" s="99"/>
      <c r="N56" s="99"/>
      <c r="O56" s="99"/>
    </row>
    <row r="57" spans="9:15" x14ac:dyDescent="0.25">
      <c r="I57" s="95">
        <v>4</v>
      </c>
      <c r="J57" s="57" t="s">
        <v>58</v>
      </c>
      <c r="K57" s="31">
        <v>10.205100611527001</v>
      </c>
      <c r="M57" s="99"/>
      <c r="N57" s="99"/>
      <c r="O57" s="99"/>
    </row>
    <row r="58" spans="9:15" x14ac:dyDescent="0.25">
      <c r="I58" s="95"/>
      <c r="J58" s="57" t="s">
        <v>59</v>
      </c>
      <c r="K58" s="31">
        <v>8.1384058219255186E-3</v>
      </c>
      <c r="M58" s="99"/>
      <c r="N58" s="99"/>
      <c r="O58" s="99"/>
    </row>
    <row r="59" spans="9:15" x14ac:dyDescent="0.25">
      <c r="I59" s="95">
        <v>5</v>
      </c>
      <c r="J59" s="57" t="s">
        <v>58</v>
      </c>
      <c r="K59" s="31">
        <v>10.301638202294184</v>
      </c>
      <c r="M59" s="99"/>
      <c r="N59" s="99"/>
      <c r="O59" s="99"/>
    </row>
    <row r="60" spans="9:15" x14ac:dyDescent="0.25">
      <c r="I60" s="95"/>
      <c r="J60" s="57" t="s">
        <v>59</v>
      </c>
      <c r="K60" s="31">
        <v>6.1748904946714121E-3</v>
      </c>
      <c r="M60" s="99"/>
      <c r="N60" s="99"/>
      <c r="O60" s="99"/>
    </row>
    <row r="61" spans="9:15" x14ac:dyDescent="0.25">
      <c r="I61" s="95">
        <v>6</v>
      </c>
      <c r="J61" s="57" t="s">
        <v>58</v>
      </c>
      <c r="K61" s="31">
        <v>10.279250738739377</v>
      </c>
      <c r="M61" s="99"/>
      <c r="N61" s="99"/>
      <c r="O61" s="99"/>
    </row>
    <row r="62" spans="9:15" x14ac:dyDescent="0.25">
      <c r="I62" s="95"/>
      <c r="J62" s="57" t="s">
        <v>59</v>
      </c>
      <c r="K62" s="31">
        <v>1.0210609059441465E-2</v>
      </c>
      <c r="M62" s="99"/>
      <c r="N62" s="99"/>
      <c r="O62" s="99"/>
    </row>
    <row r="63" spans="9:15" ht="14.45" customHeight="1" x14ac:dyDescent="0.25">
      <c r="I63" s="95">
        <v>7</v>
      </c>
      <c r="J63" s="57" t="s">
        <v>58</v>
      </c>
      <c r="K63" s="31">
        <v>10.146336501272224</v>
      </c>
      <c r="M63" s="99"/>
      <c r="N63" s="99"/>
      <c r="O63" s="99"/>
    </row>
    <row r="64" spans="9:15" x14ac:dyDescent="0.25">
      <c r="I64" s="95"/>
      <c r="J64" s="57" t="s">
        <v>59</v>
      </c>
      <c r="K64" s="31">
        <v>1.1707586590092975E-2</v>
      </c>
      <c r="M64" s="99"/>
      <c r="N64" s="99"/>
      <c r="O64" s="99"/>
    </row>
    <row r="65" spans="4:15" x14ac:dyDescent="0.25">
      <c r="I65" s="95"/>
      <c r="J65" s="57"/>
      <c r="K65" s="101"/>
      <c r="M65" s="99"/>
      <c r="N65" s="99"/>
      <c r="O65" s="99"/>
    </row>
    <row r="66" spans="4:15" x14ac:dyDescent="0.25">
      <c r="I66" s="95"/>
      <c r="J66" s="57"/>
      <c r="K66" s="101"/>
      <c r="M66" s="99"/>
      <c r="N66" s="99"/>
      <c r="O66" s="99"/>
    </row>
    <row r="67" spans="4:15" x14ac:dyDescent="0.25">
      <c r="D67" s="116"/>
      <c r="E67" s="116"/>
      <c r="J67" s="101"/>
      <c r="M67" s="99"/>
      <c r="N67" s="99"/>
      <c r="O67" s="99"/>
    </row>
    <row r="68" spans="4:15" x14ac:dyDescent="0.25">
      <c r="D68" s="116"/>
      <c r="E68" s="116"/>
      <c r="J68" s="101"/>
      <c r="M68" s="99"/>
      <c r="N68" s="99"/>
      <c r="O68" s="99"/>
    </row>
    <row r="69" spans="4:15" x14ac:dyDescent="0.25">
      <c r="D69" s="116"/>
      <c r="E69" s="116"/>
      <c r="J69" s="101"/>
      <c r="M69" s="99"/>
      <c r="N69" s="99"/>
      <c r="O69" s="99"/>
    </row>
    <row r="70" spans="4:15" x14ac:dyDescent="0.25">
      <c r="D70" s="116"/>
      <c r="E70" s="116"/>
      <c r="J70" s="101"/>
      <c r="M70" s="99"/>
      <c r="N70" s="99"/>
      <c r="O70" s="99"/>
    </row>
    <row r="71" spans="4:15" x14ac:dyDescent="0.25">
      <c r="D71" s="116"/>
      <c r="E71" s="116"/>
      <c r="J71" s="101"/>
      <c r="M71" s="99"/>
      <c r="N71" s="99"/>
      <c r="O71" s="99"/>
    </row>
    <row r="72" spans="4:15" x14ac:dyDescent="0.25">
      <c r="D72" s="116"/>
      <c r="E72" s="116"/>
      <c r="J72" s="101"/>
      <c r="M72" s="99"/>
      <c r="N72" s="99"/>
      <c r="O72" s="99"/>
    </row>
    <row r="73" spans="4:15" x14ac:dyDescent="0.25">
      <c r="D73" s="116"/>
      <c r="E73" s="116"/>
      <c r="J73" s="101"/>
      <c r="M73" s="99"/>
      <c r="N73" s="99"/>
      <c r="O73" s="99"/>
    </row>
    <row r="74" spans="4:15" x14ac:dyDescent="0.25">
      <c r="D74" s="116"/>
      <c r="E74" s="116"/>
      <c r="J74" s="101"/>
      <c r="M74" s="99"/>
      <c r="N74" s="99"/>
      <c r="O74" s="99"/>
    </row>
    <row r="75" spans="4:15" x14ac:dyDescent="0.25">
      <c r="D75" s="116"/>
      <c r="E75" s="116"/>
      <c r="J75" s="101"/>
      <c r="M75" s="99"/>
      <c r="N75" s="99"/>
      <c r="O75" s="99"/>
    </row>
    <row r="76" spans="4:15" x14ac:dyDescent="0.25">
      <c r="D76" s="116"/>
      <c r="E76" s="116"/>
      <c r="J76" s="101"/>
      <c r="M76" s="99"/>
      <c r="N76" s="99"/>
      <c r="O76" s="99"/>
    </row>
    <row r="77" spans="4:15" x14ac:dyDescent="0.25">
      <c r="D77" s="116"/>
      <c r="E77" s="116"/>
      <c r="M77" s="99"/>
      <c r="N77" s="99"/>
      <c r="O77" s="99"/>
    </row>
    <row r="78" spans="4:15" x14ac:dyDescent="0.25">
      <c r="M78" s="99"/>
      <c r="N78" s="99"/>
      <c r="O78" s="99"/>
    </row>
    <row r="79" spans="4:15" x14ac:dyDescent="0.25">
      <c r="M79" s="99"/>
      <c r="N79" s="99"/>
      <c r="O79" s="99"/>
    </row>
    <row r="80" spans="4:15" x14ac:dyDescent="0.25">
      <c r="M80" s="99"/>
      <c r="N80" s="99"/>
      <c r="O80" s="99"/>
    </row>
  </sheetData>
  <mergeCells count="30">
    <mergeCell ref="C19:G19"/>
    <mergeCell ref="C25:G25"/>
    <mergeCell ref="R33:R34"/>
    <mergeCell ref="R35:R36"/>
    <mergeCell ref="Q35:Q36"/>
    <mergeCell ref="Q33:Q34"/>
    <mergeCell ref="Q31:Q32"/>
    <mergeCell ref="Q29:Q30"/>
    <mergeCell ref="P25:P26"/>
    <mergeCell ref="P23:P24"/>
    <mergeCell ref="Q23:Q24"/>
    <mergeCell ref="R27:R28"/>
    <mergeCell ref="R29:R30"/>
    <mergeCell ref="R31:R32"/>
    <mergeCell ref="Q27:Q28"/>
    <mergeCell ref="Q25:Q26"/>
    <mergeCell ref="R25:R26"/>
    <mergeCell ref="R23:R24"/>
    <mergeCell ref="O35:O36"/>
    <mergeCell ref="P35:P36"/>
    <mergeCell ref="P33:P34"/>
    <mergeCell ref="P31:P32"/>
    <mergeCell ref="P29:P30"/>
    <mergeCell ref="P27:P28"/>
    <mergeCell ref="O23:O24"/>
    <mergeCell ref="O25:O26"/>
    <mergeCell ref="O27:O28"/>
    <mergeCell ref="O29:O30"/>
    <mergeCell ref="O31:O32"/>
    <mergeCell ref="O33:O34"/>
  </mergeCells>
  <conditionalFormatting sqref="K39 Q39:Q47">
    <cfRule type="expression" dxfId="8" priority="1">
      <formula>"i140&gt;110%"</formula>
    </cfRule>
    <cfRule type="expression" dxfId="7" priority="2">
      <formula>"i140&lt;90%"</formula>
    </cfRule>
  </conditionalFormatting>
  <conditionalFormatting sqref="M39 O39:O47">
    <cfRule type="expression" dxfId="6" priority="3">
      <formula>"i140&gt;110%"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8BA2-E5BF-4375-8F01-83484F7CA895}">
  <dimension ref="A1:AS84"/>
  <sheetViews>
    <sheetView topLeftCell="A3" workbookViewId="0">
      <selection activeCell="Q22" sqref="Q22"/>
    </sheetView>
  </sheetViews>
  <sheetFormatPr defaultColWidth="9.140625" defaultRowHeight="15" x14ac:dyDescent="0.25"/>
  <cols>
    <col min="1" max="1" width="9.140625" style="1"/>
    <col min="2" max="2" width="12.140625" style="1" customWidth="1"/>
    <col min="3" max="3" width="20.85546875" style="1" customWidth="1"/>
    <col min="4" max="4" width="19.28515625" style="1" customWidth="1"/>
    <col min="5" max="5" width="41.140625" style="1" bestFit="1" customWidth="1"/>
    <col min="6" max="6" width="14.5703125" style="1" customWidth="1"/>
    <col min="7" max="8" width="9.140625" style="1"/>
    <col min="9" max="9" width="27.85546875" style="1" bestFit="1" customWidth="1"/>
    <col min="10" max="10" width="27" style="1" bestFit="1" customWidth="1"/>
    <col min="11" max="11" width="14.7109375" style="1" bestFit="1" customWidth="1"/>
    <col min="12" max="12" width="16.42578125" style="1" customWidth="1"/>
    <col min="13" max="13" width="15.85546875" style="1" customWidth="1"/>
    <col min="14" max="14" width="17" style="1" customWidth="1"/>
    <col min="15" max="15" width="20.85546875" style="1" customWidth="1"/>
    <col min="16" max="16" width="17" style="1" bestFit="1" customWidth="1"/>
    <col min="17" max="17" width="18.42578125" style="1" bestFit="1" customWidth="1"/>
    <col min="18" max="18" width="17" style="1" bestFit="1" customWidth="1"/>
    <col min="19" max="19" width="16" style="1" bestFit="1" customWidth="1"/>
    <col min="20" max="20" width="19" style="1" customWidth="1"/>
    <col min="21" max="21" width="9.140625" style="1"/>
    <col min="46" max="16384" width="9.140625" style="1"/>
  </cols>
  <sheetData>
    <row r="1" spans="2:21" ht="15.75" thickBot="1" x14ac:dyDescent="0.3">
      <c r="C1" s="2" t="s">
        <v>0</v>
      </c>
      <c r="F1"/>
      <c r="G1"/>
      <c r="I1" s="3" t="s">
        <v>1</v>
      </c>
      <c r="J1" s="3"/>
      <c r="K1" s="3"/>
      <c r="O1"/>
      <c r="P1"/>
      <c r="Q1"/>
      <c r="R1"/>
      <c r="S1"/>
      <c r="T1"/>
    </row>
    <row r="2" spans="2:21" ht="15.75" customHeight="1" thickBot="1" x14ac:dyDescent="0.3">
      <c r="F2"/>
      <c r="G2"/>
      <c r="I2" s="3"/>
      <c r="J2" s="3"/>
      <c r="K2" s="3"/>
      <c r="L2" s="4"/>
      <c r="O2"/>
      <c r="P2"/>
      <c r="Q2"/>
      <c r="R2"/>
      <c r="S2"/>
      <c r="T2"/>
    </row>
    <row r="3" spans="2:21" ht="16.5" x14ac:dyDescent="0.25">
      <c r="C3" s="5" t="s">
        <v>2</v>
      </c>
      <c r="D3" s="6">
        <v>3.0000000000000001E-3</v>
      </c>
      <c r="E3" s="7"/>
      <c r="F3"/>
      <c r="G3"/>
      <c r="I3" s="8" t="s">
        <v>3</v>
      </c>
      <c r="J3" s="8" t="s">
        <v>4</v>
      </c>
      <c r="K3" s="8" t="s">
        <v>5</v>
      </c>
      <c r="L3"/>
      <c r="O3"/>
      <c r="P3"/>
      <c r="Q3"/>
      <c r="R3"/>
      <c r="S3"/>
      <c r="T3"/>
    </row>
    <row r="4" spans="2:21" ht="17.25" customHeight="1" thickBot="1" x14ac:dyDescent="0.3">
      <c r="C4" s="9" t="s">
        <v>7</v>
      </c>
      <c r="D4" s="10">
        <v>0.05</v>
      </c>
      <c r="E4" s="4"/>
      <c r="F4"/>
      <c r="G4"/>
      <c r="I4" s="11" t="s">
        <v>8</v>
      </c>
      <c r="J4" s="11" t="s">
        <v>9</v>
      </c>
      <c r="K4" s="12" t="s">
        <v>10</v>
      </c>
      <c r="L4"/>
      <c r="O4"/>
      <c r="P4"/>
      <c r="Q4"/>
      <c r="R4"/>
      <c r="S4"/>
      <c r="T4"/>
      <c r="U4" s="13"/>
    </row>
    <row r="5" spans="2:21" x14ac:dyDescent="0.25">
      <c r="C5" s="14" t="s">
        <v>11</v>
      </c>
      <c r="D5" s="14" t="s">
        <v>12</v>
      </c>
      <c r="E5" s="14" t="s">
        <v>13</v>
      </c>
      <c r="F5"/>
      <c r="G5"/>
      <c r="I5" s="1">
        <f>'[2]Data Processed'!A22</f>
        <v>20</v>
      </c>
      <c r="J5" s="1" t="str">
        <f>'[2]Data Processed'!B22</f>
        <v>B574-10</v>
      </c>
      <c r="K5" s="15">
        <f>'[2]Data Processed'!E22</f>
        <v>1E-3</v>
      </c>
      <c r="L5"/>
      <c r="O5"/>
      <c r="P5"/>
      <c r="Q5"/>
      <c r="R5"/>
      <c r="S5"/>
      <c r="T5"/>
      <c r="U5" s="13"/>
    </row>
    <row r="6" spans="2:21" ht="14.45" customHeight="1" x14ac:dyDescent="0.25">
      <c r="B6" s="187" t="s">
        <v>0</v>
      </c>
      <c r="C6" s="1" t="s">
        <v>25</v>
      </c>
      <c r="D6" s="15">
        <v>3187.2658035034274</v>
      </c>
      <c r="E6" s="15">
        <v>61.523136849011216</v>
      </c>
      <c r="F6"/>
      <c r="G6"/>
      <c r="I6" s="1">
        <f>'[2]Data Processed'!A40</f>
        <v>38</v>
      </c>
      <c r="J6" s="1" t="str">
        <f>'[2]Data Processed'!B40</f>
        <v>B575-10</v>
      </c>
      <c r="K6" s="15">
        <f>'[2]Data Processed'!E40</f>
        <v>2.8E-3</v>
      </c>
      <c r="L6"/>
      <c r="Q6" s="19"/>
      <c r="R6" s="19"/>
      <c r="S6" s="19"/>
      <c r="T6" s="19"/>
      <c r="U6" s="19"/>
    </row>
    <row r="7" spans="2:21" x14ac:dyDescent="0.25">
      <c r="B7" s="187"/>
      <c r="C7" s="1" t="s">
        <v>26</v>
      </c>
      <c r="D7" s="15">
        <v>3423.8095238095202</v>
      </c>
      <c r="E7" s="15">
        <v>127.95265564327987</v>
      </c>
      <c r="F7"/>
      <c r="G7"/>
      <c r="I7" s="1">
        <f>'[2]Data Processed'!A54</f>
        <v>52</v>
      </c>
      <c r="J7" s="1" t="str">
        <f>'[2]Data Processed'!B54</f>
        <v>B578-8</v>
      </c>
      <c r="K7" s="15">
        <f>'[2]Data Processed'!E54</f>
        <v>1.4E-3</v>
      </c>
      <c r="L7"/>
      <c r="Q7" s="19"/>
      <c r="R7" s="19"/>
      <c r="S7" s="19"/>
      <c r="T7" s="19"/>
      <c r="U7" s="19"/>
    </row>
    <row r="8" spans="2:21" x14ac:dyDescent="0.25">
      <c r="B8" s="187"/>
      <c r="C8" s="1" t="s">
        <v>27</v>
      </c>
      <c r="D8" s="15">
        <v>769.04114655571004</v>
      </c>
      <c r="E8" s="15">
        <v>0.39490753198026063</v>
      </c>
      <c r="F8"/>
      <c r="G8"/>
      <c r="I8" s="1">
        <f>'[2]Data Processed'!A61</f>
        <v>59</v>
      </c>
      <c r="J8" s="1" t="str">
        <f>'[2]Data Processed'!B61</f>
        <v>Fe15-1</v>
      </c>
      <c r="K8" s="15">
        <f>'[2]Data Processed'!E61</f>
        <v>8.0000000000000004E-4</v>
      </c>
      <c r="L8"/>
      <c r="Q8" s="19"/>
      <c r="R8" s="19"/>
      <c r="S8" s="19"/>
      <c r="T8" s="19"/>
      <c r="U8" s="19"/>
    </row>
    <row r="9" spans="2:21" ht="15.75" thickBot="1" x14ac:dyDescent="0.3">
      <c r="B9" s="187"/>
      <c r="C9" s="1" t="s">
        <v>32</v>
      </c>
      <c r="D9" s="15">
        <v>2976.7891156462601</v>
      </c>
      <c r="E9" s="15">
        <v>25.89838714223372</v>
      </c>
      <c r="F9"/>
      <c r="G9"/>
      <c r="I9" s="4">
        <f>'[2]Data Processed'!A62</f>
        <v>60</v>
      </c>
      <c r="J9" s="4" t="str">
        <f>'[2]Data Processed'!B62</f>
        <v>Fe15-2</v>
      </c>
      <c r="K9" s="23">
        <f>'[2]Data Processed'!E62</f>
        <v>0</v>
      </c>
      <c r="L9"/>
      <c r="Q9" s="19"/>
      <c r="R9" s="19"/>
      <c r="S9" s="19"/>
      <c r="T9" s="19"/>
      <c r="U9" s="19"/>
    </row>
    <row r="10" spans="2:21" x14ac:dyDescent="0.25">
      <c r="B10" s="187"/>
      <c r="C10" s="1" t="s">
        <v>33</v>
      </c>
      <c r="D10" s="15">
        <v>791.859943977591</v>
      </c>
      <c r="E10" s="15">
        <v>13.666769720412384</v>
      </c>
      <c r="F10"/>
      <c r="G10"/>
      <c r="Q10" s="19"/>
      <c r="R10" s="19"/>
      <c r="S10" s="19"/>
      <c r="T10" s="19"/>
      <c r="U10" s="19"/>
    </row>
    <row r="11" spans="2:21" x14ac:dyDescent="0.25">
      <c r="B11" s="187"/>
      <c r="C11" s="1" t="s">
        <v>34</v>
      </c>
      <c r="D11" s="15">
        <v>825.92784992785005</v>
      </c>
      <c r="E11" s="15">
        <v>27.98224584020209</v>
      </c>
      <c r="F11"/>
      <c r="G11"/>
      <c r="I11" s="8" t="s">
        <v>15</v>
      </c>
      <c r="J11" s="8" t="s">
        <v>16</v>
      </c>
      <c r="K11" s="8" t="s">
        <v>17</v>
      </c>
      <c r="L11" s="8" t="s">
        <v>18</v>
      </c>
      <c r="M11" s="8" t="s">
        <v>19</v>
      </c>
      <c r="N11" s="8" t="s">
        <v>20</v>
      </c>
      <c r="O11"/>
      <c r="P11"/>
      <c r="Q11" s="19"/>
      <c r="R11" s="19"/>
      <c r="S11" s="19"/>
      <c r="T11" s="19"/>
      <c r="U11" s="19"/>
    </row>
    <row r="12" spans="2:21" ht="15.75" thickBot="1" x14ac:dyDescent="0.3">
      <c r="B12" s="189"/>
      <c r="C12" s="1" t="s">
        <v>36</v>
      </c>
      <c r="D12" s="15">
        <v>4.68</v>
      </c>
      <c r="E12" s="15">
        <v>0.62225396744416106</v>
      </c>
      <c r="F12"/>
      <c r="G12"/>
      <c r="I12" s="11" t="s">
        <v>8</v>
      </c>
      <c r="J12" s="11" t="s">
        <v>9</v>
      </c>
      <c r="K12" s="11" t="s">
        <v>21</v>
      </c>
      <c r="L12" s="12" t="s">
        <v>10</v>
      </c>
      <c r="M12" s="12" t="s">
        <v>10</v>
      </c>
      <c r="N12" s="20" t="s">
        <v>22</v>
      </c>
      <c r="O12"/>
      <c r="P12"/>
      <c r="Q12" s="19"/>
      <c r="R12" s="19"/>
      <c r="S12" s="19"/>
      <c r="T12" s="19"/>
      <c r="U12" s="19"/>
    </row>
    <row r="13" spans="2:21" x14ac:dyDescent="0.25">
      <c r="B13" s="190" t="s">
        <v>37</v>
      </c>
      <c r="C13" s="190"/>
      <c r="D13" s="190"/>
      <c r="E13" s="190"/>
      <c r="F13"/>
      <c r="G13"/>
      <c r="I13" s="24">
        <f>'[2]Data Processed'!A26</f>
        <v>24</v>
      </c>
      <c r="J13" s="24" t="str">
        <f>'[2]Data Processed'!B26</f>
        <v>B574-11</v>
      </c>
      <c r="K13" s="25">
        <f>'[2]Data Processed'!C26</f>
        <v>5.0505050505050511</v>
      </c>
      <c r="L13" s="24">
        <f>'[2]Data Processed'!E26</f>
        <v>0.37790000000000001</v>
      </c>
      <c r="M13" s="26">
        <f>K13*L13</f>
        <v>1.9085858585858588</v>
      </c>
      <c r="N13" s="27">
        <f>M13/$B$22</f>
        <v>0.95429292929292941</v>
      </c>
      <c r="O13"/>
      <c r="P13"/>
      <c r="Q13" s="19"/>
      <c r="R13" s="19"/>
      <c r="S13" s="19"/>
      <c r="T13" s="19"/>
      <c r="U13" s="19"/>
    </row>
    <row r="14" spans="2:21" x14ac:dyDescent="0.25">
      <c r="B14" s="172" t="s">
        <v>38</v>
      </c>
      <c r="C14" s="172"/>
      <c r="D14" s="172"/>
      <c r="E14" s="172"/>
      <c r="F14"/>
      <c r="G14"/>
      <c r="I14" s="29">
        <f>'[2]Data Processed'!A42</f>
        <v>40</v>
      </c>
      <c r="J14" s="29" t="str">
        <f>'[2]Data Processed'!B42</f>
        <v>B575-11</v>
      </c>
      <c r="K14" s="30">
        <f>'[2]Data Processed'!C42</f>
        <v>5.0505050505050511</v>
      </c>
      <c r="L14" s="29">
        <f>'[2]Data Processed'!E42</f>
        <v>0.3831</v>
      </c>
      <c r="M14" s="31">
        <f>K14*L14</f>
        <v>1.934848484848485</v>
      </c>
      <c r="N14" s="32">
        <f>M14/$B$22</f>
        <v>0.96742424242424252</v>
      </c>
      <c r="O14"/>
      <c r="P14"/>
      <c r="Q14" s="19"/>
      <c r="R14" s="19"/>
      <c r="S14" s="19"/>
      <c r="T14" s="19"/>
      <c r="U14" s="19"/>
    </row>
    <row r="15" spans="2:21" x14ac:dyDescent="0.25">
      <c r="B15" s="172"/>
      <c r="C15" s="172"/>
      <c r="D15" s="172"/>
      <c r="E15" s="172"/>
      <c r="F15"/>
      <c r="G15"/>
      <c r="I15" s="29">
        <f>'[2]Data Processed'!A55</f>
        <v>53</v>
      </c>
      <c r="J15" s="29" t="str">
        <f>'[2]Data Processed'!B55</f>
        <v>B578-9</v>
      </c>
      <c r="K15" s="30">
        <f>'[2]Data Processed'!C55</f>
        <v>10.101010101010102</v>
      </c>
      <c r="L15" s="29">
        <f>'[2]Data Processed'!E55</f>
        <v>0.19189999999999999</v>
      </c>
      <c r="M15" s="31">
        <f>K15*L15</f>
        <v>1.9383838383838385</v>
      </c>
      <c r="N15" s="32">
        <f>M15/$B$22</f>
        <v>0.96919191919191927</v>
      </c>
      <c r="O15"/>
      <c r="P15"/>
      <c r="Q15" s="19"/>
      <c r="R15" s="19"/>
      <c r="S15" s="19"/>
      <c r="T15" s="19"/>
      <c r="U15" s="19"/>
    </row>
    <row r="16" spans="2:21" x14ac:dyDescent="0.25">
      <c r="F16"/>
      <c r="G16"/>
      <c r="I16" s="29">
        <f>'[2]Data Processed'!A63</f>
        <v>61</v>
      </c>
      <c r="J16" s="29" t="str">
        <f>'[2]Data Processed'!B63</f>
        <v>Fe15-3</v>
      </c>
      <c r="K16" s="29">
        <f>'[2]Data Processed'!C63</f>
        <v>20</v>
      </c>
      <c r="L16" s="29">
        <f>'[2]Data Processed'!E63</f>
        <v>0.25950000000000001</v>
      </c>
      <c r="M16" s="29">
        <f>K16*L16</f>
        <v>5.19</v>
      </c>
      <c r="N16" s="32">
        <f>M16/$B$21</f>
        <v>1.038</v>
      </c>
      <c r="O16"/>
      <c r="P16"/>
      <c r="Q16" s="19"/>
      <c r="R16" s="19"/>
      <c r="S16" s="19"/>
      <c r="T16" s="19"/>
      <c r="U16" s="19"/>
    </row>
    <row r="17" spans="1:21" ht="15.75" thickBot="1" x14ac:dyDescent="0.3">
      <c r="A17" s="18" t="e">
        <f>IF(AND(A10&lt;&gt;"",#REF!&lt;&gt;""),_xlfn.CONCAT(#REF!,", ",A10),_xlfn.CONCAT(A10,#REF!))</f>
        <v>#REF!</v>
      </c>
      <c r="F17" s="50"/>
      <c r="G17" s="18"/>
      <c r="I17" s="34">
        <f>'[2]Data Processed'!A64</f>
        <v>62</v>
      </c>
      <c r="J17" s="34" t="str">
        <f>'[2]Data Processed'!B64</f>
        <v>Fe15-4</v>
      </c>
      <c r="K17" s="34">
        <f>'[2]Data Processed'!C64</f>
        <v>20</v>
      </c>
      <c r="L17" s="34">
        <f>'[2]Data Processed'!E64</f>
        <v>0.2626</v>
      </c>
      <c r="M17" s="34">
        <f>K17*L17</f>
        <v>5.2519999999999998</v>
      </c>
      <c r="N17" s="35">
        <f>M17/$B$21</f>
        <v>1.0504</v>
      </c>
      <c r="O17"/>
      <c r="P17"/>
      <c r="Q17" s="19"/>
      <c r="R17" s="19"/>
      <c r="S17" s="19"/>
      <c r="T17" s="19"/>
      <c r="U17" s="19"/>
    </row>
    <row r="18" spans="1:21" x14ac:dyDescent="0.25">
      <c r="A18" s="18" t="e">
        <f>IF(AND(A11&lt;&gt;"",#REF!&lt;&gt;""),_xlfn.CONCAT(#REF!,", ",A11),_xlfn.CONCAT(A11,#REF!))</f>
        <v>#REF!</v>
      </c>
      <c r="B18" s="191" t="s">
        <v>60</v>
      </c>
      <c r="C18" s="192"/>
      <c r="D18" s="192"/>
      <c r="E18" s="192"/>
      <c r="F18" s="193"/>
      <c r="G18" s="18"/>
      <c r="I18" s="29"/>
      <c r="J18" s="29"/>
      <c r="K18" s="29"/>
      <c r="L18" s="29"/>
      <c r="M18" s="29"/>
      <c r="N18" s="32"/>
      <c r="O18" s="17"/>
      <c r="P18" s="38"/>
      <c r="Q18" s="19"/>
      <c r="R18" s="19"/>
      <c r="S18" s="19"/>
      <c r="T18" s="19"/>
      <c r="U18" s="19"/>
    </row>
    <row r="19" spans="1:21" x14ac:dyDescent="0.25">
      <c r="A19" s="18" t="e">
        <f>IF(AND(A12&lt;&gt;"",#REF!&lt;&gt;""),_xlfn.CONCAT(#REF!,", ",A12),_xlfn.CONCAT(A12,#REF!))</f>
        <v>#REF!</v>
      </c>
      <c r="B19" s="73" t="s">
        <v>15</v>
      </c>
      <c r="C19" s="74" t="s">
        <v>61</v>
      </c>
      <c r="D19" s="74" t="s">
        <v>62</v>
      </c>
      <c r="E19" s="74" t="s">
        <v>63</v>
      </c>
      <c r="F19" s="75" t="s">
        <v>28</v>
      </c>
      <c r="G19" s="18"/>
      <c r="I19" s="8" t="s">
        <v>24</v>
      </c>
      <c r="J19" s="8" t="s">
        <v>4</v>
      </c>
      <c r="K19" s="8" t="s">
        <v>5</v>
      </c>
      <c r="L19"/>
      <c r="M19" s="29"/>
      <c r="N19" s="32"/>
      <c r="O19" s="17"/>
      <c r="P19" s="38"/>
      <c r="Q19" s="19"/>
      <c r="R19" s="19"/>
      <c r="S19" s="19"/>
      <c r="T19" s="19"/>
      <c r="U19" s="19"/>
    </row>
    <row r="20" spans="1:21" x14ac:dyDescent="0.25">
      <c r="A20" s="18" t="e">
        <f>IF(AND(A13&lt;&gt;"",#REF!&lt;&gt;""),_xlfn.CONCAT(#REF!,", ",A13),_xlfn.CONCAT(A13,#REF!))</f>
        <v>#REF!</v>
      </c>
      <c r="B20" s="76" t="s">
        <v>10</v>
      </c>
      <c r="C20" s="77" t="s">
        <v>64</v>
      </c>
      <c r="D20" s="77" t="s">
        <v>64</v>
      </c>
      <c r="E20" s="77" t="s">
        <v>64</v>
      </c>
      <c r="F20" s="78" t="s">
        <v>10</v>
      </c>
      <c r="G20" s="18"/>
      <c r="I20" s="11" t="s">
        <v>8</v>
      </c>
      <c r="J20" s="11" t="s">
        <v>9</v>
      </c>
      <c r="K20" s="12" t="s">
        <v>10</v>
      </c>
      <c r="L20"/>
      <c r="M20" s="29"/>
      <c r="N20" s="32"/>
      <c r="O20" s="17"/>
      <c r="P20" s="38"/>
      <c r="Q20" s="19"/>
      <c r="R20" s="19"/>
      <c r="S20" s="19"/>
      <c r="T20" s="19"/>
      <c r="U20" s="19"/>
    </row>
    <row r="21" spans="1:21" x14ac:dyDescent="0.25">
      <c r="A21" s="18" t="e">
        <f>IF(AND(A14&lt;&gt;"",#REF!&lt;&gt;""),_xlfn.CONCAT(#REF!,", ",A14),_xlfn.CONCAT(A14,#REF!))</f>
        <v>#REF!</v>
      </c>
      <c r="B21" s="79">
        <f>200/(4/0.1)</f>
        <v>5</v>
      </c>
      <c r="C21" s="80">
        <v>5100</v>
      </c>
      <c r="D21" s="80">
        <v>85.9</v>
      </c>
      <c r="E21" s="80">
        <v>6262</v>
      </c>
      <c r="F21" s="81">
        <f>10/(4/0.1)</f>
        <v>0.25</v>
      </c>
      <c r="I21" s="1">
        <f>'[2]Data Processed'!A27</f>
        <v>25</v>
      </c>
      <c r="J21" s="1" t="str">
        <f>'[2]Data Processed'!B27</f>
        <v>B574-12</v>
      </c>
      <c r="K21" s="1">
        <f>'[2]Data Processed'!E27</f>
        <v>-1E-4</v>
      </c>
      <c r="L21"/>
      <c r="M21" s="29"/>
      <c r="N21" s="32"/>
      <c r="O21" s="17"/>
      <c r="P21" s="38"/>
      <c r="Q21" s="19"/>
      <c r="R21" s="19"/>
      <c r="S21" s="19"/>
      <c r="T21" s="19"/>
      <c r="U21" s="19"/>
    </row>
    <row r="22" spans="1:21" ht="15.75" thickBot="1" x14ac:dyDescent="0.3">
      <c r="A22" s="18" t="e">
        <f>IF(AND(A15&lt;&gt;"",#REF!&lt;&gt;""),_xlfn.CONCAT(#REF!,", ",A15),_xlfn.CONCAT(A15,#REF!))</f>
        <v>#REF!</v>
      </c>
      <c r="B22" s="82">
        <f>200/(50/0.5)</f>
        <v>2</v>
      </c>
      <c r="C22" s="83">
        <v>5100</v>
      </c>
      <c r="D22" s="83">
        <v>85.9</v>
      </c>
      <c r="E22" s="83">
        <v>6262</v>
      </c>
      <c r="F22" s="84">
        <f>200/(10/0.1)</f>
        <v>2</v>
      </c>
      <c r="I22" s="1">
        <f>'[2]Data Processed'!A43</f>
        <v>41</v>
      </c>
      <c r="J22" s="1" t="str">
        <f>'[2]Data Processed'!B43</f>
        <v>B575-12</v>
      </c>
      <c r="K22" s="1">
        <f>'[2]Data Processed'!E43</f>
        <v>5.0000000000000001E-4</v>
      </c>
      <c r="L22"/>
      <c r="M22" s="29"/>
      <c r="N22" s="32"/>
      <c r="O22" s="17"/>
      <c r="P22" s="38"/>
      <c r="Q22" s="19"/>
      <c r="R22" s="19"/>
      <c r="S22" s="19"/>
      <c r="T22" s="19"/>
      <c r="U22" s="19"/>
    </row>
    <row r="23" spans="1:21" ht="15.75" thickBot="1" x14ac:dyDescent="0.3">
      <c r="A23" s="18" t="e">
        <f>IF(AND(A16&lt;&gt;"",#REF!&lt;&gt;""),_xlfn.CONCAT(#REF!,", ",A16),_xlfn.CONCAT(A16,#REF!))</f>
        <v>#REF!</v>
      </c>
      <c r="I23" s="4">
        <f>'[2]Data Processed'!A56</f>
        <v>54</v>
      </c>
      <c r="J23" s="4" t="str">
        <f>'[2]Data Processed'!B56</f>
        <v>B578-10</v>
      </c>
      <c r="K23" s="4">
        <f>'[2]Data Processed'!E56</f>
        <v>5.0000000000000001E-4</v>
      </c>
      <c r="L23"/>
      <c r="M23" s="29"/>
      <c r="N23" s="32"/>
      <c r="O23" s="17"/>
      <c r="P23" s="38"/>
      <c r="Q23" s="19"/>
      <c r="R23" s="19"/>
      <c r="S23" s="19"/>
      <c r="T23" s="19"/>
      <c r="U23" s="19"/>
    </row>
    <row r="24" spans="1:21" x14ac:dyDescent="0.25">
      <c r="A24" s="18" t="e">
        <f>IF(AND(#REF!&lt;&gt;"",#REF!&lt;&gt;""),_xlfn.CONCAT(#REF!,", ",#REF!),_xlfn.CONCAT(#REF!,#REF!))</f>
        <v>#REF!</v>
      </c>
      <c r="B24"/>
      <c r="C24"/>
      <c r="D24"/>
      <c r="E24"/>
      <c r="F24"/>
      <c r="I24" s="29"/>
      <c r="J24" s="29"/>
      <c r="K24" s="29"/>
      <c r="L24" s="29"/>
      <c r="M24" s="29"/>
      <c r="N24" s="32"/>
      <c r="O24" s="17"/>
      <c r="P24" s="38"/>
      <c r="Q24" s="19"/>
      <c r="R24" s="19"/>
      <c r="S24" s="19"/>
      <c r="T24" s="19"/>
      <c r="U24" s="19"/>
    </row>
    <row r="25" spans="1:21" x14ac:dyDescent="0.25">
      <c r="A25" s="18" t="e">
        <f>IF(AND(#REF!&lt;&gt;"",#REF!&lt;&gt;""),_xlfn.CONCAT(#REF!,", ",#REF!),_xlfn.CONCAT(#REF!,#REF!))</f>
        <v>#REF!</v>
      </c>
      <c r="B25"/>
      <c r="C25"/>
      <c r="D25"/>
      <c r="E25"/>
      <c r="F25"/>
      <c r="I25" s="8" t="s">
        <v>28</v>
      </c>
      <c r="J25" s="8" t="s">
        <v>16</v>
      </c>
      <c r="K25" s="8" t="s">
        <v>29</v>
      </c>
      <c r="L25" s="8" t="s">
        <v>30</v>
      </c>
      <c r="M25" s="8" t="s">
        <v>20</v>
      </c>
      <c r="N25" s="39" t="s">
        <v>31</v>
      </c>
      <c r="P25" s="40"/>
      <c r="Q25" s="19"/>
      <c r="R25" s="19"/>
      <c r="S25" s="19"/>
      <c r="T25" s="19"/>
      <c r="U25" s="19"/>
    </row>
    <row r="26" spans="1:21" x14ac:dyDescent="0.25">
      <c r="A26" s="18" t="e">
        <f>IF(AND(#REF!&lt;&gt;"",#REF!&lt;&gt;""),_xlfn.CONCAT(#REF!,", ",#REF!),_xlfn.CONCAT(#REF!,#REF!))</f>
        <v>#REF!</v>
      </c>
      <c r="B26"/>
      <c r="C26"/>
      <c r="D26"/>
      <c r="E26"/>
      <c r="F26"/>
      <c r="I26" s="11" t="s">
        <v>8</v>
      </c>
      <c r="J26" s="11" t="s">
        <v>9</v>
      </c>
      <c r="K26" s="41" t="s">
        <v>10</v>
      </c>
      <c r="L26" s="41" t="s">
        <v>10</v>
      </c>
      <c r="M26" s="42" t="s">
        <v>22</v>
      </c>
      <c r="N26" s="43"/>
      <c r="P26" s="40"/>
      <c r="Q26" s="19"/>
      <c r="R26" s="19"/>
      <c r="S26" s="19"/>
      <c r="T26" s="19"/>
      <c r="U26" s="19"/>
    </row>
    <row r="27" spans="1:21" x14ac:dyDescent="0.25">
      <c r="A27" s="18" t="e">
        <f>IF(AND(#REF!&lt;&gt;"",#REF!&lt;&gt;""),_xlfn.CONCAT(#REF!,", ",#REF!),_xlfn.CONCAT(#REF!,#REF!))</f>
        <v>#REF!</v>
      </c>
      <c r="B27"/>
      <c r="C27"/>
      <c r="D27"/>
      <c r="E27"/>
      <c r="F27"/>
      <c r="I27" s="1">
        <f>'[2]Data Processed'!A28</f>
        <v>26</v>
      </c>
      <c r="J27" s="1" t="str">
        <f>'[2]Data Processed'!B28</f>
        <v>B574-13</v>
      </c>
      <c r="K27" s="29">
        <f>'[2]Data Processed'!L38</f>
        <v>0.52969999999999995</v>
      </c>
      <c r="L27" s="29">
        <f>'[2]Data Processed'!M38</f>
        <v>2.4140000000000001</v>
      </c>
      <c r="M27" s="44">
        <f>'[2]Data Processed'!N38</f>
        <v>0.95426335138553986</v>
      </c>
      <c r="N27" s="173">
        <f>AVERAGE(M27:M29)</f>
        <v>0.95698342548242543</v>
      </c>
      <c r="P27" s="40"/>
      <c r="Q27" s="19"/>
      <c r="R27" s="19"/>
      <c r="S27" s="19"/>
      <c r="T27" s="19"/>
      <c r="U27" s="19"/>
    </row>
    <row r="28" spans="1:21" x14ac:dyDescent="0.25">
      <c r="A28" s="18" t="e">
        <f>IF(AND(#REF!&lt;&gt;"",#REF!&lt;&gt;""),_xlfn.CONCAT(#REF!,", ",#REF!),_xlfn.CONCAT(#REF!,#REF!))</f>
        <v>#REF!</v>
      </c>
      <c r="B28"/>
      <c r="C28"/>
      <c r="D28"/>
      <c r="E28"/>
      <c r="F28"/>
      <c r="I28" s="1">
        <f>'[2]Data Processed'!A44</f>
        <v>42</v>
      </c>
      <c r="J28" s="1" t="str">
        <f>'[2]Data Processed'!B44</f>
        <v>B575-13</v>
      </c>
      <c r="K28" s="1">
        <f>'[2]Data Processed'!L64</f>
        <v>0.37680000000000002</v>
      </c>
      <c r="L28" s="1">
        <f>'[2]Data Processed'!M64</f>
        <v>2.2650000000000001</v>
      </c>
      <c r="M28" s="46">
        <f>'[2]Data Processed'!N64</f>
        <v>0.95296196566812519</v>
      </c>
      <c r="N28" s="180"/>
      <c r="P28" s="40"/>
      <c r="Q28" s="19"/>
      <c r="R28" s="19"/>
      <c r="S28" s="19"/>
      <c r="T28" s="19"/>
      <c r="U28" s="19"/>
    </row>
    <row r="29" spans="1:21" ht="15.75" thickBot="1" x14ac:dyDescent="0.3">
      <c r="A29" s="18" t="e">
        <f>IF(AND(#REF!&lt;&gt;"",#REF!&lt;&gt;""),_xlfn.CONCAT(#REF!,", ",#REF!),_xlfn.CONCAT(#REF!,#REF!))</f>
        <v>#REF!</v>
      </c>
      <c r="B29"/>
      <c r="C29"/>
      <c r="D29"/>
      <c r="E29"/>
      <c r="F29"/>
      <c r="I29" s="4">
        <f>'[2]Data Processed'!A58</f>
        <v>56</v>
      </c>
      <c r="J29" s="4" t="str">
        <f>'[2]Data Processed'!B58</f>
        <v>B578-11</v>
      </c>
      <c r="K29" s="4">
        <f>'[2]Data Processed'!L86</f>
        <v>0.21640000000000001</v>
      </c>
      <c r="L29" s="4">
        <f>'[2]Data Processed'!M86</f>
        <v>2.1360000000000001</v>
      </c>
      <c r="M29" s="48">
        <f>'[2]Data Processed'!N86</f>
        <v>0.96372495939361125</v>
      </c>
      <c r="N29" s="174"/>
      <c r="P29" s="40"/>
      <c r="Q29" s="19"/>
      <c r="R29" s="19"/>
      <c r="S29" s="19"/>
      <c r="T29" s="19"/>
      <c r="U29" s="19"/>
    </row>
    <row r="30" spans="1:21" x14ac:dyDescent="0.25">
      <c r="A30" s="18" t="e">
        <f>IF(AND(#REF!&lt;&gt;"",F6&lt;&gt;""),_xlfn.CONCAT(F6,", ",#REF!),_xlfn.CONCAT(#REF!,F6))</f>
        <v>#REF!</v>
      </c>
      <c r="F30" s="96"/>
      <c r="P30" s="40"/>
      <c r="Q30" s="19"/>
      <c r="R30" s="19"/>
      <c r="S30" s="19"/>
      <c r="T30" s="19"/>
      <c r="U30" s="19"/>
    </row>
    <row r="31" spans="1:21" x14ac:dyDescent="0.25">
      <c r="A31" s="18" t="e">
        <f>IF(AND(#REF!&lt;&gt;"",F7&lt;&gt;""),_xlfn.CONCAT(F7,", ",#REF!),_xlfn.CONCAT(#REF!,F7))</f>
        <v>#REF!</v>
      </c>
      <c r="F31" s="97"/>
      <c r="I31" s="8" t="s">
        <v>28</v>
      </c>
      <c r="J31" s="8" t="s">
        <v>16</v>
      </c>
      <c r="K31" s="8" t="s">
        <v>39</v>
      </c>
      <c r="L31" s="8" t="s">
        <v>40</v>
      </c>
      <c r="M31" s="8" t="s">
        <v>41</v>
      </c>
      <c r="N31" s="8" t="s">
        <v>42</v>
      </c>
      <c r="O31" s="8" t="s">
        <v>20</v>
      </c>
      <c r="P31" s="39" t="s">
        <v>31</v>
      </c>
      <c r="Q31" s="19"/>
      <c r="R31" s="19"/>
      <c r="S31" s="19"/>
      <c r="T31" s="19"/>
      <c r="U31" s="19"/>
    </row>
    <row r="32" spans="1:21" x14ac:dyDescent="0.25">
      <c r="A32" s="18" t="e">
        <f>IF(AND(#REF!&lt;&gt;"",F8&lt;&gt;""),_xlfn.CONCAT(F8,", ",#REF!),_xlfn.CONCAT(#REF!,F8))</f>
        <v>#REF!</v>
      </c>
      <c r="I32" s="11" t="s">
        <v>8</v>
      </c>
      <c r="J32" s="11" t="s">
        <v>9</v>
      </c>
      <c r="K32" s="41" t="s">
        <v>10</v>
      </c>
      <c r="L32" s="41" t="s">
        <v>10</v>
      </c>
      <c r="M32" s="42" t="s">
        <v>22</v>
      </c>
      <c r="N32" s="12"/>
      <c r="O32" s="20" t="s">
        <v>22</v>
      </c>
      <c r="P32" s="43"/>
      <c r="Q32" s="19"/>
      <c r="R32" s="19"/>
      <c r="S32" s="19"/>
      <c r="T32" s="19"/>
      <c r="U32" s="19"/>
    </row>
    <row r="33" spans="1:21" x14ac:dyDescent="0.25">
      <c r="A33" s="18" t="e">
        <f>IF(AND(#REF!&lt;&gt;"",F9&lt;&gt;""),_xlfn.CONCAT(F9,", ",#REF!),_xlfn.CONCAT(#REF!,F9))</f>
        <v>#REF!</v>
      </c>
      <c r="I33" s="29">
        <f>'[2]Data Processed'!A28</f>
        <v>26</v>
      </c>
      <c r="J33" s="29" t="str">
        <f>'[2]Data Processed'!B28</f>
        <v>B574-13</v>
      </c>
      <c r="K33" s="51">
        <f>'[2]Data Processed'!K117</f>
        <v>4.0000000000000001E-3</v>
      </c>
      <c r="L33" s="51">
        <f>'[2]Data Processed'!L117</f>
        <v>87.34</v>
      </c>
      <c r="M33" s="51">
        <f>'[2]Data Processed'!M117</f>
        <v>0.34676000000000001</v>
      </c>
      <c r="N33" s="51">
        <f>'[2]Data Processed'!N117</f>
        <v>0.34936</v>
      </c>
      <c r="O33" s="32">
        <f>N33/M33</f>
        <v>1.0074979813127234</v>
      </c>
      <c r="P33" s="173">
        <f>AVERAGE(O33:O34)</f>
        <v>0.99944813048432724</v>
      </c>
      <c r="Q33" s="19"/>
      <c r="R33" s="19"/>
      <c r="S33" s="19"/>
      <c r="T33" s="19"/>
      <c r="U33" s="19"/>
    </row>
    <row r="34" spans="1:21" ht="15.75" thickBot="1" x14ac:dyDescent="0.3">
      <c r="A34" s="18" t="e">
        <f>IF(AND(#REF!&lt;&gt;"",F10&lt;&gt;""),_xlfn.CONCAT(F10,", ",#REF!),_xlfn.CONCAT(#REF!,F10))</f>
        <v>#REF!</v>
      </c>
      <c r="I34" s="53">
        <f>'[2]Data Processed'!A29</f>
        <v>27</v>
      </c>
      <c r="J34" s="53" t="str">
        <f>'[2]Data Processed'!B29</f>
        <v>B575-1</v>
      </c>
      <c r="K34" s="53">
        <f>'[2]Data Processed'!K119</f>
        <v>4.0000000000000001E-3</v>
      </c>
      <c r="L34" s="53">
        <f>'[2]Data Processed'!L119</f>
        <v>24.78</v>
      </c>
      <c r="M34" s="53">
        <f>'[2]Data Processed'!M119</f>
        <v>9.9979999999999999E-2</v>
      </c>
      <c r="N34" s="53">
        <f>'[2]Data Processed'!N119</f>
        <v>9.912E-2</v>
      </c>
      <c r="O34" s="35">
        <f>N34/M34</f>
        <v>0.99139827965593119</v>
      </c>
      <c r="P34" s="174"/>
      <c r="Q34" s="19"/>
      <c r="R34" s="19"/>
      <c r="S34"/>
      <c r="T34"/>
      <c r="U34" s="19"/>
    </row>
    <row r="35" spans="1:21" x14ac:dyDescent="0.25">
      <c r="I35" s="54"/>
      <c r="J35" s="54"/>
      <c r="K35" s="54"/>
      <c r="P35" s="55"/>
      <c r="Q35" s="19"/>
      <c r="R35" s="19"/>
      <c r="S35"/>
      <c r="T35"/>
      <c r="U35" s="19"/>
    </row>
    <row r="36" spans="1:21" ht="30" x14ac:dyDescent="0.25">
      <c r="F36" s="15"/>
      <c r="I36" s="8" t="s">
        <v>43</v>
      </c>
      <c r="J36" s="8" t="s">
        <v>16</v>
      </c>
      <c r="K36" s="8" t="s">
        <v>17</v>
      </c>
      <c r="L36" s="8" t="s">
        <v>18</v>
      </c>
      <c r="M36" s="8" t="s">
        <v>19</v>
      </c>
      <c r="N36" s="8" t="s">
        <v>44</v>
      </c>
      <c r="O36" s="8" t="s">
        <v>45</v>
      </c>
      <c r="P36" s="8" t="s">
        <v>46</v>
      </c>
      <c r="Q36" s="8" t="s">
        <v>5</v>
      </c>
      <c r="R36" s="56" t="s">
        <v>47</v>
      </c>
      <c r="S36"/>
      <c r="T36"/>
      <c r="U36" s="19"/>
    </row>
    <row r="37" spans="1:21" x14ac:dyDescent="0.25">
      <c r="F37" s="100"/>
      <c r="I37" s="11" t="s">
        <v>8</v>
      </c>
      <c r="J37" s="11" t="s">
        <v>9</v>
      </c>
      <c r="K37" s="11" t="s">
        <v>21</v>
      </c>
      <c r="L37" s="12" t="s">
        <v>10</v>
      </c>
      <c r="M37" s="12" t="s">
        <v>10</v>
      </c>
      <c r="N37" s="12" t="s">
        <v>48</v>
      </c>
      <c r="O37" s="12" t="s">
        <v>49</v>
      </c>
      <c r="P37" s="12" t="s">
        <v>50</v>
      </c>
      <c r="Q37" s="12" t="s">
        <v>51</v>
      </c>
      <c r="R37" s="43" t="s">
        <v>22</v>
      </c>
      <c r="S37"/>
      <c r="T37"/>
      <c r="U37" s="19"/>
    </row>
    <row r="38" spans="1:21" x14ac:dyDescent="0.25">
      <c r="A38" s="1" t="s">
        <v>65</v>
      </c>
      <c r="F38" s="15"/>
      <c r="I38" s="24">
        <f>'[2]Data Processed'!A21</f>
        <v>19</v>
      </c>
      <c r="J38" s="24" t="str">
        <f>'[2]Data Processed'!B21</f>
        <v>B574-9</v>
      </c>
      <c r="K38" s="25">
        <f>'[2]Data Processed'!C21</f>
        <v>10.101010101010102</v>
      </c>
      <c r="L38" s="24">
        <f>'[2]Data Processed'!E21</f>
        <v>2.9529999999999998</v>
      </c>
      <c r="M38" s="26">
        <f>K38*L38</f>
        <v>29.828282828282831</v>
      </c>
      <c r="N38" s="7">
        <v>0.5</v>
      </c>
      <c r="O38" s="58">
        <v>0.05</v>
      </c>
      <c r="P38" s="59">
        <f>M38*O38</f>
        <v>1.4914141414141415</v>
      </c>
      <c r="Q38" s="59">
        <f>P38/(N38/1000)</f>
        <v>2982.8282828282831</v>
      </c>
      <c r="R38" s="60">
        <f>Q38/$C$22</f>
        <v>0.58486829075064373</v>
      </c>
      <c r="S38"/>
      <c r="T38"/>
      <c r="U38" s="19"/>
    </row>
    <row r="39" spans="1:21" x14ac:dyDescent="0.25">
      <c r="A39" s="1" t="s">
        <v>66</v>
      </c>
      <c r="F39" s="15"/>
      <c r="I39" s="29">
        <f>'[2]Data Processed'!A39</f>
        <v>37</v>
      </c>
      <c r="J39" s="29" t="str">
        <f>'[2]Data Processed'!B39</f>
        <v>B575-9</v>
      </c>
      <c r="K39" s="30">
        <f>'[2]Data Processed'!C39</f>
        <v>10.101010101010102</v>
      </c>
      <c r="L39" s="29">
        <f>'[2]Data Processed'!E39</f>
        <v>2.9950000000000001</v>
      </c>
      <c r="M39" s="31">
        <f>K39*L39</f>
        <v>30.252525252525256</v>
      </c>
      <c r="N39" s="1">
        <v>0.501</v>
      </c>
      <c r="O39" s="15">
        <v>0.05</v>
      </c>
      <c r="P39" s="50">
        <f>M39*O39</f>
        <v>1.512626262626263</v>
      </c>
      <c r="Q39" s="50">
        <f>P39/(N39/1000)</f>
        <v>3019.2140970584092</v>
      </c>
      <c r="R39" s="61">
        <f>Q39/$C$22</f>
        <v>0.5920027641290998</v>
      </c>
      <c r="S39"/>
      <c r="T39"/>
      <c r="U39" s="19"/>
    </row>
    <row r="40" spans="1:21" x14ac:dyDescent="0.25">
      <c r="A40" s="18"/>
      <c r="F40" s="100"/>
      <c r="I40" s="29">
        <f>'[2]Data Processed'!A53</f>
        <v>51</v>
      </c>
      <c r="J40" s="29" t="str">
        <f>'[2]Data Processed'!B53</f>
        <v>B578-7</v>
      </c>
      <c r="K40" s="30">
        <f>'[2]Data Processed'!C53</f>
        <v>10.101010101010102</v>
      </c>
      <c r="L40" s="29">
        <f>'[2]Data Processed'!E53</f>
        <v>2.9460000000000002</v>
      </c>
      <c r="M40" s="31">
        <f>K40*L40</f>
        <v>29.757575757575761</v>
      </c>
      <c r="N40" s="1">
        <v>0.49399999999999999</v>
      </c>
      <c r="O40" s="15">
        <v>0.05</v>
      </c>
      <c r="P40" s="50">
        <f>M40*O40</f>
        <v>1.4878787878787882</v>
      </c>
      <c r="Q40" s="50">
        <f>P40/(N40/1000)</f>
        <v>3011.9003803214337</v>
      </c>
      <c r="R40" s="61">
        <f>Q40/$C$22</f>
        <v>0.59056870202381051</v>
      </c>
      <c r="S40"/>
      <c r="T40"/>
      <c r="U40" s="19"/>
    </row>
    <row r="41" spans="1:21" x14ac:dyDescent="0.25">
      <c r="F41" s="100"/>
      <c r="I41" s="29">
        <f>'[2]Data Processed'!A67</f>
        <v>65</v>
      </c>
      <c r="J41" s="29" t="str">
        <f>'[2]Data Processed'!B67</f>
        <v>Fe15-7</v>
      </c>
      <c r="K41" s="29">
        <f>'[2]Data Processed'!C67</f>
        <v>20</v>
      </c>
      <c r="L41" s="29">
        <f>'[2]Data Processed'!E67</f>
        <v>0.1095</v>
      </c>
      <c r="M41" s="29">
        <f>K41*L41</f>
        <v>2.19</v>
      </c>
      <c r="N41" s="1">
        <v>0.10199999999999999</v>
      </c>
      <c r="O41" s="15">
        <v>4.0000000000000001E-3</v>
      </c>
      <c r="P41" s="50">
        <f>M41*O41</f>
        <v>8.7600000000000004E-3</v>
      </c>
      <c r="Q41" s="50">
        <f>P41/(N41/1000)</f>
        <v>85.882352941176478</v>
      </c>
      <c r="R41" s="61">
        <f>Q41/$D$21</f>
        <v>0.99979456276107648</v>
      </c>
      <c r="S41"/>
      <c r="T41"/>
      <c r="U41" s="19"/>
    </row>
    <row r="42" spans="1:21" ht="15.75" thickBot="1" x14ac:dyDescent="0.3">
      <c r="F42" s="100"/>
      <c r="I42" s="34">
        <f>'[2]Data Processed'!A68</f>
        <v>66</v>
      </c>
      <c r="J42" s="34" t="str">
        <f>'[2]Data Processed'!B68</f>
        <v>Fe15-8</v>
      </c>
      <c r="K42" s="34">
        <f>'[2]Data Processed'!C68</f>
        <v>40</v>
      </c>
      <c r="L42" s="34">
        <f>'[2]Data Processed'!E68</f>
        <v>3.6269999999999998</v>
      </c>
      <c r="M42" s="34">
        <f>K42*L42</f>
        <v>145.07999999999998</v>
      </c>
      <c r="N42" s="4">
        <v>0.10299999999999999</v>
      </c>
      <c r="O42" s="23">
        <v>4.0000000000000001E-3</v>
      </c>
      <c r="P42" s="62">
        <f>M42*O42</f>
        <v>0.58031999999999995</v>
      </c>
      <c r="Q42" s="62">
        <f>P42/(N42/1000)</f>
        <v>5634.174757281553</v>
      </c>
      <c r="R42" s="63">
        <f>Q42/$C$21</f>
        <v>1.1047401484865791</v>
      </c>
      <c r="S42"/>
      <c r="T42"/>
    </row>
    <row r="43" spans="1:21" x14ac:dyDescent="0.25">
      <c r="F43" s="100"/>
      <c r="S43"/>
      <c r="T43"/>
    </row>
    <row r="44" spans="1:21" x14ac:dyDescent="0.25">
      <c r="S44"/>
      <c r="T44"/>
    </row>
    <row r="45" spans="1:21" ht="15.75" thickBot="1" x14ac:dyDescent="0.3">
      <c r="I45" s="64" t="s">
        <v>53</v>
      </c>
      <c r="J45" s="64" t="s">
        <v>54</v>
      </c>
      <c r="K45" s="65" t="s">
        <v>6</v>
      </c>
      <c r="L45" s="64" t="s">
        <v>55</v>
      </c>
      <c r="M45" s="65" t="s">
        <v>6</v>
      </c>
      <c r="N45" s="64" t="s">
        <v>56</v>
      </c>
      <c r="O45" s="65" t="s">
        <v>6</v>
      </c>
      <c r="P45" s="64" t="s">
        <v>57</v>
      </c>
      <c r="Q45" s="65" t="s">
        <v>6</v>
      </c>
      <c r="S45"/>
      <c r="T45"/>
    </row>
    <row r="46" spans="1:21" x14ac:dyDescent="0.25">
      <c r="I46" s="66">
        <v>1</v>
      </c>
      <c r="J46" s="67">
        <f>K59/1</f>
        <v>0.99309999999999998</v>
      </c>
      <c r="K46" s="68" t="str">
        <f>IF(J46&lt;90%,"ICV", (IF(J46&gt;110%,"ICV", " ")))</f>
        <v xml:space="preserve"> </v>
      </c>
      <c r="L46" s="69">
        <f>K60</f>
        <v>-5.0000000000000001E-4</v>
      </c>
      <c r="M46" s="68" t="str">
        <f>IF((ABS(L46)&gt;0.5),"ICB"," ")</f>
        <v xml:space="preserve"> </v>
      </c>
      <c r="N46" s="70">
        <f>K61/1</f>
        <v>1.0069999999999999</v>
      </c>
      <c r="O46" s="68" t="str">
        <f>IF(N46&lt;90%,"CCV", (IF(N46&gt;110%,"CCV", " ")))</f>
        <v xml:space="preserve"> </v>
      </c>
      <c r="P46" s="71">
        <f>K62</f>
        <v>2.9999999999999997E-4</v>
      </c>
      <c r="Q46" s="68" t="str">
        <f>IF((ABS(P46)&gt;0.5),"CCB"," ")</f>
        <v xml:space="preserve"> </v>
      </c>
    </row>
    <row r="47" spans="1:21" x14ac:dyDescent="0.25">
      <c r="I47" s="66">
        <v>2</v>
      </c>
      <c r="J47" s="70"/>
      <c r="K47" s="70"/>
      <c r="L47" s="69"/>
      <c r="M47" s="70"/>
      <c r="N47" s="70">
        <f>K63/1</f>
        <v>1.008</v>
      </c>
      <c r="O47" s="68" t="str">
        <f>IF(N47&lt;90%,"CCV", (IF(N47&gt;110%,"CCV", " ")))</f>
        <v xml:space="preserve"> </v>
      </c>
      <c r="P47" s="71">
        <f>K64</f>
        <v>1.1999999999999999E-3</v>
      </c>
      <c r="Q47" s="68" t="str">
        <f>IF((ABS(P47)&gt;0.5),"CCB"," ")</f>
        <v xml:space="preserve"> </v>
      </c>
    </row>
    <row r="48" spans="1:21" x14ac:dyDescent="0.25">
      <c r="I48" s="66">
        <v>3</v>
      </c>
      <c r="J48" s="70"/>
      <c r="K48" s="70"/>
      <c r="L48" s="69"/>
      <c r="M48" s="70"/>
      <c r="N48" s="70">
        <f>K65/1</f>
        <v>1.014</v>
      </c>
      <c r="O48" s="68" t="str">
        <f>IF(N48&lt;90%,"CCV", (IF(N48&gt;110%,"CCV", " ")))</f>
        <v xml:space="preserve"> </v>
      </c>
      <c r="P48" s="71">
        <f>K66</f>
        <v>8.0000000000000004E-4</v>
      </c>
      <c r="Q48" s="68" t="str">
        <f>IF((ABS(P48)&gt;0.5),"CCB"," ")</f>
        <v xml:space="preserve"> </v>
      </c>
    </row>
    <row r="49" spans="9:17" x14ac:dyDescent="0.25">
      <c r="I49" s="1">
        <v>4</v>
      </c>
      <c r="N49" s="70">
        <f>K67/1</f>
        <v>1.026</v>
      </c>
      <c r="O49" s="68" t="str">
        <f>IF(N49&lt;90%,"CCV", (IF(N49&gt;110%,"CCV", " ")))</f>
        <v xml:space="preserve"> </v>
      </c>
      <c r="P49" s="71">
        <f>K68</f>
        <v>5.9999999999999995E-4</v>
      </c>
      <c r="Q49" s="68" t="str">
        <f>IF((ABS(P49)&gt;0.5),"CCB"," ")</f>
        <v xml:space="preserve"> </v>
      </c>
    </row>
    <row r="50" spans="9:17" x14ac:dyDescent="0.25">
      <c r="I50" s="66">
        <v>5</v>
      </c>
      <c r="N50" s="70">
        <f>K69/1</f>
        <v>1.026</v>
      </c>
      <c r="O50" s="68" t="str">
        <f>IF(N50&lt;90%,"CCV", (IF(N50&gt;110%,"CCV", " ")))</f>
        <v xml:space="preserve"> </v>
      </c>
      <c r="P50" s="71">
        <f>K70</f>
        <v>0</v>
      </c>
      <c r="Q50" s="68" t="str">
        <f>IF((ABS(P50)&gt;0.5),"CCB"," ")</f>
        <v xml:space="preserve"> </v>
      </c>
    </row>
    <row r="51" spans="9:17" x14ac:dyDescent="0.25">
      <c r="I51" s="66"/>
      <c r="N51" s="70"/>
      <c r="O51" s="68"/>
      <c r="P51" s="71"/>
      <c r="Q51" s="68"/>
    </row>
    <row r="52" spans="9:17" x14ac:dyDescent="0.25">
      <c r="I52" s="66"/>
      <c r="N52" s="70"/>
      <c r="O52" s="68"/>
      <c r="P52" s="71"/>
      <c r="Q52" s="68"/>
    </row>
    <row r="53" spans="9:17" ht="14.45" customHeight="1" x14ac:dyDescent="0.25">
      <c r="I53" s="66"/>
      <c r="N53" s="70"/>
      <c r="O53" s="68"/>
      <c r="P53" s="71"/>
      <c r="Q53" s="68"/>
    </row>
    <row r="54" spans="9:17" x14ac:dyDescent="0.25">
      <c r="I54" s="66"/>
      <c r="N54" s="70"/>
      <c r="O54" s="68"/>
      <c r="P54" s="71"/>
      <c r="Q54" s="68"/>
    </row>
    <row r="55" spans="9:17" x14ac:dyDescent="0.25">
      <c r="I55" s="66"/>
      <c r="N55" s="70"/>
      <c r="O55" s="68"/>
      <c r="P55" s="71"/>
      <c r="Q55" s="68"/>
    </row>
    <row r="56" spans="9:17" x14ac:dyDescent="0.25">
      <c r="N56" s="70"/>
      <c r="O56" s="68"/>
      <c r="P56" s="71"/>
      <c r="Q56" s="68"/>
    </row>
    <row r="57" spans="9:17" ht="15" customHeight="1" x14ac:dyDescent="0.25">
      <c r="N57" s="70"/>
      <c r="O57" s="68"/>
      <c r="P57" s="71"/>
      <c r="Q57" s="68"/>
    </row>
    <row r="58" spans="9:17" ht="15.75" thickBot="1" x14ac:dyDescent="0.3">
      <c r="I58" s="64" t="s">
        <v>53</v>
      </c>
      <c r="J58" s="64" t="s">
        <v>67</v>
      </c>
      <c r="K58" s="64" t="s">
        <v>68</v>
      </c>
      <c r="N58" s="14" t="s">
        <v>69</v>
      </c>
      <c r="O58" s="14" t="s">
        <v>70</v>
      </c>
      <c r="P58" s="14" t="s">
        <v>71</v>
      </c>
      <c r="Q58" s="1">
        <v>0.99997836751503599</v>
      </c>
    </row>
    <row r="59" spans="9:17" x14ac:dyDescent="0.25">
      <c r="I59" s="169">
        <v>1</v>
      </c>
      <c r="J59" s="86" t="s">
        <v>52</v>
      </c>
      <c r="K59" s="87">
        <v>0.99309999999999998</v>
      </c>
      <c r="N59" s="88" t="s">
        <v>75</v>
      </c>
      <c r="O59" s="89">
        <v>-2.6072489529746208E-7</v>
      </c>
    </row>
    <row r="60" spans="9:17" x14ac:dyDescent="0.25">
      <c r="I60" s="170"/>
      <c r="J60" s="41" t="s">
        <v>55</v>
      </c>
      <c r="K60" s="92">
        <v>-5.0000000000000001E-4</v>
      </c>
      <c r="N60" s="88" t="s">
        <v>78</v>
      </c>
      <c r="O60" s="89">
        <v>0.1008316654557177</v>
      </c>
    </row>
    <row r="61" spans="9:17" x14ac:dyDescent="0.25">
      <c r="I61" s="171">
        <v>1</v>
      </c>
      <c r="J61" s="29" t="s">
        <v>58</v>
      </c>
      <c r="K61" s="31">
        <v>1.0069999999999999</v>
      </c>
      <c r="N61" s="88" t="s">
        <v>80</v>
      </c>
      <c r="O61" s="89">
        <v>0.49370636639891707</v>
      </c>
    </row>
    <row r="62" spans="9:17" x14ac:dyDescent="0.25">
      <c r="I62" s="165"/>
      <c r="J62" s="29" t="s">
        <v>59</v>
      </c>
      <c r="K62" s="31">
        <v>2.9999999999999997E-4</v>
      </c>
      <c r="N62" s="88" t="s">
        <v>81</v>
      </c>
      <c r="O62" s="89">
        <v>0.99905774775813849</v>
      </c>
    </row>
    <row r="63" spans="9:17" x14ac:dyDescent="0.25">
      <c r="I63" s="165">
        <v>2</v>
      </c>
      <c r="J63" s="29" t="s">
        <v>58</v>
      </c>
      <c r="K63" s="31">
        <v>1.008</v>
      </c>
      <c r="N63" s="88" t="s">
        <v>82</v>
      </c>
      <c r="O63" s="89">
        <v>2.0217975658745946</v>
      </c>
    </row>
    <row r="64" spans="9:17" x14ac:dyDescent="0.25">
      <c r="I64" s="165"/>
      <c r="J64" s="29" t="s">
        <v>59</v>
      </c>
      <c r="K64" s="31">
        <v>1.1999999999999999E-3</v>
      </c>
      <c r="N64" s="88" t="s">
        <v>83</v>
      </c>
      <c r="O64" s="89">
        <v>4.984606654512632</v>
      </c>
    </row>
    <row r="65" spans="9:15" x14ac:dyDescent="0.25">
      <c r="I65" s="165">
        <v>3</v>
      </c>
      <c r="J65" s="29" t="s">
        <v>58</v>
      </c>
      <c r="K65" s="31">
        <v>1.014</v>
      </c>
      <c r="N65" s="98"/>
      <c r="O65" s="98"/>
    </row>
    <row r="66" spans="9:15" x14ac:dyDescent="0.25">
      <c r="I66" s="165"/>
      <c r="J66" s="29" t="s">
        <v>59</v>
      </c>
      <c r="K66" s="31">
        <v>8.0000000000000004E-4</v>
      </c>
      <c r="M66" s="99"/>
      <c r="N66" s="99"/>
      <c r="O66" s="99"/>
    </row>
    <row r="67" spans="9:15" x14ac:dyDescent="0.25">
      <c r="I67" s="165">
        <v>4</v>
      </c>
      <c r="J67" s="29" t="s">
        <v>58</v>
      </c>
      <c r="K67" s="31">
        <v>1.026</v>
      </c>
      <c r="M67" s="99"/>
      <c r="N67" s="99"/>
      <c r="O67" s="99"/>
    </row>
    <row r="68" spans="9:15" x14ac:dyDescent="0.25">
      <c r="I68" s="165"/>
      <c r="J68" s="29" t="s">
        <v>59</v>
      </c>
      <c r="K68" s="31">
        <v>5.9999999999999995E-4</v>
      </c>
      <c r="M68" s="99"/>
      <c r="N68" s="99"/>
      <c r="O68" s="99"/>
    </row>
    <row r="69" spans="9:15" x14ac:dyDescent="0.25">
      <c r="I69" s="165">
        <v>5</v>
      </c>
      <c r="J69" s="29" t="s">
        <v>58</v>
      </c>
      <c r="K69" s="31">
        <v>1.026</v>
      </c>
      <c r="M69" s="99"/>
      <c r="N69" s="99"/>
      <c r="O69" s="99"/>
    </row>
    <row r="70" spans="9:15" x14ac:dyDescent="0.25">
      <c r="I70" s="165"/>
      <c r="J70" s="29" t="s">
        <v>59</v>
      </c>
      <c r="K70" s="31">
        <v>0</v>
      </c>
      <c r="M70" s="99"/>
      <c r="N70" s="99"/>
      <c r="O70" s="99"/>
    </row>
    <row r="71" spans="9:15" x14ac:dyDescent="0.25">
      <c r="I71" s="165">
        <v>6</v>
      </c>
      <c r="J71" s="29" t="s">
        <v>58</v>
      </c>
      <c r="K71" s="1">
        <v>1.0269999999999999</v>
      </c>
      <c r="M71" s="99"/>
      <c r="N71" s="99"/>
      <c r="O71" s="99"/>
    </row>
    <row r="72" spans="9:15" x14ac:dyDescent="0.25">
      <c r="I72" s="165"/>
      <c r="J72" s="29" t="s">
        <v>59</v>
      </c>
      <c r="K72" s="1">
        <v>1E-4</v>
      </c>
      <c r="M72" s="99"/>
      <c r="N72" s="99"/>
      <c r="O72" s="99"/>
    </row>
    <row r="73" spans="9:15" x14ac:dyDescent="0.25">
      <c r="I73" s="165">
        <v>7</v>
      </c>
      <c r="J73" s="29" t="s">
        <v>58</v>
      </c>
      <c r="K73" s="1">
        <v>1.018</v>
      </c>
      <c r="M73" s="99"/>
      <c r="N73" s="99"/>
      <c r="O73" s="99"/>
    </row>
    <row r="74" spans="9:15" x14ac:dyDescent="0.25">
      <c r="I74" s="165"/>
      <c r="J74" s="29" t="s">
        <v>59</v>
      </c>
      <c r="K74" s="1">
        <v>-4.0000000000000002E-4</v>
      </c>
      <c r="M74" s="99"/>
      <c r="N74" s="99"/>
      <c r="O74" s="99"/>
    </row>
    <row r="75" spans="9:15" x14ac:dyDescent="0.25">
      <c r="I75" s="165">
        <v>8</v>
      </c>
      <c r="J75" s="29" t="s">
        <v>58</v>
      </c>
      <c r="K75" s="1">
        <v>1.024</v>
      </c>
      <c r="M75" s="99"/>
      <c r="N75" s="99"/>
      <c r="O75" s="99"/>
    </row>
    <row r="76" spans="9:15" x14ac:dyDescent="0.25">
      <c r="I76" s="165"/>
      <c r="J76" s="29" t="s">
        <v>59</v>
      </c>
      <c r="K76" s="1">
        <v>2.0000000000000001E-4</v>
      </c>
      <c r="M76" s="99"/>
      <c r="N76" s="99"/>
      <c r="O76" s="99"/>
    </row>
    <row r="77" spans="9:15" x14ac:dyDescent="0.25">
      <c r="J77" s="101"/>
      <c r="M77" s="99"/>
      <c r="N77" s="99"/>
      <c r="O77" s="99"/>
    </row>
    <row r="78" spans="9:15" x14ac:dyDescent="0.25">
      <c r="J78" s="101"/>
      <c r="M78" s="99"/>
      <c r="N78" s="99"/>
      <c r="O78" s="99"/>
    </row>
    <row r="79" spans="9:15" x14ac:dyDescent="0.25">
      <c r="J79" s="101"/>
      <c r="M79" s="99"/>
      <c r="N79" s="99"/>
      <c r="O79" s="99"/>
    </row>
    <row r="80" spans="9:15" x14ac:dyDescent="0.25">
      <c r="J80" s="101"/>
      <c r="M80" s="99"/>
      <c r="N80" s="99"/>
      <c r="O80" s="99"/>
    </row>
    <row r="81" spans="13:15" x14ac:dyDescent="0.25">
      <c r="M81" s="99"/>
      <c r="N81" s="99"/>
      <c r="O81" s="99"/>
    </row>
    <row r="82" spans="13:15" x14ac:dyDescent="0.25">
      <c r="M82" s="99"/>
      <c r="N82" s="99"/>
      <c r="O82" s="99"/>
    </row>
    <row r="83" spans="13:15" x14ac:dyDescent="0.25">
      <c r="M83" s="99"/>
      <c r="N83" s="99"/>
      <c r="O83" s="99"/>
    </row>
    <row r="84" spans="13:15" x14ac:dyDescent="0.25">
      <c r="M84" s="99"/>
      <c r="N84" s="99"/>
      <c r="O84" s="99"/>
    </row>
  </sheetData>
  <mergeCells count="16">
    <mergeCell ref="I75:I76"/>
    <mergeCell ref="I63:I64"/>
    <mergeCell ref="I65:I66"/>
    <mergeCell ref="I67:I68"/>
    <mergeCell ref="I69:I70"/>
    <mergeCell ref="I71:I72"/>
    <mergeCell ref="I73:I74"/>
    <mergeCell ref="B18:F18"/>
    <mergeCell ref="I59:I60"/>
    <mergeCell ref="I61:I62"/>
    <mergeCell ref="N27:N29"/>
    <mergeCell ref="B13:E13"/>
    <mergeCell ref="B14:E14"/>
    <mergeCell ref="B15:E15"/>
    <mergeCell ref="P33:P34"/>
    <mergeCell ref="B6:B12"/>
  </mergeCells>
  <conditionalFormatting sqref="K46 Q46:Q57">
    <cfRule type="expression" dxfId="5" priority="4">
      <formula>"i140&gt;110%"</formula>
    </cfRule>
    <cfRule type="expression" dxfId="4" priority="5">
      <formula>"i140&lt;90%"</formula>
    </cfRule>
  </conditionalFormatting>
  <conditionalFormatting sqref="M46 O46:O57">
    <cfRule type="expression" dxfId="3" priority="6">
      <formula>"i140&gt;110%"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2FA5-4C93-4881-917A-D851C089EF37}">
  <dimension ref="A1:W79"/>
  <sheetViews>
    <sheetView topLeftCell="C30" workbookViewId="0">
      <selection activeCell="O10" activeCellId="3" sqref="L3:L9 L18:L24 P18 O10:P17"/>
    </sheetView>
  </sheetViews>
  <sheetFormatPr defaultColWidth="9.140625" defaultRowHeight="15" x14ac:dyDescent="0.25"/>
  <cols>
    <col min="1" max="1" width="5.7109375" style="16" customWidth="1"/>
    <col min="2" max="2" width="12.85546875" style="16" customWidth="1"/>
    <col min="3" max="3" width="26" style="16" bestFit="1" customWidth="1"/>
    <col min="4" max="4" width="18.140625" style="16" bestFit="1" customWidth="1"/>
    <col min="5" max="5" width="21.42578125" style="16" bestFit="1" customWidth="1"/>
    <col min="6" max="6" width="43.85546875" style="16" bestFit="1" customWidth="1"/>
    <col min="7" max="7" width="16.42578125" style="16" bestFit="1" customWidth="1"/>
    <col min="8" max="8" width="9.140625" style="16"/>
    <col min="9" max="9" width="27.85546875" style="16" bestFit="1" customWidth="1"/>
    <col min="10" max="10" width="27" style="16" bestFit="1" customWidth="1"/>
    <col min="11" max="11" width="14.7109375" style="16" bestFit="1" customWidth="1"/>
    <col min="12" max="12" width="16.42578125" style="16" customWidth="1"/>
    <col min="13" max="13" width="15.85546875" style="16" customWidth="1"/>
    <col min="14" max="14" width="17" style="16" customWidth="1"/>
    <col min="15" max="15" width="20.85546875" style="16" customWidth="1"/>
    <col min="16" max="16" width="17" style="16" bestFit="1" customWidth="1"/>
    <col min="17" max="17" width="18.42578125" style="16" bestFit="1" customWidth="1"/>
    <col min="18" max="18" width="17" style="16" bestFit="1" customWidth="1"/>
    <col min="19" max="19" width="16" style="16" bestFit="1" customWidth="1"/>
    <col min="20" max="20" width="19" style="16" customWidth="1"/>
    <col min="21" max="23" width="9.140625" style="16"/>
  </cols>
  <sheetData>
    <row r="1" spans="1:23" ht="15.75" thickBot="1" x14ac:dyDescent="0.3">
      <c r="C1" s="2" t="s">
        <v>0</v>
      </c>
      <c r="F1"/>
      <c r="G1"/>
      <c r="I1" s="3" t="s">
        <v>1</v>
      </c>
      <c r="J1" s="3"/>
      <c r="K1" s="3"/>
      <c r="O1"/>
      <c r="P1"/>
      <c r="Q1"/>
      <c r="R1"/>
      <c r="S1"/>
      <c r="T1"/>
    </row>
    <row r="2" spans="1:23" ht="15" customHeight="1" thickBot="1" x14ac:dyDescent="0.3">
      <c r="F2"/>
      <c r="G2"/>
      <c r="I2" s="3"/>
      <c r="J2" s="3"/>
      <c r="K2" s="3"/>
      <c r="L2" s="4"/>
      <c r="O2"/>
      <c r="P2"/>
      <c r="Q2"/>
      <c r="R2"/>
      <c r="S2"/>
      <c r="T2"/>
    </row>
    <row r="3" spans="1:23" ht="16.5" x14ac:dyDescent="0.25">
      <c r="C3" s="5" t="s">
        <v>2</v>
      </c>
      <c r="D3" s="6">
        <v>4.3E-3</v>
      </c>
      <c r="E3" s="7"/>
      <c r="F3"/>
      <c r="G3"/>
      <c r="I3" s="8" t="s">
        <v>3</v>
      </c>
      <c r="J3" s="8" t="s">
        <v>4</v>
      </c>
      <c r="K3" s="8" t="s">
        <v>84</v>
      </c>
      <c r="L3"/>
      <c r="O3"/>
      <c r="P3"/>
      <c r="Q3"/>
      <c r="R3"/>
      <c r="S3"/>
      <c r="T3"/>
    </row>
    <row r="4" spans="1:23" ht="18" customHeight="1" thickBot="1" x14ac:dyDescent="0.3">
      <c r="C4" s="9" t="s">
        <v>7</v>
      </c>
      <c r="D4" s="10">
        <v>0.05</v>
      </c>
      <c r="E4" s="4"/>
      <c r="F4"/>
      <c r="G4"/>
      <c r="I4" s="11" t="s">
        <v>8</v>
      </c>
      <c r="J4" s="11" t="s">
        <v>9</v>
      </c>
      <c r="K4" s="12" t="s">
        <v>10</v>
      </c>
      <c r="L4"/>
      <c r="O4"/>
      <c r="P4"/>
      <c r="Q4"/>
      <c r="R4"/>
      <c r="S4"/>
      <c r="T4"/>
      <c r="U4" s="13"/>
      <c r="V4" s="13"/>
      <c r="W4" s="13"/>
    </row>
    <row r="5" spans="1:23" x14ac:dyDescent="0.25">
      <c r="C5" s="14" t="s">
        <v>11</v>
      </c>
      <c r="D5" s="14" t="s">
        <v>85</v>
      </c>
      <c r="E5" s="14" t="s">
        <v>13</v>
      </c>
      <c r="F5"/>
      <c r="G5"/>
      <c r="I5" s="16">
        <f>'[2]Data Processed'!A22</f>
        <v>20</v>
      </c>
      <c r="J5" s="16" t="str">
        <f>'[2]Data Processed'!B22</f>
        <v>B574-10</v>
      </c>
      <c r="K5" s="15">
        <f>'[2]Data Processed'!D22</f>
        <v>9.7000000000000003E-3</v>
      </c>
      <c r="L5"/>
      <c r="O5"/>
      <c r="P5"/>
      <c r="Q5"/>
      <c r="R5"/>
      <c r="S5"/>
      <c r="T5"/>
      <c r="U5" s="13"/>
      <c r="V5" s="13"/>
      <c r="W5" s="13"/>
    </row>
    <row r="6" spans="1:23" ht="14.45" customHeight="1" x14ac:dyDescent="0.25">
      <c r="A6" s="18"/>
      <c r="B6" s="136" t="s">
        <v>0</v>
      </c>
      <c r="C6" s="16" t="s">
        <v>88</v>
      </c>
      <c r="D6" s="15">
        <v>288.68088347296265</v>
      </c>
      <c r="E6" s="15">
        <v>2.0830838001748559</v>
      </c>
      <c r="F6"/>
      <c r="G6"/>
      <c r="I6" s="16">
        <f>'[2]Data Processed'!A40</f>
        <v>38</v>
      </c>
      <c r="J6" s="16" t="str">
        <f>'[2]Data Processed'!B40</f>
        <v>B575-10</v>
      </c>
      <c r="K6" s="15">
        <f>'[2]Data Processed'!D40</f>
        <v>1.01E-2</v>
      </c>
      <c r="L6"/>
      <c r="Q6" s="19"/>
      <c r="R6" s="19"/>
      <c r="S6" s="19"/>
      <c r="T6" s="19"/>
      <c r="U6" s="19"/>
      <c r="V6" s="19"/>
      <c r="W6" s="19"/>
    </row>
    <row r="7" spans="1:23" x14ac:dyDescent="0.25">
      <c r="A7" s="18"/>
      <c r="B7" s="124"/>
      <c r="C7" s="16" t="s">
        <v>89</v>
      </c>
      <c r="D7" s="15">
        <v>299.31189445475201</v>
      </c>
      <c r="E7" s="15">
        <v>6.2836444286517823</v>
      </c>
      <c r="F7"/>
      <c r="G7"/>
      <c r="I7" s="16">
        <f>'[2]Data Processed'!A54</f>
        <v>52</v>
      </c>
      <c r="J7" s="16" t="str">
        <f>'[2]Data Processed'!B54</f>
        <v>B578-8</v>
      </c>
      <c r="K7" s="15">
        <f>'[2]Data Processed'!D54</f>
        <v>-1.2999999999999999E-3</v>
      </c>
      <c r="L7"/>
      <c r="Q7" s="19"/>
      <c r="R7" s="19"/>
      <c r="S7" s="19"/>
      <c r="T7" s="19"/>
      <c r="U7" s="19"/>
      <c r="V7" s="19"/>
      <c r="W7" s="19"/>
    </row>
    <row r="8" spans="1:23" x14ac:dyDescent="0.25">
      <c r="A8" s="18"/>
      <c r="B8" s="124"/>
      <c r="C8" s="16" t="s">
        <v>90</v>
      </c>
      <c r="D8" s="15">
        <v>6.0416088765603302</v>
      </c>
      <c r="E8" s="15">
        <v>0.46290485536761544</v>
      </c>
      <c r="F8"/>
      <c r="G8"/>
      <c r="I8" s="16">
        <f>'[2]Data Processed'!A61</f>
        <v>59</v>
      </c>
      <c r="J8" s="16" t="str">
        <f>'[2]Data Processed'!B61</f>
        <v>Fe15-1</v>
      </c>
      <c r="K8" s="15">
        <f>'[2]Data Processed'!D61</f>
        <v>-3.5999999999999999E-3</v>
      </c>
      <c r="L8"/>
      <c r="Q8" s="19"/>
      <c r="R8" s="19"/>
      <c r="S8" s="19"/>
      <c r="T8" s="19"/>
      <c r="U8" s="19"/>
      <c r="V8" s="19"/>
      <c r="W8" s="19"/>
    </row>
    <row r="9" spans="1:23" ht="15.75" thickBot="1" x14ac:dyDescent="0.3">
      <c r="A9" s="18"/>
      <c r="B9" s="124"/>
      <c r="C9" s="16" t="s">
        <v>93</v>
      </c>
      <c r="D9" s="15">
        <v>289.15374149659903</v>
      </c>
      <c r="E9" s="15">
        <v>0.44639121968782103</v>
      </c>
      <c r="F9"/>
      <c r="G9"/>
      <c r="I9" s="4">
        <f>'[2]Data Processed'!A62</f>
        <v>60</v>
      </c>
      <c r="J9" s="4" t="str">
        <f>'[2]Data Processed'!B62</f>
        <v>Fe15-2</v>
      </c>
      <c r="K9" s="23">
        <f>'[2]Data Processed'!D62</f>
        <v>-3.0000000000000001E-3</v>
      </c>
      <c r="L9"/>
      <c r="Q9" s="19"/>
      <c r="R9" s="19"/>
      <c r="S9" s="19"/>
      <c r="T9" s="19"/>
      <c r="U9" s="19"/>
      <c r="V9" s="19"/>
      <c r="W9" s="19"/>
    </row>
    <row r="10" spans="1:23" x14ac:dyDescent="0.25">
      <c r="A10" s="18"/>
      <c r="B10" s="124"/>
      <c r="C10" s="16" t="s">
        <v>94</v>
      </c>
      <c r="D10" s="15">
        <v>7.1787114845938396</v>
      </c>
      <c r="E10" s="15">
        <v>0.9459781476041883</v>
      </c>
      <c r="F10"/>
      <c r="G10"/>
      <c r="O10"/>
      <c r="P10"/>
      <c r="Q10" s="19"/>
      <c r="R10" s="19"/>
      <c r="S10" s="19"/>
      <c r="T10" s="19"/>
      <c r="U10" s="19"/>
      <c r="W10" s="19"/>
    </row>
    <row r="11" spans="1:23" x14ac:dyDescent="0.25">
      <c r="A11" s="18"/>
      <c r="B11" s="124"/>
      <c r="C11" s="16" t="s">
        <v>95</v>
      </c>
      <c r="D11" s="15">
        <v>6.4877344877344898</v>
      </c>
      <c r="E11" s="15">
        <v>4.8324065161608809</v>
      </c>
      <c r="F11"/>
      <c r="G11"/>
      <c r="I11" s="8" t="s">
        <v>15</v>
      </c>
      <c r="J11" s="8" t="s">
        <v>16</v>
      </c>
      <c r="K11" s="8" t="s">
        <v>17</v>
      </c>
      <c r="L11" s="8" t="s">
        <v>86</v>
      </c>
      <c r="M11" s="8" t="s">
        <v>87</v>
      </c>
      <c r="N11" s="8" t="s">
        <v>20</v>
      </c>
      <c r="O11"/>
      <c r="P11"/>
      <c r="Q11" s="19"/>
      <c r="R11" s="19"/>
      <c r="S11" s="19"/>
      <c r="T11" s="19"/>
      <c r="U11" s="19"/>
    </row>
    <row r="12" spans="1:23" ht="15.75" thickBot="1" x14ac:dyDescent="0.3">
      <c r="A12" s="18"/>
      <c r="B12" s="125"/>
      <c r="C12" s="4" t="s">
        <v>36</v>
      </c>
      <c r="D12" s="23">
        <v>-3.1999999999999997</v>
      </c>
      <c r="E12" s="23">
        <v>1.6970562748477138</v>
      </c>
      <c r="F12"/>
      <c r="G12"/>
      <c r="I12" s="11" t="s">
        <v>8</v>
      </c>
      <c r="J12" s="11" t="s">
        <v>9</v>
      </c>
      <c r="K12" s="11" t="s">
        <v>21</v>
      </c>
      <c r="L12" s="12" t="s">
        <v>10</v>
      </c>
      <c r="M12" s="12" t="s">
        <v>10</v>
      </c>
      <c r="N12" s="20" t="s">
        <v>22</v>
      </c>
      <c r="O12"/>
      <c r="P12"/>
      <c r="Q12" s="19"/>
      <c r="R12" s="19"/>
      <c r="S12" s="19"/>
      <c r="T12" s="19"/>
      <c r="U12" s="19"/>
    </row>
    <row r="13" spans="1:23" ht="15.75" thickBot="1" x14ac:dyDescent="0.3">
      <c r="A13" s="18"/>
      <c r="B13" s="52"/>
      <c r="C13" s="51"/>
      <c r="D13" s="15"/>
      <c r="E13" s="57"/>
      <c r="F13" s="50"/>
      <c r="G13" s="102"/>
      <c r="I13" s="24">
        <f>'[2]Data Processed'!A26</f>
        <v>24</v>
      </c>
      <c r="J13" s="24" t="str">
        <f>'[2]Data Processed'!B26</f>
        <v>B574-11</v>
      </c>
      <c r="K13" s="25">
        <f>'[2]Data Processed'!C26</f>
        <v>5.0505050505050511</v>
      </c>
      <c r="L13" s="24">
        <f>'[2]Data Processed'!D26</f>
        <v>1.823</v>
      </c>
      <c r="M13" s="26">
        <f>K13*L13</f>
        <v>9.2070707070707076</v>
      </c>
      <c r="N13" s="45">
        <f>M13/$C$18</f>
        <v>0.92070707070707081</v>
      </c>
      <c r="O13"/>
      <c r="P13"/>
      <c r="Q13" s="19"/>
      <c r="R13" s="19"/>
      <c r="S13" s="19"/>
      <c r="T13" s="19"/>
      <c r="U13" s="19"/>
    </row>
    <row r="14" spans="1:23" x14ac:dyDescent="0.25">
      <c r="A14" s="18"/>
      <c r="C14" s="166" t="s">
        <v>60</v>
      </c>
      <c r="D14" s="167"/>
      <c r="E14" s="167"/>
      <c r="F14" s="167"/>
      <c r="G14" s="168"/>
      <c r="I14" s="57">
        <f>'[2]Data Processed'!A42</f>
        <v>40</v>
      </c>
      <c r="J14" s="57" t="str">
        <f>'[2]Data Processed'!B42</f>
        <v>B575-11</v>
      </c>
      <c r="K14" s="30">
        <f>'[2]Data Processed'!C42</f>
        <v>5.0505050505050511</v>
      </c>
      <c r="L14" s="57">
        <f>'[2]Data Processed'!D42</f>
        <v>1.8720000000000001</v>
      </c>
      <c r="M14" s="31">
        <f t="shared" ref="M14:M17" si="0">K14*L14</f>
        <v>9.4545454545454568</v>
      </c>
      <c r="N14" s="47">
        <f t="shared" ref="N14:N15" si="1">M14/$C$18</f>
        <v>0.94545454545454566</v>
      </c>
      <c r="O14"/>
      <c r="P14"/>
      <c r="Q14" s="19"/>
      <c r="R14" s="19"/>
      <c r="S14" s="19"/>
      <c r="T14" s="19"/>
      <c r="U14" s="19"/>
    </row>
    <row r="15" spans="1:23" x14ac:dyDescent="0.25">
      <c r="A15" s="18"/>
      <c r="C15" s="105" t="s">
        <v>15</v>
      </c>
      <c r="D15" s="106" t="s">
        <v>61</v>
      </c>
      <c r="E15" s="106" t="s">
        <v>62</v>
      </c>
      <c r="F15" s="106" t="s">
        <v>63</v>
      </c>
      <c r="G15" s="107" t="s">
        <v>28</v>
      </c>
      <c r="I15" s="57">
        <f>'[2]Data Processed'!A55</f>
        <v>53</v>
      </c>
      <c r="J15" s="57" t="str">
        <f>'[2]Data Processed'!B55</f>
        <v>B578-9</v>
      </c>
      <c r="K15" s="30">
        <f>'[2]Data Processed'!C55</f>
        <v>10.101010101010102</v>
      </c>
      <c r="L15" s="57">
        <f>'[2]Data Processed'!D55</f>
        <v>0.8952</v>
      </c>
      <c r="M15" s="31">
        <f t="shared" si="0"/>
        <v>9.0424242424242429</v>
      </c>
      <c r="N15" s="47">
        <f t="shared" si="1"/>
        <v>0.90424242424242429</v>
      </c>
      <c r="O15"/>
      <c r="P15"/>
      <c r="Q15" s="19"/>
      <c r="R15" s="19"/>
      <c r="S15" s="19"/>
      <c r="T15" s="19"/>
      <c r="U15" s="19"/>
    </row>
    <row r="16" spans="1:23" x14ac:dyDescent="0.25">
      <c r="A16" s="18"/>
      <c r="C16" s="108" t="s">
        <v>99</v>
      </c>
      <c r="D16" s="109" t="s">
        <v>100</v>
      </c>
      <c r="E16" s="109" t="s">
        <v>100</v>
      </c>
      <c r="F16" s="109" t="s">
        <v>100</v>
      </c>
      <c r="G16" s="110" t="s">
        <v>10</v>
      </c>
      <c r="I16" s="57">
        <f>'[2]Data Processed'!A63</f>
        <v>61</v>
      </c>
      <c r="J16" s="57" t="str">
        <f>'[2]Data Processed'!B63</f>
        <v>Fe15-3</v>
      </c>
      <c r="K16" s="57">
        <f>'[2]Data Processed'!C63</f>
        <v>20</v>
      </c>
      <c r="L16" s="57">
        <f>'[2]Data Processed'!D63</f>
        <v>0.23810000000000001</v>
      </c>
      <c r="M16" s="57">
        <f t="shared" si="0"/>
        <v>4.7620000000000005</v>
      </c>
      <c r="N16" s="47">
        <f>M16/$C$17</f>
        <v>0.95240000000000014</v>
      </c>
      <c r="O16"/>
      <c r="P16"/>
      <c r="Q16" s="19"/>
      <c r="R16" s="19"/>
      <c r="S16" s="19"/>
      <c r="T16" s="19"/>
      <c r="U16" s="19"/>
    </row>
    <row r="17" spans="1:21" ht="15.75" thickBot="1" x14ac:dyDescent="0.3">
      <c r="A17" s="18"/>
      <c r="B17" s="16" t="s">
        <v>65</v>
      </c>
      <c r="C17" s="111">
        <f>200/(4/0.1)</f>
        <v>5</v>
      </c>
      <c r="D17" s="112">
        <v>1300</v>
      </c>
      <c r="E17" s="112">
        <v>7</v>
      </c>
      <c r="F17" s="112">
        <v>640</v>
      </c>
      <c r="G17" s="113" t="s">
        <v>101</v>
      </c>
      <c r="I17" s="72">
        <f>'[2]Data Processed'!A64</f>
        <v>62</v>
      </c>
      <c r="J17" s="72" t="str">
        <f>'[2]Data Processed'!B64</f>
        <v>Fe15-4</v>
      </c>
      <c r="K17" s="72">
        <f>'[2]Data Processed'!C64</f>
        <v>20</v>
      </c>
      <c r="L17" s="72">
        <f>'[2]Data Processed'!D64</f>
        <v>0.24030000000000001</v>
      </c>
      <c r="M17" s="72">
        <f t="shared" si="0"/>
        <v>4.806</v>
      </c>
      <c r="N17" s="49">
        <f>M17/$C$17</f>
        <v>0.96120000000000005</v>
      </c>
      <c r="O17"/>
      <c r="P17"/>
      <c r="Q17" s="19"/>
      <c r="R17" s="19"/>
      <c r="S17" s="19"/>
      <c r="T17" s="19"/>
      <c r="U17" s="19"/>
    </row>
    <row r="18" spans="1:21" ht="15.75" thickBot="1" x14ac:dyDescent="0.3">
      <c r="A18" s="18"/>
      <c r="B18" s="16" t="s">
        <v>66</v>
      </c>
      <c r="C18" s="114">
        <v>10</v>
      </c>
      <c r="D18" s="104">
        <v>1300</v>
      </c>
      <c r="E18" s="104">
        <v>7</v>
      </c>
      <c r="F18" s="104">
        <v>640</v>
      </c>
      <c r="G18" s="115" t="s">
        <v>101</v>
      </c>
      <c r="I18" s="57"/>
      <c r="J18" s="57"/>
      <c r="K18" s="57"/>
      <c r="L18"/>
      <c r="M18" s="57"/>
      <c r="N18" s="47"/>
      <c r="O18" s="17"/>
      <c r="P18"/>
      <c r="Q18" s="19"/>
      <c r="R18" s="19"/>
      <c r="S18" s="19"/>
      <c r="T18" s="19"/>
      <c r="U18" s="19"/>
    </row>
    <row r="19" spans="1:21" x14ac:dyDescent="0.25">
      <c r="A19" s="18"/>
      <c r="F19" s="116"/>
      <c r="G19" s="116"/>
      <c r="I19" s="8" t="s">
        <v>24</v>
      </c>
      <c r="J19" s="8" t="s">
        <v>4</v>
      </c>
      <c r="K19" s="8" t="s">
        <v>84</v>
      </c>
      <c r="L19"/>
      <c r="M19" s="57"/>
      <c r="N19" s="47"/>
      <c r="O19" s="17"/>
      <c r="P19" s="38"/>
      <c r="Q19" s="19"/>
      <c r="R19" s="19"/>
      <c r="S19" s="19"/>
      <c r="T19" s="19"/>
      <c r="U19" s="19"/>
    </row>
    <row r="20" spans="1:21" x14ac:dyDescent="0.25">
      <c r="A20" s="18" t="str">
        <f>IF(AND(A11&lt;&gt;"",F11&lt;&gt;""),_xlfn.CONCAT(F11,", ",A11),_xlfn.CONCAT(A11,F11))</f>
        <v/>
      </c>
      <c r="C20"/>
      <c r="D20"/>
      <c r="E20"/>
      <c r="F20"/>
      <c r="G20"/>
      <c r="I20" s="11" t="s">
        <v>8</v>
      </c>
      <c r="J20" s="11" t="s">
        <v>9</v>
      </c>
      <c r="K20" s="12" t="s">
        <v>10</v>
      </c>
      <c r="L20"/>
      <c r="M20" s="57"/>
      <c r="N20" s="47"/>
      <c r="O20" s="17"/>
      <c r="P20" s="38"/>
      <c r="Q20" s="19"/>
      <c r="R20" s="19"/>
      <c r="S20" s="19"/>
      <c r="T20" s="19"/>
      <c r="U20" s="19"/>
    </row>
    <row r="21" spans="1:21" x14ac:dyDescent="0.25">
      <c r="A21" s="18" t="str">
        <f>IF(AND(A12&lt;&gt;"",F12&lt;&gt;""),_xlfn.CONCAT(F12,", ",A12),_xlfn.CONCAT(A12,F12))</f>
        <v/>
      </c>
      <c r="C21"/>
      <c r="D21"/>
      <c r="E21"/>
      <c r="F21"/>
      <c r="G21"/>
      <c r="I21" s="16">
        <f>'[2]Data Processed'!A27</f>
        <v>25</v>
      </c>
      <c r="J21" s="16" t="str">
        <f>'[2]Data Processed'!B27</f>
        <v>B574-12</v>
      </c>
      <c r="K21" s="16">
        <f>'[2]Data Processed'!D27</f>
        <v>1.0200000000000001E-2</v>
      </c>
      <c r="L21"/>
      <c r="M21" s="57"/>
      <c r="N21" s="47"/>
      <c r="O21" s="17"/>
      <c r="P21" s="38"/>
      <c r="Q21" s="19"/>
      <c r="R21" s="19"/>
      <c r="S21" s="19"/>
      <c r="T21" s="19"/>
      <c r="U21" s="19"/>
    </row>
    <row r="22" spans="1:21" x14ac:dyDescent="0.25">
      <c r="A22" s="18"/>
      <c r="C22"/>
      <c r="D22"/>
      <c r="E22"/>
      <c r="F22"/>
      <c r="G22"/>
      <c r="I22" s="16">
        <f>'[2]Data Processed'!A43</f>
        <v>41</v>
      </c>
      <c r="J22" s="16" t="str">
        <f>'[2]Data Processed'!B43</f>
        <v>B575-12</v>
      </c>
      <c r="K22" s="16">
        <f>'[2]Data Processed'!D43</f>
        <v>1.1599999999999999E-2</v>
      </c>
      <c r="L22"/>
      <c r="M22" s="57"/>
      <c r="N22" s="47"/>
      <c r="O22" s="17"/>
      <c r="P22" s="38"/>
      <c r="Q22" s="19"/>
      <c r="R22" s="19"/>
      <c r="S22" s="19"/>
      <c r="T22" s="19"/>
      <c r="U22" s="19"/>
    </row>
    <row r="23" spans="1:21" ht="15.75" thickBot="1" x14ac:dyDescent="0.3">
      <c r="A23" s="18"/>
      <c r="C23"/>
      <c r="D23"/>
      <c r="E23"/>
      <c r="F23"/>
      <c r="G23"/>
      <c r="I23" s="4">
        <f>'[2]Data Processed'!A56</f>
        <v>54</v>
      </c>
      <c r="J23" s="4" t="str">
        <f>'[2]Data Processed'!B56</f>
        <v>B578-10</v>
      </c>
      <c r="K23" s="4">
        <f>'[2]Data Processed'!D56</f>
        <v>-1.6999999999999999E-3</v>
      </c>
      <c r="L23"/>
      <c r="M23" s="57"/>
      <c r="N23" s="47"/>
      <c r="O23" s="17"/>
      <c r="P23" s="38"/>
      <c r="Q23" s="19"/>
      <c r="R23" s="19"/>
      <c r="S23" s="19"/>
      <c r="T23" s="19"/>
      <c r="U23" s="19"/>
    </row>
    <row r="24" spans="1:21" x14ac:dyDescent="0.25">
      <c r="A24" s="18"/>
      <c r="C24"/>
      <c r="D24"/>
      <c r="E24"/>
      <c r="F24"/>
      <c r="G24"/>
      <c r="I24" s="57"/>
      <c r="J24" s="57"/>
      <c r="K24" s="57"/>
      <c r="L24"/>
      <c r="M24" s="57"/>
      <c r="N24" s="47"/>
      <c r="O24" s="17"/>
      <c r="P24" s="38"/>
      <c r="Q24" s="19"/>
      <c r="R24" s="19"/>
      <c r="S24" s="19"/>
      <c r="T24" s="19"/>
      <c r="U24" s="19"/>
    </row>
    <row r="25" spans="1:21" x14ac:dyDescent="0.25">
      <c r="A25" s="18"/>
      <c r="I25" s="8" t="s">
        <v>28</v>
      </c>
      <c r="J25" s="8" t="s">
        <v>16</v>
      </c>
      <c r="K25" s="8" t="s">
        <v>91</v>
      </c>
      <c r="L25" s="8" t="s">
        <v>92</v>
      </c>
      <c r="M25" s="8" t="s">
        <v>20</v>
      </c>
      <c r="N25" s="39" t="s">
        <v>31</v>
      </c>
      <c r="P25" s="40"/>
      <c r="Q25" s="19"/>
      <c r="R25" s="19"/>
      <c r="S25" s="19"/>
      <c r="T25" s="19"/>
      <c r="U25" s="19"/>
    </row>
    <row r="26" spans="1:21" x14ac:dyDescent="0.25">
      <c r="A26" s="18"/>
      <c r="I26" s="11" t="s">
        <v>8</v>
      </c>
      <c r="J26" s="11" t="s">
        <v>9</v>
      </c>
      <c r="K26" s="41" t="s">
        <v>10</v>
      </c>
      <c r="L26" s="41" t="s">
        <v>10</v>
      </c>
      <c r="M26" s="42" t="s">
        <v>22</v>
      </c>
      <c r="N26" s="43"/>
      <c r="P26" s="40"/>
      <c r="Q26" s="19"/>
      <c r="R26" s="19"/>
      <c r="S26" s="19"/>
      <c r="T26" s="19"/>
      <c r="U26" s="19"/>
    </row>
    <row r="27" spans="1:21" x14ac:dyDescent="0.25">
      <c r="A27" s="18"/>
      <c r="I27" s="16">
        <f>'[2]Data Processed'!A28</f>
        <v>26</v>
      </c>
      <c r="J27" s="16" t="str">
        <f>'[2]Data Processed'!B28</f>
        <v>B574-13</v>
      </c>
      <c r="K27" s="57">
        <f>'[2]Data Processed'!L38</f>
        <v>0.52969999999999995</v>
      </c>
      <c r="L27" s="57">
        <f>'[2]Data Processed'!M38</f>
        <v>2.4140000000000001</v>
      </c>
      <c r="M27" s="44">
        <f>'[2]Data Processed'!N38</f>
        <v>0.95426335138553986</v>
      </c>
      <c r="N27" s="173">
        <f>AVERAGE(M27:M29)</f>
        <v>0.95698342548242543</v>
      </c>
      <c r="P27" s="40"/>
      <c r="Q27" s="19"/>
      <c r="R27" s="19"/>
      <c r="S27" s="19"/>
      <c r="T27" s="19"/>
      <c r="U27" s="19"/>
    </row>
    <row r="28" spans="1:21" x14ac:dyDescent="0.25">
      <c r="I28" s="16">
        <f>'[2]Data Processed'!A44</f>
        <v>42</v>
      </c>
      <c r="J28" s="16" t="str">
        <f>'[2]Data Processed'!B44</f>
        <v>B575-13</v>
      </c>
      <c r="K28" s="16">
        <f>'[2]Data Processed'!L64</f>
        <v>0.37680000000000002</v>
      </c>
      <c r="L28" s="16">
        <f>'[2]Data Processed'!M64</f>
        <v>2.2650000000000001</v>
      </c>
      <c r="M28" s="46">
        <f>'[2]Data Processed'!N64</f>
        <v>0.95296196566812519</v>
      </c>
      <c r="N28" s="180"/>
      <c r="P28" s="40"/>
      <c r="Q28" s="19"/>
      <c r="R28" s="19"/>
      <c r="S28" s="19"/>
      <c r="T28" s="19"/>
      <c r="U28" s="19"/>
    </row>
    <row r="29" spans="1:21" ht="15.75" thickBot="1" x14ac:dyDescent="0.3">
      <c r="C29" s="99"/>
      <c r="I29" s="4">
        <f>'[2]Data Processed'!A58</f>
        <v>56</v>
      </c>
      <c r="J29" s="4" t="str">
        <f>'[2]Data Processed'!B58</f>
        <v>B578-11</v>
      </c>
      <c r="K29" s="4">
        <f>'[2]Data Processed'!L86</f>
        <v>0.21640000000000001</v>
      </c>
      <c r="L29" s="4">
        <f>'[2]Data Processed'!M86</f>
        <v>2.1360000000000001</v>
      </c>
      <c r="M29" s="48">
        <f>'[2]Data Processed'!N86</f>
        <v>0.96372495939361125</v>
      </c>
      <c r="N29" s="174"/>
      <c r="P29" s="40"/>
      <c r="Q29" s="19"/>
      <c r="R29" s="19"/>
      <c r="S29" s="19"/>
      <c r="T29" s="19"/>
      <c r="U29" s="19"/>
    </row>
    <row r="30" spans="1:21" x14ac:dyDescent="0.25">
      <c r="C30" s="99"/>
      <c r="G30" s="116"/>
      <c r="P30" s="40"/>
      <c r="Q30" s="19"/>
      <c r="R30" s="19"/>
      <c r="S30" s="19"/>
      <c r="T30" s="19"/>
      <c r="U30" s="19"/>
    </row>
    <row r="31" spans="1:21" x14ac:dyDescent="0.25">
      <c r="C31" s="116"/>
      <c r="D31" s="116"/>
      <c r="E31" s="116"/>
      <c r="F31" s="116"/>
      <c r="I31" s="8" t="s">
        <v>28</v>
      </c>
      <c r="J31" s="8" t="s">
        <v>16</v>
      </c>
      <c r="K31" s="8" t="s">
        <v>39</v>
      </c>
      <c r="L31" s="8" t="s">
        <v>96</v>
      </c>
      <c r="M31" s="8" t="s">
        <v>41</v>
      </c>
      <c r="N31" s="8" t="s">
        <v>97</v>
      </c>
      <c r="O31" s="8" t="s">
        <v>20</v>
      </c>
      <c r="P31" s="39" t="s">
        <v>31</v>
      </c>
      <c r="Q31" s="19"/>
      <c r="R31" s="19"/>
      <c r="S31" s="19"/>
      <c r="T31" s="19"/>
      <c r="U31" s="19"/>
    </row>
    <row r="32" spans="1:21" x14ac:dyDescent="0.25">
      <c r="C32" s="116"/>
      <c r="D32" s="116"/>
      <c r="E32" s="116"/>
      <c r="F32" s="116"/>
      <c r="I32" s="11" t="s">
        <v>8</v>
      </c>
      <c r="J32" s="11" t="s">
        <v>9</v>
      </c>
      <c r="K32" s="41" t="s">
        <v>10</v>
      </c>
      <c r="L32" s="41" t="s">
        <v>10</v>
      </c>
      <c r="M32" s="42" t="s">
        <v>22</v>
      </c>
      <c r="N32" s="12"/>
      <c r="O32" s="20" t="s">
        <v>22</v>
      </c>
      <c r="P32" s="43"/>
      <c r="Q32" s="19"/>
      <c r="R32" s="19"/>
      <c r="S32" s="19"/>
      <c r="T32" s="19"/>
      <c r="U32" s="19"/>
    </row>
    <row r="33" spans="3:21" x14ac:dyDescent="0.25">
      <c r="C33" s="116"/>
      <c r="D33" s="116"/>
      <c r="E33" s="116"/>
      <c r="F33" s="116"/>
      <c r="I33" s="57">
        <f>'[2]Data Processed'!A28</f>
        <v>26</v>
      </c>
      <c r="J33" s="57" t="str">
        <f>'[2]Data Processed'!B28</f>
        <v>B574-13</v>
      </c>
      <c r="K33" s="51">
        <f>'[2]Data Processed'!K117</f>
        <v>4.0000000000000001E-3</v>
      </c>
      <c r="L33" s="51">
        <f>'[2]Data Processed'!L117</f>
        <v>87.34</v>
      </c>
      <c r="M33" s="51">
        <f>'[2]Data Processed'!M117</f>
        <v>0.34676000000000001</v>
      </c>
      <c r="N33" s="51">
        <f>'[2]Data Processed'!N117</f>
        <v>0.34936</v>
      </c>
      <c r="O33" s="47">
        <f>N33/M33</f>
        <v>1.0074979813127234</v>
      </c>
      <c r="P33" s="173">
        <f>AVERAGE(O33:O34)</f>
        <v>0.99944813048432724</v>
      </c>
      <c r="Q33" s="19"/>
      <c r="R33" s="19"/>
      <c r="S33" s="19"/>
      <c r="T33" s="19"/>
      <c r="U33" s="19"/>
    </row>
    <row r="34" spans="3:21" ht="15.75" thickBot="1" x14ac:dyDescent="0.3">
      <c r="C34" s="116"/>
      <c r="D34" s="116"/>
      <c r="E34" s="116"/>
      <c r="F34" s="116"/>
      <c r="I34" s="53">
        <f>'[2]Data Processed'!A29</f>
        <v>27</v>
      </c>
      <c r="J34" s="53" t="str">
        <f>'[2]Data Processed'!B29</f>
        <v>B575-1</v>
      </c>
      <c r="K34" s="53">
        <f>'[2]Data Processed'!K119</f>
        <v>4.0000000000000001E-3</v>
      </c>
      <c r="L34" s="53">
        <f>'[2]Data Processed'!L119</f>
        <v>24.78</v>
      </c>
      <c r="M34" s="53">
        <f>'[2]Data Processed'!M119</f>
        <v>9.9979999999999999E-2</v>
      </c>
      <c r="N34" s="53">
        <f>'[2]Data Processed'!N119</f>
        <v>9.912E-2</v>
      </c>
      <c r="O34" s="49">
        <f>N34/M34</f>
        <v>0.99139827965593119</v>
      </c>
      <c r="P34" s="174"/>
      <c r="Q34" s="19"/>
      <c r="R34" s="19"/>
      <c r="S34" s="19"/>
      <c r="T34" s="19"/>
      <c r="U34" s="19"/>
    </row>
    <row r="35" spans="3:21" x14ac:dyDescent="0.25">
      <c r="C35" s="116"/>
      <c r="D35" s="116"/>
      <c r="E35" s="116"/>
      <c r="F35" s="116"/>
      <c r="I35" s="54"/>
      <c r="J35" s="54"/>
      <c r="K35" s="54"/>
      <c r="P35" s="55"/>
      <c r="Q35" s="19"/>
      <c r="R35" s="19"/>
      <c r="S35"/>
      <c r="T35"/>
      <c r="U35" s="19"/>
    </row>
    <row r="36" spans="3:21" ht="30" x14ac:dyDescent="0.25">
      <c r="C36" s="116"/>
      <c r="D36" s="116"/>
      <c r="E36" s="116"/>
      <c r="F36" s="116"/>
      <c r="I36" s="8" t="s">
        <v>43</v>
      </c>
      <c r="J36" s="8" t="s">
        <v>16</v>
      </c>
      <c r="K36" s="8" t="s">
        <v>17</v>
      </c>
      <c r="L36" s="8" t="s">
        <v>86</v>
      </c>
      <c r="M36" s="8" t="s">
        <v>87</v>
      </c>
      <c r="N36" s="8" t="s">
        <v>44</v>
      </c>
      <c r="O36" s="8" t="s">
        <v>45</v>
      </c>
      <c r="P36" s="8" t="s">
        <v>98</v>
      </c>
      <c r="Q36" s="8" t="s">
        <v>84</v>
      </c>
      <c r="R36" s="56" t="s">
        <v>47</v>
      </c>
      <c r="S36"/>
      <c r="T36"/>
      <c r="U36" s="19"/>
    </row>
    <row r="37" spans="3:21" x14ac:dyDescent="0.25">
      <c r="C37" s="116"/>
      <c r="D37" s="116"/>
      <c r="E37" s="116"/>
      <c r="F37" s="116"/>
      <c r="G37" s="116"/>
      <c r="I37" s="11" t="s">
        <v>8</v>
      </c>
      <c r="J37" s="11" t="s">
        <v>9</v>
      </c>
      <c r="K37" s="11" t="s">
        <v>21</v>
      </c>
      <c r="L37" s="12" t="s">
        <v>10</v>
      </c>
      <c r="M37" s="12" t="s">
        <v>10</v>
      </c>
      <c r="N37" s="12" t="s">
        <v>48</v>
      </c>
      <c r="O37" s="12" t="s">
        <v>49</v>
      </c>
      <c r="P37" s="12" t="s">
        <v>50</v>
      </c>
      <c r="Q37" s="12" t="s">
        <v>51</v>
      </c>
      <c r="R37" s="43" t="s">
        <v>22</v>
      </c>
      <c r="S37"/>
      <c r="T37"/>
      <c r="U37" s="19"/>
    </row>
    <row r="38" spans="3:21" x14ac:dyDescent="0.25">
      <c r="C38" s="116"/>
      <c r="D38" s="116"/>
      <c r="E38" s="116"/>
      <c r="F38" s="116"/>
      <c r="G38" s="116"/>
      <c r="I38" s="24">
        <f>'[2]Data Processed'!A21</f>
        <v>19</v>
      </c>
      <c r="J38" s="24" t="str">
        <f>'[2]Data Processed'!B21</f>
        <v>B574-9</v>
      </c>
      <c r="K38" s="25">
        <f>'[2]Data Processed'!C21</f>
        <v>10.101010101010102</v>
      </c>
      <c r="L38" s="24">
        <f>'[2]Data Processed'!D21</f>
        <v>0.51229999999999998</v>
      </c>
      <c r="M38" s="26">
        <f>K38*L38</f>
        <v>5.1747474747474751</v>
      </c>
      <c r="N38" s="7">
        <v>0.5</v>
      </c>
      <c r="O38" s="58">
        <v>0.05</v>
      </c>
      <c r="P38" s="59">
        <f>M38*O38</f>
        <v>0.25873737373737377</v>
      </c>
      <c r="Q38" s="59">
        <f>P38/(N38/1000)</f>
        <v>517.47474747474757</v>
      </c>
      <c r="R38" s="60">
        <f>Q38/$D$18</f>
        <v>0.39805749805749813</v>
      </c>
      <c r="S38"/>
      <c r="T38"/>
      <c r="U38" s="19"/>
    </row>
    <row r="39" spans="3:21" x14ac:dyDescent="0.25">
      <c r="C39" s="116"/>
      <c r="D39" s="116"/>
      <c r="E39" s="116"/>
      <c r="F39" s="116"/>
      <c r="G39" s="116"/>
      <c r="I39" s="57">
        <f>'[2]Data Processed'!A39</f>
        <v>37</v>
      </c>
      <c r="J39" s="57" t="str">
        <f>'[2]Data Processed'!B39</f>
        <v>B575-9</v>
      </c>
      <c r="K39" s="30">
        <f>'[2]Data Processed'!C39</f>
        <v>10.101010101010102</v>
      </c>
      <c r="L39" s="57">
        <f>'[2]Data Processed'!D39</f>
        <v>0.52490000000000003</v>
      </c>
      <c r="M39" s="31">
        <f t="shared" ref="M39:M42" si="2">K39*L39</f>
        <v>5.302020202020203</v>
      </c>
      <c r="N39" s="16">
        <v>0.501</v>
      </c>
      <c r="O39" s="15">
        <v>0.05</v>
      </c>
      <c r="P39" s="50">
        <f t="shared" ref="P39:P42" si="3">M39*O39</f>
        <v>0.26510101010101017</v>
      </c>
      <c r="Q39" s="50">
        <f t="shared" ref="Q39:Q42" si="4">P39/(N39/1000)</f>
        <v>529.14373273654724</v>
      </c>
      <c r="R39" s="61">
        <f t="shared" ref="R39:R40" si="5">Q39/$D$18</f>
        <v>0.40703364056657482</v>
      </c>
      <c r="S39"/>
      <c r="T39"/>
      <c r="U39" s="19"/>
    </row>
    <row r="40" spans="3:21" x14ac:dyDescent="0.25">
      <c r="C40" s="116"/>
      <c r="D40" s="116"/>
      <c r="E40" s="116"/>
      <c r="F40" s="116"/>
      <c r="G40" s="116"/>
      <c r="I40" s="57">
        <f>'[2]Data Processed'!A53</f>
        <v>51</v>
      </c>
      <c r="J40" s="57" t="str">
        <f>'[2]Data Processed'!B53</f>
        <v>B578-7</v>
      </c>
      <c r="K40" s="30">
        <f>'[2]Data Processed'!C53</f>
        <v>10.101010101010102</v>
      </c>
      <c r="L40" s="57">
        <f>'[2]Data Processed'!D53</f>
        <v>0.50949999999999995</v>
      </c>
      <c r="M40" s="31">
        <f t="shared" si="2"/>
        <v>5.1464646464646462</v>
      </c>
      <c r="N40" s="16">
        <v>0.49399999999999999</v>
      </c>
      <c r="O40" s="15">
        <v>0.05</v>
      </c>
      <c r="P40" s="50">
        <f t="shared" si="3"/>
        <v>0.25732323232323234</v>
      </c>
      <c r="Q40" s="50">
        <f t="shared" si="4"/>
        <v>520.89723142354728</v>
      </c>
      <c r="R40" s="61">
        <f t="shared" si="5"/>
        <v>0.4006901780181133</v>
      </c>
      <c r="S40"/>
      <c r="T40"/>
      <c r="U40" s="19"/>
    </row>
    <row r="41" spans="3:21" x14ac:dyDescent="0.25">
      <c r="G41" s="116"/>
      <c r="I41" s="57">
        <f>'[2]Data Processed'!A67</f>
        <v>65</v>
      </c>
      <c r="J41" s="57" t="str">
        <f>'[2]Data Processed'!B67</f>
        <v>Fe15-7</v>
      </c>
      <c r="K41" s="57">
        <f>'[2]Data Processed'!C67</f>
        <v>20</v>
      </c>
      <c r="L41" s="57">
        <f>'[2]Data Processed'!D67</f>
        <v>9.4999999999999998E-3</v>
      </c>
      <c r="M41" s="57">
        <f t="shared" si="2"/>
        <v>0.19</v>
      </c>
      <c r="N41" s="16">
        <v>0.10199999999999999</v>
      </c>
      <c r="O41" s="15">
        <v>4.0000000000000001E-3</v>
      </c>
      <c r="P41" s="50">
        <f t="shared" si="3"/>
        <v>7.6000000000000004E-4</v>
      </c>
      <c r="Q41" s="50">
        <f t="shared" si="4"/>
        <v>7.4509803921568629</v>
      </c>
      <c r="R41" s="61">
        <f>Q41/$E$17</f>
        <v>1.0644257703081232</v>
      </c>
      <c r="S41"/>
      <c r="T41"/>
      <c r="U41" s="19"/>
    </row>
    <row r="42" spans="3:21" ht="15.75" thickBot="1" x14ac:dyDescent="0.3">
      <c r="G42" s="116"/>
      <c r="I42" s="72">
        <f>'[2]Data Processed'!A68</f>
        <v>66</v>
      </c>
      <c r="J42" s="72" t="str">
        <f>'[2]Data Processed'!B68</f>
        <v>Fe15-8</v>
      </c>
      <c r="K42" s="72">
        <f>'[2]Data Processed'!C68</f>
        <v>40</v>
      </c>
      <c r="L42" s="72">
        <f>'[2]Data Processed'!D68</f>
        <v>0.97230000000000005</v>
      </c>
      <c r="M42" s="72">
        <f t="shared" si="2"/>
        <v>38.892000000000003</v>
      </c>
      <c r="N42" s="4">
        <v>0.10299999999999999</v>
      </c>
      <c r="O42" s="23">
        <v>4.0000000000000001E-3</v>
      </c>
      <c r="P42" s="62">
        <f t="shared" si="3"/>
        <v>0.15556800000000001</v>
      </c>
      <c r="Q42" s="62">
        <f t="shared" si="4"/>
        <v>1510.3689320388351</v>
      </c>
      <c r="R42" s="63">
        <f>Q42/$D$17</f>
        <v>1.1618222554144886</v>
      </c>
      <c r="S42"/>
      <c r="T42"/>
    </row>
    <row r="43" spans="3:21" x14ac:dyDescent="0.25">
      <c r="G43" s="116"/>
    </row>
    <row r="44" spans="3:21" x14ac:dyDescent="0.25">
      <c r="G44" s="116"/>
    </row>
    <row r="45" spans="3:21" ht="15.75" thickBot="1" x14ac:dyDescent="0.3">
      <c r="G45" s="116"/>
      <c r="I45" s="64" t="s">
        <v>53</v>
      </c>
      <c r="J45" s="64" t="s">
        <v>54</v>
      </c>
      <c r="K45" s="65" t="s">
        <v>6</v>
      </c>
      <c r="L45" s="64" t="s">
        <v>55</v>
      </c>
      <c r="M45" s="65" t="s">
        <v>6</v>
      </c>
      <c r="N45" s="64" t="s">
        <v>56</v>
      </c>
      <c r="O45" s="65" t="s">
        <v>6</v>
      </c>
      <c r="P45" s="64" t="s">
        <v>57</v>
      </c>
      <c r="Q45" s="65" t="s">
        <v>6</v>
      </c>
    </row>
    <row r="46" spans="3:21" x14ac:dyDescent="0.25">
      <c r="G46" s="116"/>
      <c r="I46" s="66">
        <v>1</v>
      </c>
      <c r="J46" s="67">
        <f>K59/1</f>
        <v>0.95589999999999997</v>
      </c>
      <c r="K46" s="68" t="str">
        <f>IF(J46&lt;90%,"ICV", (IF(J46&gt;110%,"ICV", " ")))</f>
        <v xml:space="preserve"> </v>
      </c>
      <c r="L46" s="69">
        <f>K60</f>
        <v>-2.8999999999999998E-3</v>
      </c>
      <c r="M46" s="68" t="str">
        <f>IF((ABS(L46)&gt;0.5),"ICB"," ")</f>
        <v xml:space="preserve"> </v>
      </c>
      <c r="N46" s="70">
        <f>K61/1</f>
        <v>0.96889999999999998</v>
      </c>
      <c r="O46" s="68" t="str">
        <f t="shared" ref="O46:O53" si="6">IF(N46&lt;90%,"CCV", (IF(N46&gt;110%,"CCV", " ")))</f>
        <v xml:space="preserve"> </v>
      </c>
      <c r="P46" s="71">
        <f>K62</f>
        <v>2.8999999999999998E-3</v>
      </c>
      <c r="Q46" s="68" t="str">
        <f t="shared" ref="Q46:Q53" si="7">IF((ABS(P46)&gt;0.5),"CCB"," ")</f>
        <v xml:space="preserve"> </v>
      </c>
    </row>
    <row r="47" spans="3:21" x14ac:dyDescent="0.25">
      <c r="I47" s="66">
        <v>2</v>
      </c>
      <c r="J47" s="70"/>
      <c r="K47" s="70"/>
      <c r="L47" s="69"/>
      <c r="M47" s="70"/>
      <c r="N47" s="70">
        <f>K63/1</f>
        <v>0.96650000000000003</v>
      </c>
      <c r="O47" s="68" t="str">
        <f t="shared" si="6"/>
        <v xml:space="preserve"> </v>
      </c>
      <c r="P47" s="71">
        <f>K64</f>
        <v>2.2000000000000001E-3</v>
      </c>
      <c r="Q47" s="68" t="str">
        <f t="shared" si="7"/>
        <v xml:space="preserve"> </v>
      </c>
    </row>
    <row r="48" spans="3:21" x14ac:dyDescent="0.25">
      <c r="I48" s="66">
        <v>3</v>
      </c>
      <c r="J48" s="70"/>
      <c r="K48" s="70"/>
      <c r="L48" s="69"/>
      <c r="M48" s="70"/>
      <c r="N48" s="70">
        <f>K65/1</f>
        <v>0.98209999999999997</v>
      </c>
      <c r="O48" s="68" t="str">
        <f t="shared" si="6"/>
        <v xml:space="preserve"> </v>
      </c>
      <c r="P48" s="71">
        <f>K66</f>
        <v>-1.8E-3</v>
      </c>
      <c r="Q48" s="68" t="str">
        <f t="shared" si="7"/>
        <v xml:space="preserve"> </v>
      </c>
    </row>
    <row r="49" spans="4:17" x14ac:dyDescent="0.25">
      <c r="I49" s="16">
        <v>4</v>
      </c>
      <c r="N49" s="70">
        <f>K67/1</f>
        <v>0.96970000000000001</v>
      </c>
      <c r="O49" s="68" t="str">
        <f t="shared" si="6"/>
        <v xml:space="preserve"> </v>
      </c>
      <c r="P49" s="71">
        <f>K68</f>
        <v>-2.3E-3</v>
      </c>
      <c r="Q49" s="68" t="str">
        <f t="shared" si="7"/>
        <v xml:space="preserve"> </v>
      </c>
    </row>
    <row r="50" spans="4:17" x14ac:dyDescent="0.25">
      <c r="I50" s="66">
        <v>5</v>
      </c>
      <c r="N50" s="70">
        <f>K69/1</f>
        <v>0.95269999999999999</v>
      </c>
      <c r="O50" s="68" t="str">
        <f t="shared" si="6"/>
        <v xml:space="preserve"> </v>
      </c>
      <c r="P50" s="71">
        <f>K70</f>
        <v>-2.5999999999999999E-3</v>
      </c>
      <c r="Q50" s="68" t="str">
        <f t="shared" si="7"/>
        <v xml:space="preserve"> </v>
      </c>
    </row>
    <row r="51" spans="4:17" x14ac:dyDescent="0.25">
      <c r="I51" s="16">
        <v>6</v>
      </c>
      <c r="N51" s="70">
        <f>K71/1</f>
        <v>0.94259999999999999</v>
      </c>
      <c r="O51" s="68" t="str">
        <f t="shared" si="6"/>
        <v xml:space="preserve"> </v>
      </c>
      <c r="P51" s="71">
        <f>K72</f>
        <v>-2.8E-3</v>
      </c>
      <c r="Q51" s="68" t="str">
        <f t="shared" si="7"/>
        <v xml:space="preserve"> </v>
      </c>
    </row>
    <row r="52" spans="4:17" x14ac:dyDescent="0.25">
      <c r="I52" s="66">
        <v>7</v>
      </c>
      <c r="N52" s="70">
        <f>K73/1</f>
        <v>0.95909999999999995</v>
      </c>
      <c r="O52" s="68" t="str">
        <f t="shared" si="6"/>
        <v xml:space="preserve"> </v>
      </c>
      <c r="P52" s="71">
        <f>K74</f>
        <v>2.3E-3</v>
      </c>
      <c r="Q52" s="68" t="str">
        <f t="shared" si="7"/>
        <v xml:space="preserve"> </v>
      </c>
    </row>
    <row r="53" spans="4:17" x14ac:dyDescent="0.25">
      <c r="I53" s="16">
        <v>8</v>
      </c>
      <c r="N53" s="70">
        <f>K75/1</f>
        <v>0.96750000000000003</v>
      </c>
      <c r="O53" s="68" t="str">
        <f t="shared" si="6"/>
        <v xml:space="preserve"> </v>
      </c>
      <c r="P53" s="71">
        <f>K76</f>
        <v>2.5999999999999999E-3</v>
      </c>
      <c r="Q53" s="68" t="str">
        <f t="shared" si="7"/>
        <v xml:space="preserve"> </v>
      </c>
    </row>
    <row r="54" spans="4:17" x14ac:dyDescent="0.25">
      <c r="I54" s="66"/>
      <c r="N54" s="70"/>
      <c r="O54" s="68"/>
      <c r="P54" s="71"/>
      <c r="Q54" s="68"/>
    </row>
    <row r="55" spans="4:17" x14ac:dyDescent="0.25">
      <c r="I55" s="66"/>
      <c r="N55" s="70"/>
      <c r="O55" s="68"/>
      <c r="P55" s="71"/>
      <c r="Q55" s="68"/>
    </row>
    <row r="56" spans="4:17" x14ac:dyDescent="0.25">
      <c r="N56" s="70"/>
      <c r="O56" s="68"/>
      <c r="P56" s="71"/>
      <c r="Q56" s="68"/>
    </row>
    <row r="57" spans="4:17" x14ac:dyDescent="0.25">
      <c r="N57" s="70"/>
      <c r="O57" s="68"/>
      <c r="P57" s="71"/>
      <c r="Q57" s="68"/>
    </row>
    <row r="58" spans="4:17" ht="15.75" thickBot="1" x14ac:dyDescent="0.3">
      <c r="I58" s="64" t="s">
        <v>53</v>
      </c>
      <c r="J58" s="64" t="s">
        <v>67</v>
      </c>
      <c r="K58" s="64" t="s">
        <v>102</v>
      </c>
      <c r="N58" s="14" t="s">
        <v>69</v>
      </c>
      <c r="O58" s="14" t="s">
        <v>103</v>
      </c>
      <c r="P58" s="14" t="s">
        <v>71</v>
      </c>
      <c r="Q58" s="16">
        <v>0.99973335018564879</v>
      </c>
    </row>
    <row r="59" spans="4:17" x14ac:dyDescent="0.25">
      <c r="I59" s="169">
        <v>1</v>
      </c>
      <c r="J59" s="86" t="s">
        <v>52</v>
      </c>
      <c r="K59" s="87">
        <v>0.95589999999999997</v>
      </c>
      <c r="N59" s="88" t="s">
        <v>75</v>
      </c>
      <c r="O59" s="89">
        <v>1.6524507102513091E-5</v>
      </c>
    </row>
    <row r="60" spans="4:17" x14ac:dyDescent="0.25">
      <c r="I60" s="170"/>
      <c r="J60" s="41" t="s">
        <v>55</v>
      </c>
      <c r="K60" s="92">
        <v>-2.8999999999999998E-3</v>
      </c>
      <c r="N60" s="88" t="s">
        <v>78</v>
      </c>
      <c r="O60" s="89">
        <v>9.089066772157961E-2</v>
      </c>
    </row>
    <row r="61" spans="4:17" x14ac:dyDescent="0.25">
      <c r="I61" s="171">
        <v>1</v>
      </c>
      <c r="J61" s="57" t="s">
        <v>58</v>
      </c>
      <c r="K61" s="31">
        <v>0.96889999999999998</v>
      </c>
      <c r="N61" s="88" t="s">
        <v>80</v>
      </c>
      <c r="O61" s="89">
        <v>0.47480931289231765</v>
      </c>
    </row>
    <row r="62" spans="4:17" x14ac:dyDescent="0.25">
      <c r="D62" s="116"/>
      <c r="E62" s="116"/>
      <c r="I62" s="165"/>
      <c r="J62" s="57" t="s">
        <v>59</v>
      </c>
      <c r="K62" s="31">
        <v>2.8999999999999998E-3</v>
      </c>
      <c r="N62" s="88" t="s">
        <v>81</v>
      </c>
      <c r="O62" s="89">
        <v>0.96538528789110589</v>
      </c>
    </row>
    <row r="63" spans="4:17" ht="14.45" customHeight="1" x14ac:dyDescent="0.25">
      <c r="D63" s="116"/>
      <c r="E63" s="116"/>
      <c r="I63" s="165">
        <v>2</v>
      </c>
      <c r="J63" s="57" t="s">
        <v>58</v>
      </c>
      <c r="K63" s="31">
        <v>0.96650000000000003</v>
      </c>
      <c r="N63" s="88" t="s">
        <v>82</v>
      </c>
      <c r="O63" s="89">
        <v>1.9902046392811334</v>
      </c>
    </row>
    <row r="64" spans="4:17" x14ac:dyDescent="0.25">
      <c r="D64" s="116"/>
      <c r="E64" s="116"/>
      <c r="I64" s="165"/>
      <c r="J64" s="57" t="s">
        <v>59</v>
      </c>
      <c r="K64" s="31">
        <v>2.2000000000000001E-3</v>
      </c>
      <c r="N64" s="88" t="s">
        <v>83</v>
      </c>
      <c r="O64" s="89">
        <v>5.0787100922138642</v>
      </c>
    </row>
    <row r="65" spans="4:15" x14ac:dyDescent="0.25">
      <c r="D65" s="116"/>
      <c r="E65" s="116"/>
      <c r="I65" s="165">
        <v>3</v>
      </c>
      <c r="J65" s="57" t="s">
        <v>58</v>
      </c>
      <c r="K65" s="31">
        <v>0.98209999999999997</v>
      </c>
      <c r="N65" s="98"/>
      <c r="O65" s="98"/>
    </row>
    <row r="66" spans="4:15" x14ac:dyDescent="0.25">
      <c r="D66" s="116"/>
      <c r="E66" s="116"/>
      <c r="I66" s="165"/>
      <c r="J66" s="57" t="s">
        <v>59</v>
      </c>
      <c r="K66" s="31">
        <v>-1.8E-3</v>
      </c>
      <c r="M66" s="99"/>
      <c r="N66" s="99"/>
      <c r="O66" s="99"/>
    </row>
    <row r="67" spans="4:15" x14ac:dyDescent="0.25">
      <c r="D67" s="116"/>
      <c r="E67" s="116"/>
      <c r="I67" s="165">
        <v>4</v>
      </c>
      <c r="J67" s="57" t="s">
        <v>58</v>
      </c>
      <c r="K67" s="31">
        <v>0.96970000000000001</v>
      </c>
      <c r="M67" s="99"/>
      <c r="N67" s="99"/>
      <c r="O67" s="99"/>
    </row>
    <row r="68" spans="4:15" x14ac:dyDescent="0.25">
      <c r="D68" s="116"/>
      <c r="E68" s="116"/>
      <c r="I68" s="165"/>
      <c r="J68" s="57" t="s">
        <v>59</v>
      </c>
      <c r="K68" s="31">
        <v>-2.3E-3</v>
      </c>
      <c r="M68" s="99"/>
      <c r="N68" s="99"/>
      <c r="O68" s="99"/>
    </row>
    <row r="69" spans="4:15" x14ac:dyDescent="0.25">
      <c r="D69" s="116"/>
      <c r="E69" s="116"/>
      <c r="I69" s="165">
        <v>5</v>
      </c>
      <c r="J69" s="57" t="s">
        <v>58</v>
      </c>
      <c r="K69" s="31">
        <v>0.95269999999999999</v>
      </c>
      <c r="M69" s="99"/>
      <c r="N69" s="99"/>
      <c r="O69" s="99"/>
    </row>
    <row r="70" spans="4:15" x14ac:dyDescent="0.25">
      <c r="D70" s="116"/>
      <c r="E70" s="116"/>
      <c r="I70" s="165"/>
      <c r="J70" s="57" t="s">
        <v>59</v>
      </c>
      <c r="K70" s="31">
        <v>-2.5999999999999999E-3</v>
      </c>
      <c r="M70" s="99"/>
      <c r="N70" s="99"/>
      <c r="O70" s="99"/>
    </row>
    <row r="71" spans="4:15" x14ac:dyDescent="0.25">
      <c r="D71" s="116"/>
      <c r="E71" s="116"/>
      <c r="I71" s="165">
        <v>6</v>
      </c>
      <c r="J71" s="57" t="s">
        <v>58</v>
      </c>
      <c r="K71" s="31">
        <v>0.94259999999999999</v>
      </c>
      <c r="M71" s="99"/>
      <c r="N71" s="99"/>
      <c r="O71" s="99"/>
    </row>
    <row r="72" spans="4:15" x14ac:dyDescent="0.25">
      <c r="D72" s="116"/>
      <c r="E72" s="116"/>
      <c r="I72" s="165"/>
      <c r="J72" s="57" t="s">
        <v>59</v>
      </c>
      <c r="K72" s="31">
        <v>-2.8E-3</v>
      </c>
      <c r="M72" s="99"/>
      <c r="N72" s="99"/>
      <c r="O72" s="99"/>
    </row>
    <row r="73" spans="4:15" x14ac:dyDescent="0.25">
      <c r="I73" s="165">
        <v>7</v>
      </c>
      <c r="J73" s="57" t="s">
        <v>58</v>
      </c>
      <c r="K73" s="31">
        <v>0.95909999999999995</v>
      </c>
      <c r="M73" s="99"/>
      <c r="N73" s="99"/>
      <c r="O73" s="99"/>
    </row>
    <row r="74" spans="4:15" x14ac:dyDescent="0.25">
      <c r="I74" s="165"/>
      <c r="J74" s="57" t="s">
        <v>59</v>
      </c>
      <c r="K74" s="31">
        <v>2.3E-3</v>
      </c>
      <c r="M74" s="99"/>
      <c r="N74" s="99"/>
      <c r="O74" s="99"/>
    </row>
    <row r="75" spans="4:15" x14ac:dyDescent="0.25">
      <c r="I75" s="165">
        <v>8</v>
      </c>
      <c r="J75" s="57" t="s">
        <v>58</v>
      </c>
      <c r="K75" s="31">
        <v>0.96750000000000003</v>
      </c>
      <c r="M75" s="99"/>
      <c r="N75" s="99"/>
      <c r="O75" s="99"/>
    </row>
    <row r="76" spans="4:15" x14ac:dyDescent="0.25">
      <c r="I76" s="165"/>
      <c r="J76" s="57" t="s">
        <v>59</v>
      </c>
      <c r="K76" s="31">
        <v>2.5999999999999999E-3</v>
      </c>
      <c r="M76" s="99"/>
      <c r="N76" s="99"/>
      <c r="O76" s="99"/>
    </row>
    <row r="77" spans="4:15" x14ac:dyDescent="0.25">
      <c r="J77" s="101"/>
      <c r="M77" s="99"/>
      <c r="N77" s="99"/>
      <c r="O77" s="99"/>
    </row>
    <row r="78" spans="4:15" x14ac:dyDescent="0.25">
      <c r="J78" s="101"/>
      <c r="M78" s="99"/>
      <c r="N78" s="99"/>
      <c r="O78" s="99"/>
    </row>
    <row r="79" spans="4:15" x14ac:dyDescent="0.25">
      <c r="J79" s="101"/>
      <c r="M79" s="99"/>
      <c r="N79" s="99"/>
      <c r="O79" s="99"/>
    </row>
  </sheetData>
  <mergeCells count="12">
    <mergeCell ref="C14:G14"/>
    <mergeCell ref="P33:P34"/>
    <mergeCell ref="N27:N29"/>
    <mergeCell ref="I71:I72"/>
    <mergeCell ref="I73:I74"/>
    <mergeCell ref="I75:I76"/>
    <mergeCell ref="I59:I60"/>
    <mergeCell ref="I61:I62"/>
    <mergeCell ref="I63:I64"/>
    <mergeCell ref="I65:I66"/>
    <mergeCell ref="I67:I68"/>
    <mergeCell ref="I69:I70"/>
  </mergeCells>
  <conditionalFormatting sqref="K46 Q46:Q57">
    <cfRule type="expression" dxfId="2" priority="1">
      <formula>"i140&gt;110%"</formula>
    </cfRule>
    <cfRule type="expression" dxfId="1" priority="2">
      <formula>"i140&lt;90%"</formula>
    </cfRule>
  </conditionalFormatting>
  <conditionalFormatting sqref="M46 O46:O57">
    <cfRule type="expression" dxfId="0" priority="3">
      <formula>"i140&gt;110%"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0B60-CEA7-4AB2-92DE-99290989230E}">
  <dimension ref="A1:V70"/>
  <sheetViews>
    <sheetView workbookViewId="0">
      <selection activeCell="D30" sqref="D30:D31"/>
    </sheetView>
  </sheetViews>
  <sheetFormatPr defaultRowHeight="15" x14ac:dyDescent="0.25"/>
  <cols>
    <col min="1" max="1" width="9.140625" style="40"/>
    <col min="2" max="2" width="6.28515625" style="40" bestFit="1" customWidth="1"/>
    <col min="3" max="3" width="20.7109375" style="40" bestFit="1" customWidth="1"/>
    <col min="4" max="5" width="18.140625" style="40" bestFit="1" customWidth="1"/>
    <col min="6" max="6" width="43.85546875" style="40" bestFit="1" customWidth="1"/>
    <col min="7" max="7" width="27" style="40" bestFit="1" customWidth="1"/>
    <col min="8" max="8" width="9.140625" style="40"/>
    <col min="9" max="9" width="18.140625" bestFit="1" customWidth="1"/>
    <col min="10" max="10" width="23.28515625" bestFit="1" customWidth="1"/>
    <col min="11" max="11" width="18.5703125" bestFit="1" customWidth="1"/>
    <col min="12" max="12" width="10" bestFit="1" customWidth="1"/>
    <col min="13" max="13" width="16.7109375" bestFit="1" customWidth="1"/>
    <col min="14" max="14" width="18.140625" customWidth="1"/>
    <col min="15" max="15" width="20.42578125" customWidth="1"/>
    <col min="16" max="17" width="12" bestFit="1" customWidth="1"/>
    <col min="19" max="19" width="8.42578125" bestFit="1" customWidth="1"/>
    <col min="20" max="20" width="8.28515625" bestFit="1" customWidth="1"/>
    <col min="21" max="16384" width="9.140625" style="40"/>
  </cols>
  <sheetData>
    <row r="1" spans="1:8" x14ac:dyDescent="0.25">
      <c r="A1" s="16"/>
      <c r="B1" s="90"/>
      <c r="C1" s="74" t="s">
        <v>179</v>
      </c>
      <c r="D1" s="90"/>
      <c r="E1" s="90"/>
      <c r="F1"/>
      <c r="G1"/>
      <c r="H1" s="57"/>
    </row>
    <row r="2" spans="1:8" x14ac:dyDescent="0.25">
      <c r="A2" s="16"/>
      <c r="B2" s="90"/>
      <c r="C2" s="90"/>
      <c r="D2" s="90"/>
      <c r="E2" s="90"/>
      <c r="F2"/>
      <c r="G2"/>
      <c r="H2" s="16"/>
    </row>
    <row r="3" spans="1:8" x14ac:dyDescent="0.25">
      <c r="A3" s="16"/>
      <c r="B3" s="90"/>
      <c r="C3" s="137" t="s">
        <v>11</v>
      </c>
      <c r="D3" s="137" t="s">
        <v>144</v>
      </c>
      <c r="E3" s="137" t="s">
        <v>145</v>
      </c>
      <c r="F3"/>
      <c r="G3"/>
      <c r="H3" s="16"/>
    </row>
    <row r="4" spans="1:8" ht="16.5" x14ac:dyDescent="0.25">
      <c r="A4" s="16"/>
      <c r="B4" s="90"/>
      <c r="C4" s="74" t="s">
        <v>146</v>
      </c>
      <c r="D4" s="138">
        <v>3.0000000000000001E-3</v>
      </c>
      <c r="E4" s="90"/>
      <c r="F4"/>
      <c r="G4"/>
      <c r="H4" s="16"/>
    </row>
    <row r="5" spans="1:8" ht="16.5" x14ac:dyDescent="0.25">
      <c r="A5" s="16"/>
      <c r="B5" s="90"/>
      <c r="C5" s="139" t="s">
        <v>147</v>
      </c>
      <c r="D5" s="140">
        <v>0.05</v>
      </c>
      <c r="E5" s="141"/>
      <c r="F5"/>
      <c r="G5"/>
      <c r="H5" s="16"/>
    </row>
    <row r="6" spans="1:8" x14ac:dyDescent="0.25">
      <c r="A6" s="18" t="s">
        <v>14</v>
      </c>
      <c r="B6" s="194" t="s">
        <v>148</v>
      </c>
      <c r="C6" s="142" t="s">
        <v>105</v>
      </c>
      <c r="D6" s="143">
        <v>189.91894209341254</v>
      </c>
      <c r="E6" s="144">
        <v>6.7182566759020652</v>
      </c>
      <c r="F6"/>
      <c r="G6"/>
      <c r="H6" s="16"/>
    </row>
    <row r="7" spans="1:8" x14ac:dyDescent="0.25">
      <c r="A7" s="18" t="s">
        <v>14</v>
      </c>
      <c r="B7" s="195"/>
      <c r="C7" s="145" t="s">
        <v>107</v>
      </c>
      <c r="D7" s="143">
        <v>223.62449434102899</v>
      </c>
      <c r="E7" s="144">
        <v>3.4486037866893842</v>
      </c>
      <c r="F7"/>
      <c r="G7"/>
      <c r="H7" s="16"/>
    </row>
    <row r="8" spans="1:8" x14ac:dyDescent="0.25">
      <c r="A8" s="18" t="s">
        <v>14</v>
      </c>
      <c r="B8" s="195"/>
      <c r="C8" s="142" t="s">
        <v>149</v>
      </c>
      <c r="D8" s="143">
        <v>1830.8298758829101</v>
      </c>
      <c r="E8" s="144">
        <v>15.473090989707954</v>
      </c>
      <c r="F8"/>
      <c r="G8"/>
      <c r="H8" s="16"/>
    </row>
    <row r="9" spans="1:8" x14ac:dyDescent="0.25">
      <c r="A9" s="18" t="s">
        <v>14</v>
      </c>
      <c r="B9" s="202"/>
      <c r="C9" s="146" t="s">
        <v>108</v>
      </c>
      <c r="D9" s="147">
        <v>67.7802377653272</v>
      </c>
      <c r="E9" s="148">
        <v>1.782144237058813</v>
      </c>
      <c r="F9"/>
      <c r="G9"/>
      <c r="H9" s="16"/>
    </row>
    <row r="10" spans="1:8" x14ac:dyDescent="0.25">
      <c r="A10" s="18" t="s">
        <v>14</v>
      </c>
      <c r="B10" s="195" t="s">
        <v>150</v>
      </c>
      <c r="C10" s="142" t="s">
        <v>110</v>
      </c>
      <c r="D10" s="143">
        <v>45.744537184193099</v>
      </c>
      <c r="E10" s="144">
        <v>1.2436405768364016</v>
      </c>
      <c r="F10"/>
      <c r="G10"/>
      <c r="H10" s="16"/>
    </row>
    <row r="11" spans="1:8" x14ac:dyDescent="0.25">
      <c r="A11" s="18" t="s">
        <v>14</v>
      </c>
      <c r="B11" s="195"/>
      <c r="C11" s="142" t="s">
        <v>151</v>
      </c>
      <c r="D11" s="143">
        <v>538.30752965319402</v>
      </c>
      <c r="E11" s="144">
        <v>14.045118971648673</v>
      </c>
      <c r="F11"/>
      <c r="G11"/>
      <c r="H11" s="16"/>
    </row>
    <row r="12" spans="1:8" ht="15.75" thickBot="1" x14ac:dyDescent="0.3">
      <c r="A12" s="18" t="s">
        <v>35</v>
      </c>
      <c r="B12" s="196"/>
      <c r="C12" s="149" t="s">
        <v>152</v>
      </c>
      <c r="D12" s="150">
        <v>3.35571281679066</v>
      </c>
      <c r="E12" s="151">
        <v>0.68259990490155165</v>
      </c>
      <c r="F12"/>
      <c r="G12"/>
      <c r="H12" s="16"/>
    </row>
    <row r="13" spans="1:8" x14ac:dyDescent="0.25">
      <c r="A13" s="18" t="str">
        <f>IF(AND(A6&lt;&gt;"",F6&lt;&gt;""),_xlfn.CONCAT(F6,", ",A6),_xlfn.CONCAT(A6,F6))</f>
        <v/>
      </c>
      <c r="B13" s="16"/>
      <c r="C13" s="16"/>
      <c r="D13" s="16"/>
      <c r="E13" s="16"/>
      <c r="H13" s="16"/>
    </row>
    <row r="14" spans="1:8" x14ac:dyDescent="0.25">
      <c r="A14" s="18" t="str">
        <f t="shared" ref="A14:A15" si="0">IF(AND(A7&lt;&gt;"",F7&lt;&gt;""),_xlfn.CONCAT(F7,", ",A7),_xlfn.CONCAT(A7,F7))</f>
        <v/>
      </c>
      <c r="B14" s="16"/>
      <c r="C14"/>
      <c r="D14"/>
      <c r="E14"/>
      <c r="F14"/>
      <c r="G14"/>
      <c r="H14" s="16"/>
    </row>
    <row r="15" spans="1:8" x14ac:dyDescent="0.25">
      <c r="A15" s="18" t="str">
        <f t="shared" si="0"/>
        <v/>
      </c>
      <c r="B15" s="16"/>
      <c r="C15"/>
      <c r="D15"/>
      <c r="E15"/>
      <c r="F15"/>
      <c r="G15"/>
      <c r="H15" s="16"/>
    </row>
    <row r="16" spans="1:8" x14ac:dyDescent="0.25">
      <c r="A16" s="16"/>
      <c r="B16" s="90"/>
      <c r="C16" s="74" t="s">
        <v>154</v>
      </c>
      <c r="D16" s="90"/>
      <c r="E16" s="90"/>
      <c r="F16"/>
      <c r="G16"/>
      <c r="H16" s="16"/>
    </row>
    <row r="17" spans="1:22" x14ac:dyDescent="0.25">
      <c r="A17" s="16"/>
      <c r="B17" s="90"/>
      <c r="C17" s="90"/>
      <c r="D17" s="90"/>
      <c r="E17" s="90"/>
      <c r="F17"/>
      <c r="G17"/>
      <c r="H17" s="16"/>
    </row>
    <row r="18" spans="1:22" x14ac:dyDescent="0.25">
      <c r="A18" s="16"/>
      <c r="B18" s="90"/>
      <c r="C18" s="137" t="s">
        <v>11</v>
      </c>
      <c r="D18" s="137" t="s">
        <v>144</v>
      </c>
      <c r="E18" s="137" t="s">
        <v>145</v>
      </c>
      <c r="F18" s="16"/>
      <c r="H18" s="16"/>
    </row>
    <row r="19" spans="1:22" ht="16.5" x14ac:dyDescent="0.25">
      <c r="A19" s="16"/>
      <c r="B19" s="90"/>
      <c r="C19" s="74" t="s">
        <v>146</v>
      </c>
      <c r="D19" s="138">
        <v>3.0000000000000001E-3</v>
      </c>
      <c r="E19" s="90"/>
      <c r="F19"/>
      <c r="G19"/>
      <c r="H19" s="16"/>
    </row>
    <row r="20" spans="1:22" ht="17.25" thickBot="1" x14ac:dyDescent="0.3">
      <c r="A20" s="16"/>
      <c r="B20" s="90"/>
      <c r="C20" s="157" t="s">
        <v>147</v>
      </c>
      <c r="D20" s="158">
        <v>0.05</v>
      </c>
      <c r="E20" s="93"/>
      <c r="F20"/>
      <c r="G20"/>
      <c r="H20" s="16"/>
    </row>
    <row r="21" spans="1:22" x14ac:dyDescent="0.25">
      <c r="A21" s="16"/>
      <c r="B21" s="194">
        <v>555</v>
      </c>
      <c r="C21" s="142" t="s">
        <v>106</v>
      </c>
      <c r="D21" s="160">
        <v>215.37301562716101</v>
      </c>
      <c r="E21" s="159">
        <v>2.5005475580491892</v>
      </c>
      <c r="F21"/>
      <c r="G21"/>
      <c r="H21" s="16"/>
    </row>
    <row r="22" spans="1:22" x14ac:dyDescent="0.25">
      <c r="A22" s="16"/>
      <c r="B22" s="195"/>
      <c r="C22" s="142" t="s">
        <v>111</v>
      </c>
      <c r="D22" s="143">
        <v>118.419991994808</v>
      </c>
      <c r="E22" s="144">
        <v>8.0075534431870192</v>
      </c>
      <c r="F22"/>
      <c r="G22"/>
      <c r="V22"/>
    </row>
    <row r="23" spans="1:22" x14ac:dyDescent="0.25">
      <c r="A23" s="16"/>
      <c r="B23" s="195"/>
      <c r="C23" s="142" t="s">
        <v>109</v>
      </c>
      <c r="D23" s="143">
        <v>96.324183050107905</v>
      </c>
      <c r="E23" s="144">
        <v>12.815794019299677</v>
      </c>
      <c r="F23"/>
      <c r="G23"/>
      <c r="V23"/>
    </row>
    <row r="24" spans="1:22" ht="15.75" thickBot="1" x14ac:dyDescent="0.3">
      <c r="A24" s="16"/>
      <c r="B24" s="196"/>
      <c r="C24" s="149" t="s">
        <v>112</v>
      </c>
      <c r="D24" s="150">
        <v>71.999780825618302</v>
      </c>
      <c r="E24" s="151">
        <v>1.1268011593747118</v>
      </c>
      <c r="F24"/>
      <c r="G24"/>
      <c r="V24"/>
    </row>
    <row r="25" spans="1:22" x14ac:dyDescent="0.25">
      <c r="A25" s="16"/>
      <c r="B25" s="16"/>
      <c r="C25"/>
      <c r="D25"/>
      <c r="E25"/>
      <c r="F25"/>
      <c r="G25"/>
      <c r="V25"/>
    </row>
    <row r="26" spans="1:22" x14ac:dyDescent="0.25">
      <c r="A26" s="16"/>
      <c r="B26" s="16"/>
      <c r="C26"/>
      <c r="D26"/>
      <c r="E26"/>
      <c r="F26"/>
      <c r="G26"/>
      <c r="V26"/>
    </row>
    <row r="27" spans="1:22" x14ac:dyDescent="0.25">
      <c r="A27" s="16"/>
      <c r="B27" s="90"/>
      <c r="C27" s="74" t="s">
        <v>155</v>
      </c>
      <c r="D27" s="90"/>
      <c r="E27" s="90"/>
      <c r="F27"/>
      <c r="G27"/>
      <c r="V27"/>
    </row>
    <row r="28" spans="1:22" x14ac:dyDescent="0.25">
      <c r="A28" s="16"/>
      <c r="B28" s="90"/>
      <c r="C28" s="90"/>
      <c r="D28" s="90"/>
      <c r="E28" s="90"/>
      <c r="F28" s="16"/>
      <c r="G28" s="16"/>
    </row>
    <row r="29" spans="1:22" x14ac:dyDescent="0.25">
      <c r="A29" s="16"/>
      <c r="B29" s="90"/>
      <c r="C29" s="137" t="s">
        <v>11</v>
      </c>
      <c r="D29" s="137" t="s">
        <v>144</v>
      </c>
      <c r="E29" s="137" t="s">
        <v>145</v>
      </c>
      <c r="F29" s="16"/>
      <c r="G29" s="16"/>
    </row>
    <row r="30" spans="1:22" ht="17.25" x14ac:dyDescent="0.25">
      <c r="A30" s="16"/>
      <c r="B30" s="90"/>
      <c r="C30" s="74" t="s">
        <v>156</v>
      </c>
      <c r="D30" s="138">
        <v>3.0000000000000001E-3</v>
      </c>
      <c r="E30" s="90"/>
      <c r="F30" s="16"/>
      <c r="G30" s="16"/>
    </row>
    <row r="31" spans="1:22" ht="18" thickBot="1" x14ac:dyDescent="0.3">
      <c r="A31" s="16"/>
      <c r="B31" s="90"/>
      <c r="C31" s="157" t="s">
        <v>157</v>
      </c>
      <c r="D31" s="158">
        <v>0.05</v>
      </c>
      <c r="E31" s="93"/>
      <c r="F31" s="16"/>
      <c r="G31" s="16"/>
    </row>
    <row r="32" spans="1:22" x14ac:dyDescent="0.25">
      <c r="A32" s="16"/>
      <c r="B32" s="197" t="s">
        <v>158</v>
      </c>
      <c r="C32" s="142" t="s">
        <v>159</v>
      </c>
      <c r="D32" s="143">
        <v>217.620236566991</v>
      </c>
      <c r="E32" s="159">
        <v>0.97851872933867601</v>
      </c>
      <c r="F32" s="16"/>
      <c r="G32" s="16"/>
    </row>
    <row r="33" spans="1:8" x14ac:dyDescent="0.25">
      <c r="A33" s="16"/>
      <c r="B33" s="198"/>
      <c r="C33" s="142" t="s">
        <v>160</v>
      </c>
      <c r="D33" s="143">
        <v>154.04040404040401</v>
      </c>
      <c r="E33" s="144">
        <v>1.5713484026367566</v>
      </c>
      <c r="F33" s="16"/>
      <c r="G33" s="16"/>
    </row>
    <row r="34" spans="1:8" x14ac:dyDescent="0.25">
      <c r="A34" s="16"/>
      <c r="B34" s="198"/>
      <c r="C34" s="142" t="s">
        <v>161</v>
      </c>
      <c r="D34" s="143">
        <v>1788.3704128684101</v>
      </c>
      <c r="E34" s="144">
        <v>6.5906535603213081</v>
      </c>
      <c r="F34" s="16"/>
      <c r="G34" s="16"/>
    </row>
    <row r="35" spans="1:8" x14ac:dyDescent="0.25">
      <c r="A35" s="16"/>
      <c r="B35" s="199"/>
      <c r="C35" s="146" t="s">
        <v>162</v>
      </c>
      <c r="D35" s="147">
        <v>173.165118931248</v>
      </c>
      <c r="E35" s="148">
        <v>0.80929050795622959</v>
      </c>
      <c r="F35" s="16"/>
      <c r="G35" s="16"/>
      <c r="H35" s="152"/>
    </row>
    <row r="36" spans="1:8" x14ac:dyDescent="0.25">
      <c r="A36" s="16"/>
      <c r="B36" s="198" t="s">
        <v>163</v>
      </c>
      <c r="C36" s="142" t="s">
        <v>164</v>
      </c>
      <c r="D36" s="143">
        <v>204.02544550730033</v>
      </c>
      <c r="E36" s="144">
        <v>3.4114728665319491E-2</v>
      </c>
      <c r="F36" s="16"/>
      <c r="G36" s="16"/>
    </row>
    <row r="37" spans="1:8" x14ac:dyDescent="0.25">
      <c r="A37" s="16"/>
      <c r="B37" s="198"/>
      <c r="C37" s="142" t="s">
        <v>165</v>
      </c>
      <c r="D37" s="143">
        <v>116.285864476654</v>
      </c>
      <c r="E37" s="144">
        <v>2.858399913223594</v>
      </c>
      <c r="F37" s="16"/>
      <c r="G37" s="16"/>
    </row>
    <row r="38" spans="1:8" x14ac:dyDescent="0.25">
      <c r="A38" s="16"/>
      <c r="B38" s="198"/>
      <c r="C38" s="142" t="s">
        <v>166</v>
      </c>
      <c r="D38" s="143">
        <v>63.619696969697003</v>
      </c>
      <c r="E38" s="144">
        <v>8.2438651196516339</v>
      </c>
      <c r="F38" s="16"/>
      <c r="G38" s="16"/>
    </row>
    <row r="39" spans="1:8" x14ac:dyDescent="0.25">
      <c r="A39" s="16"/>
      <c r="B39" s="199"/>
      <c r="C39" s="146" t="s">
        <v>167</v>
      </c>
      <c r="D39" s="147">
        <v>538.60217853134498</v>
      </c>
      <c r="E39" s="156">
        <v>3.8314570168166746</v>
      </c>
      <c r="F39" s="16"/>
      <c r="G39" s="16"/>
    </row>
    <row r="40" spans="1:8" x14ac:dyDescent="0.25">
      <c r="A40" s="16"/>
      <c r="B40" s="197" t="s">
        <v>168</v>
      </c>
      <c r="C40" s="153" t="s">
        <v>169</v>
      </c>
      <c r="D40" s="154">
        <v>91.642228739002903</v>
      </c>
      <c r="E40" s="155">
        <v>1.8720243066603799</v>
      </c>
      <c r="F40" s="16"/>
      <c r="G40" s="16"/>
    </row>
    <row r="41" spans="1:8" x14ac:dyDescent="0.25">
      <c r="A41" s="16"/>
      <c r="B41" s="198"/>
      <c r="C41" s="142" t="s">
        <v>170</v>
      </c>
      <c r="D41" s="143">
        <v>83.374180047486803</v>
      </c>
      <c r="E41" s="144">
        <v>3.9420299568502637</v>
      </c>
      <c r="F41" s="16"/>
      <c r="G41" s="16"/>
    </row>
    <row r="42" spans="1:8" x14ac:dyDescent="0.25">
      <c r="A42" s="16"/>
      <c r="B42" s="199"/>
      <c r="C42" s="146" t="s">
        <v>171</v>
      </c>
      <c r="D42" s="147">
        <v>0.71401624984377099</v>
      </c>
      <c r="E42" s="156">
        <v>0.43607726835949456</v>
      </c>
      <c r="F42" s="16"/>
      <c r="G42" s="16"/>
    </row>
    <row r="43" spans="1:8" x14ac:dyDescent="0.25">
      <c r="B43" s="16"/>
      <c r="C43" s="16"/>
      <c r="F43" s="16"/>
      <c r="G43" s="16"/>
    </row>
    <row r="44" spans="1:8" x14ac:dyDescent="0.25">
      <c r="B44" s="90"/>
      <c r="C44" s="74" t="s">
        <v>172</v>
      </c>
      <c r="D44" s="90"/>
      <c r="E44" s="90"/>
      <c r="F44" s="16"/>
      <c r="G44" s="16"/>
    </row>
    <row r="45" spans="1:8" x14ac:dyDescent="0.25">
      <c r="B45" s="90"/>
      <c r="C45" s="90"/>
      <c r="D45" s="90"/>
      <c r="E45" s="90"/>
      <c r="F45" s="16"/>
      <c r="G45" s="16"/>
      <c r="H45" s="16"/>
    </row>
    <row r="46" spans="1:8" x14ac:dyDescent="0.25">
      <c r="B46" s="90"/>
      <c r="C46" s="137" t="s">
        <v>11</v>
      </c>
      <c r="D46" s="137" t="s">
        <v>144</v>
      </c>
      <c r="E46" s="137" t="s">
        <v>145</v>
      </c>
      <c r="H46" s="16"/>
    </row>
    <row r="47" spans="1:8" ht="15" customHeight="1" x14ac:dyDescent="0.25">
      <c r="B47" s="90"/>
      <c r="C47" s="74" t="s">
        <v>146</v>
      </c>
      <c r="D47" s="138">
        <v>3.0000000000000001E-3</v>
      </c>
      <c r="E47" s="90"/>
      <c r="H47" s="16"/>
    </row>
    <row r="48" spans="1:8" ht="16.5" x14ac:dyDescent="0.25">
      <c r="B48" s="90"/>
      <c r="C48" s="139" t="s">
        <v>147</v>
      </c>
      <c r="D48" s="140">
        <v>0.05</v>
      </c>
      <c r="E48" s="141"/>
      <c r="H48" s="16"/>
    </row>
    <row r="49" spans="2:22" x14ac:dyDescent="0.25">
      <c r="B49" s="200" t="s">
        <v>172</v>
      </c>
      <c r="C49" s="142" t="s">
        <v>173</v>
      </c>
      <c r="D49" s="143">
        <v>179.66511742903199</v>
      </c>
      <c r="E49" s="144">
        <v>2.9593540245977326</v>
      </c>
      <c r="H49" s="16"/>
    </row>
    <row r="50" spans="2:22" x14ac:dyDescent="0.25">
      <c r="B50" s="201"/>
      <c r="C50" s="146" t="s">
        <v>174</v>
      </c>
      <c r="D50" s="147">
        <v>52.706196834502897</v>
      </c>
      <c r="E50" s="148">
        <v>1.476662575515413</v>
      </c>
      <c r="H50" s="16"/>
      <c r="U50"/>
      <c r="V50"/>
    </row>
    <row r="51" spans="2:22" x14ac:dyDescent="0.25">
      <c r="H51" s="16"/>
      <c r="U51"/>
      <c r="V51"/>
    </row>
    <row r="52" spans="2:22" x14ac:dyDescent="0.25">
      <c r="B52" s="90"/>
      <c r="C52" s="74" t="s">
        <v>175</v>
      </c>
      <c r="D52" s="90"/>
      <c r="E52" s="90"/>
      <c r="H52" s="16"/>
      <c r="U52"/>
      <c r="V52"/>
    </row>
    <row r="53" spans="2:22" x14ac:dyDescent="0.25">
      <c r="B53" s="90"/>
      <c r="C53" s="90"/>
      <c r="D53" s="90"/>
      <c r="E53" s="90"/>
      <c r="H53" s="16"/>
      <c r="U53"/>
      <c r="V53"/>
    </row>
    <row r="54" spans="2:22" x14ac:dyDescent="0.25">
      <c r="B54" s="90"/>
      <c r="C54" s="137" t="s">
        <v>11</v>
      </c>
      <c r="D54" s="137" t="s">
        <v>144</v>
      </c>
      <c r="E54" s="137" t="s">
        <v>145</v>
      </c>
      <c r="H54" s="16"/>
      <c r="U54"/>
      <c r="V54"/>
    </row>
    <row r="55" spans="2:22" ht="16.5" x14ac:dyDescent="0.25">
      <c r="B55" s="90"/>
      <c r="C55" s="74" t="s">
        <v>146</v>
      </c>
      <c r="D55" s="138">
        <v>3.0000000000000001E-3</v>
      </c>
      <c r="E55" s="90"/>
      <c r="H55" s="16"/>
      <c r="U55"/>
      <c r="V55"/>
    </row>
    <row r="56" spans="2:22" ht="16.5" x14ac:dyDescent="0.25">
      <c r="B56" s="90"/>
      <c r="C56" s="139" t="s">
        <v>147</v>
      </c>
      <c r="D56" s="140">
        <v>0.05</v>
      </c>
      <c r="E56" s="141"/>
      <c r="H56" s="16"/>
      <c r="U56"/>
      <c r="V56"/>
    </row>
    <row r="57" spans="2:22" x14ac:dyDescent="0.25">
      <c r="B57" s="194" t="s">
        <v>175</v>
      </c>
      <c r="C57" s="153" t="s">
        <v>176</v>
      </c>
      <c r="D57" s="154">
        <v>146.36648131453944</v>
      </c>
      <c r="E57" s="155">
        <v>0.67056135857041876</v>
      </c>
      <c r="H57" s="16"/>
      <c r="U57"/>
      <c r="V57"/>
    </row>
    <row r="58" spans="2:22" x14ac:dyDescent="0.25">
      <c r="B58" s="195"/>
      <c r="C58" s="145" t="s">
        <v>177</v>
      </c>
      <c r="D58" s="143">
        <v>2169.1713029478387</v>
      </c>
      <c r="E58" s="144">
        <v>14.577885992369788</v>
      </c>
      <c r="H58" s="16"/>
      <c r="U58"/>
      <c r="V58"/>
    </row>
    <row r="59" spans="2:22" ht="15.75" thickBot="1" x14ac:dyDescent="0.3">
      <c r="B59" s="196"/>
      <c r="C59" s="149" t="s">
        <v>178</v>
      </c>
      <c r="D59" s="150">
        <v>184.62905287249805</v>
      </c>
      <c r="E59" s="151">
        <v>0.59715936896989485</v>
      </c>
      <c r="H59" s="16"/>
      <c r="U59"/>
      <c r="V59"/>
    </row>
    <row r="60" spans="2:22" x14ac:dyDescent="0.25">
      <c r="H60" s="16"/>
      <c r="U60"/>
      <c r="V60"/>
    </row>
    <row r="61" spans="2:22" x14ac:dyDescent="0.25">
      <c r="H61" s="16"/>
    </row>
    <row r="62" spans="2:22" x14ac:dyDescent="0.25">
      <c r="H62" s="16"/>
    </row>
    <row r="63" spans="2:22" x14ac:dyDescent="0.25">
      <c r="H63" s="16"/>
    </row>
    <row r="64" spans="2:22" x14ac:dyDescent="0.25">
      <c r="H64" s="16"/>
    </row>
    <row r="65" spans="8:8" x14ac:dyDescent="0.25">
      <c r="H65" s="1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</sheetData>
  <mergeCells count="8">
    <mergeCell ref="B57:B59"/>
    <mergeCell ref="B6:B9"/>
    <mergeCell ref="B10:B12"/>
    <mergeCell ref="B21:B24"/>
    <mergeCell ref="B32:B35"/>
    <mergeCell ref="B36:B39"/>
    <mergeCell ref="B40:B42"/>
    <mergeCell ref="B49:B50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9931-BFC5-45E1-AA94-C896EB2B8154}">
  <dimension ref="A1:V56"/>
  <sheetViews>
    <sheetView workbookViewId="0">
      <selection activeCell="I13" sqref="I13"/>
    </sheetView>
  </sheetViews>
  <sheetFormatPr defaultRowHeight="15" x14ac:dyDescent="0.25"/>
  <cols>
    <col min="1" max="1" width="14.42578125" style="40" bestFit="1" customWidth="1"/>
    <col min="2" max="2" width="6.28515625" style="40" bestFit="1" customWidth="1"/>
    <col min="3" max="3" width="12.140625" style="40" bestFit="1" customWidth="1"/>
    <col min="4" max="5" width="18" style="40" bestFit="1" customWidth="1"/>
    <col min="6" max="6" width="41.7109375" bestFit="1" customWidth="1"/>
    <col min="7" max="7" width="27" bestFit="1" customWidth="1"/>
    <col min="9" max="9" width="18.140625" bestFit="1" customWidth="1"/>
    <col min="10" max="10" width="23.28515625" bestFit="1" customWidth="1"/>
    <col min="11" max="11" width="18.5703125" bestFit="1" customWidth="1"/>
    <col min="12" max="12" width="10" bestFit="1" customWidth="1"/>
    <col min="13" max="13" width="16.7109375" bestFit="1" customWidth="1"/>
    <col min="14" max="14" width="18.140625" customWidth="1"/>
    <col min="15" max="15" width="20.42578125" customWidth="1"/>
    <col min="16" max="17" width="12" bestFit="1" customWidth="1"/>
    <col min="19" max="19" width="8.42578125" bestFit="1" customWidth="1"/>
    <col min="20" max="20" width="8.28515625" bestFit="1" customWidth="1"/>
    <col min="23" max="16384" width="9.140625" style="40"/>
  </cols>
  <sheetData>
    <row r="1" spans="1:5" x14ac:dyDescent="0.25">
      <c r="A1" s="16"/>
      <c r="B1" s="90"/>
      <c r="C1" s="74" t="s">
        <v>143</v>
      </c>
      <c r="D1" s="90"/>
      <c r="E1" s="90"/>
    </row>
    <row r="2" spans="1:5" x14ac:dyDescent="0.25">
      <c r="A2" s="16"/>
      <c r="B2" s="90"/>
      <c r="C2" s="90"/>
      <c r="D2" s="90"/>
      <c r="E2" s="90"/>
    </row>
    <row r="3" spans="1:5" x14ac:dyDescent="0.25">
      <c r="A3" s="16"/>
      <c r="B3" s="90"/>
      <c r="C3" s="137" t="s">
        <v>11</v>
      </c>
      <c r="D3" s="137" t="s">
        <v>153</v>
      </c>
      <c r="E3" s="137" t="s">
        <v>145</v>
      </c>
    </row>
    <row r="4" spans="1:5" ht="16.5" x14ac:dyDescent="0.25">
      <c r="A4" s="16"/>
      <c r="B4" s="90"/>
      <c r="C4" s="74" t="s">
        <v>146</v>
      </c>
      <c r="D4" s="138">
        <v>4.3238500921109211E-3</v>
      </c>
      <c r="E4" s="90"/>
    </row>
    <row r="5" spans="1:5" ht="16.5" x14ac:dyDescent="0.25">
      <c r="A5" s="16"/>
      <c r="B5" s="90"/>
      <c r="C5" s="139" t="s">
        <v>147</v>
      </c>
      <c r="D5" s="140">
        <v>0.05</v>
      </c>
      <c r="E5" s="141"/>
    </row>
    <row r="6" spans="1:5" x14ac:dyDescent="0.25">
      <c r="A6" s="18" t="s">
        <v>14</v>
      </c>
      <c r="B6" s="194" t="s">
        <v>148</v>
      </c>
      <c r="C6" s="153" t="s">
        <v>105</v>
      </c>
      <c r="D6" s="154">
        <v>64.818981898189804</v>
      </c>
      <c r="E6" s="155">
        <v>2.3867240589104881</v>
      </c>
    </row>
    <row r="7" spans="1:5" x14ac:dyDescent="0.25">
      <c r="A7" s="18" t="s">
        <v>14</v>
      </c>
      <c r="B7" s="195"/>
      <c r="C7" s="145" t="s">
        <v>107</v>
      </c>
      <c r="D7" s="143">
        <v>56.396874647822955</v>
      </c>
      <c r="E7" s="144">
        <v>0.5779977235797249</v>
      </c>
    </row>
    <row r="8" spans="1:5" x14ac:dyDescent="0.25">
      <c r="A8" s="18" t="s">
        <v>14</v>
      </c>
      <c r="B8" s="195"/>
      <c r="C8" s="142" t="s">
        <v>149</v>
      </c>
      <c r="D8" s="143">
        <v>110.64387481037284</v>
      </c>
      <c r="E8" s="144">
        <v>0.41841188026846876</v>
      </c>
    </row>
    <row r="9" spans="1:5" x14ac:dyDescent="0.25">
      <c r="A9" s="18" t="s">
        <v>35</v>
      </c>
      <c r="B9" s="202"/>
      <c r="C9" s="146" t="s">
        <v>108</v>
      </c>
      <c r="D9" s="147">
        <v>3.725776653212042</v>
      </c>
      <c r="E9" s="156">
        <v>0.19787402847228827</v>
      </c>
    </row>
    <row r="10" spans="1:5" x14ac:dyDescent="0.25">
      <c r="A10" s="18" t="s">
        <v>35</v>
      </c>
      <c r="B10" s="195" t="s">
        <v>150</v>
      </c>
      <c r="C10" s="142" t="s">
        <v>110</v>
      </c>
      <c r="D10" s="143">
        <v>3.8219498243112984</v>
      </c>
      <c r="E10" s="144">
        <v>0.41528788954328127</v>
      </c>
    </row>
    <row r="11" spans="1:5" x14ac:dyDescent="0.25">
      <c r="A11" s="18" t="s">
        <v>35</v>
      </c>
      <c r="B11" s="195"/>
      <c r="C11" s="142" t="s">
        <v>151</v>
      </c>
      <c r="D11" s="143">
        <v>5.8628820507320434</v>
      </c>
      <c r="E11" s="144">
        <v>0.33136034228879463</v>
      </c>
    </row>
    <row r="12" spans="1:5" ht="15.75" thickBot="1" x14ac:dyDescent="0.3">
      <c r="A12" s="18" t="s">
        <v>35</v>
      </c>
      <c r="B12" s="196"/>
      <c r="C12" s="149" t="s">
        <v>152</v>
      </c>
      <c r="D12" s="150">
        <v>4.3897558418516507</v>
      </c>
      <c r="E12" s="151">
        <v>0.29161614567170374</v>
      </c>
    </row>
    <row r="13" spans="1:5" x14ac:dyDescent="0.25">
      <c r="A13" s="18" t="str">
        <f>IF(AND(A6&lt;&gt;"",F6&lt;&gt;""),_xlfn.CONCAT(F6,", ",A6),_xlfn.CONCAT(A6,F6))</f>
        <v/>
      </c>
      <c r="B13"/>
      <c r="C13"/>
      <c r="D13"/>
      <c r="E13"/>
    </row>
    <row r="14" spans="1:5" x14ac:dyDescent="0.25">
      <c r="A14" s="18" t="str">
        <f t="shared" ref="A14:A16" si="0">IF(AND(A7&lt;&gt;"",F7&lt;&gt;""),_xlfn.CONCAT(F7,", ",A7),_xlfn.CONCAT(A7,F7))</f>
        <v/>
      </c>
      <c r="B14" s="90"/>
      <c r="C14" s="74" t="s">
        <v>154</v>
      </c>
      <c r="D14" s="90"/>
      <c r="E14" s="90"/>
    </row>
    <row r="15" spans="1:5" x14ac:dyDescent="0.25">
      <c r="A15" s="18" t="str">
        <f t="shared" si="0"/>
        <v/>
      </c>
      <c r="B15" s="90"/>
      <c r="C15" s="90"/>
      <c r="D15" s="90"/>
      <c r="E15" s="90"/>
    </row>
    <row r="16" spans="1:5" x14ac:dyDescent="0.25">
      <c r="A16" s="18" t="str">
        <f t="shared" si="0"/>
        <v>LLOQ</v>
      </c>
      <c r="B16" s="90"/>
      <c r="C16" s="137" t="s">
        <v>11</v>
      </c>
      <c r="D16" s="137" t="s">
        <v>153</v>
      </c>
      <c r="E16" s="137" t="s">
        <v>145</v>
      </c>
    </row>
    <row r="17" spans="1:5" ht="16.5" x14ac:dyDescent="0.25">
      <c r="A17" s="18"/>
      <c r="B17" s="90"/>
      <c r="C17" s="74" t="s">
        <v>146</v>
      </c>
      <c r="D17" s="138">
        <v>4.3238500921109211E-3</v>
      </c>
      <c r="E17" s="90"/>
    </row>
    <row r="18" spans="1:5" ht="17.25" thickBot="1" x14ac:dyDescent="0.3">
      <c r="A18" s="18"/>
      <c r="B18" s="90"/>
      <c r="C18" s="157" t="s">
        <v>147</v>
      </c>
      <c r="D18" s="158">
        <v>0.05</v>
      </c>
      <c r="E18" s="93"/>
    </row>
    <row r="19" spans="1:5" x14ac:dyDescent="0.25">
      <c r="A19" s="16"/>
      <c r="B19" s="195">
        <v>555</v>
      </c>
      <c r="C19" s="142" t="s">
        <v>106</v>
      </c>
      <c r="D19" s="143">
        <v>69.324385544285605</v>
      </c>
      <c r="E19" s="144">
        <v>1.0338001433468704</v>
      </c>
    </row>
    <row r="20" spans="1:5" x14ac:dyDescent="0.25">
      <c r="A20" s="16"/>
      <c r="B20" s="195"/>
      <c r="C20" s="142" t="s">
        <v>111</v>
      </c>
      <c r="D20" s="143">
        <v>37.618746165657498</v>
      </c>
      <c r="E20" s="144">
        <v>1.3717193603593554</v>
      </c>
    </row>
    <row r="21" spans="1:5" x14ac:dyDescent="0.25">
      <c r="A21" s="16"/>
      <c r="B21" s="195"/>
      <c r="C21" s="142" t="s">
        <v>109</v>
      </c>
      <c r="D21" s="143">
        <v>7.8813756030156803</v>
      </c>
      <c r="E21" s="144">
        <v>4.422952830614079E-2</v>
      </c>
    </row>
    <row r="22" spans="1:5" ht="15.75" thickBot="1" x14ac:dyDescent="0.3">
      <c r="A22" s="16"/>
      <c r="B22" s="196"/>
      <c r="C22" s="149" t="s">
        <v>112</v>
      </c>
      <c r="D22" s="150">
        <v>6.2170130015998701</v>
      </c>
      <c r="E22" s="151">
        <v>3.1383070862624409</v>
      </c>
    </row>
    <row r="23" spans="1:5" x14ac:dyDescent="0.25">
      <c r="A23"/>
      <c r="B23" s="161"/>
      <c r="C23" s="162"/>
      <c r="D23" s="163"/>
      <c r="E23" s="164"/>
    </row>
    <row r="24" spans="1:5" x14ac:dyDescent="0.25">
      <c r="A24"/>
      <c r="B24" s="90"/>
      <c r="C24" s="74" t="s">
        <v>155</v>
      </c>
      <c r="D24" s="90"/>
      <c r="E24" s="90"/>
    </row>
    <row r="25" spans="1:5" x14ac:dyDescent="0.25">
      <c r="A25"/>
      <c r="B25" s="90"/>
      <c r="C25" s="90"/>
      <c r="D25" s="90"/>
      <c r="E25" s="90"/>
    </row>
    <row r="26" spans="1:5" x14ac:dyDescent="0.25">
      <c r="A26"/>
      <c r="B26" s="90"/>
      <c r="C26" s="137" t="s">
        <v>11</v>
      </c>
      <c r="D26" s="137" t="s">
        <v>153</v>
      </c>
      <c r="E26" s="137" t="s">
        <v>145</v>
      </c>
    </row>
    <row r="27" spans="1:5" ht="17.25" x14ac:dyDescent="0.25">
      <c r="A27"/>
      <c r="B27" s="90"/>
      <c r="C27" s="74" t="s">
        <v>156</v>
      </c>
      <c r="D27" s="138">
        <v>4.3238500921109202E-3</v>
      </c>
      <c r="E27" s="90"/>
    </row>
    <row r="28" spans="1:5" ht="18" thickBot="1" x14ac:dyDescent="0.3">
      <c r="A28"/>
      <c r="B28" s="90"/>
      <c r="C28" s="157" t="s">
        <v>157</v>
      </c>
      <c r="D28" s="158">
        <v>1</v>
      </c>
      <c r="E28" s="93"/>
    </row>
    <row r="29" spans="1:5" x14ac:dyDescent="0.25">
      <c r="A29" s="16"/>
      <c r="B29" s="197" t="s">
        <v>158</v>
      </c>
      <c r="C29" s="142" t="s">
        <v>159</v>
      </c>
      <c r="D29" s="143">
        <v>69.566976565434103</v>
      </c>
      <c r="E29" s="159">
        <v>1.484894942761942</v>
      </c>
    </row>
    <row r="30" spans="1:5" x14ac:dyDescent="0.25">
      <c r="A30" s="16"/>
      <c r="B30" s="198"/>
      <c r="C30" s="142" t="s">
        <v>160</v>
      </c>
      <c r="D30" s="143">
        <v>63.5694444444444</v>
      </c>
      <c r="E30" s="144">
        <v>1.4924238578679649</v>
      </c>
    </row>
    <row r="31" spans="1:5" x14ac:dyDescent="0.25">
      <c r="A31" s="16"/>
      <c r="B31" s="198"/>
      <c r="C31" s="142" t="s">
        <v>161</v>
      </c>
      <c r="D31" s="143">
        <v>95.139471425867001</v>
      </c>
      <c r="E31" s="144">
        <v>0.16734027948527799</v>
      </c>
    </row>
    <row r="32" spans="1:5" x14ac:dyDescent="0.25">
      <c r="A32" s="16"/>
      <c r="B32" s="199"/>
      <c r="C32" s="146" t="s">
        <v>162</v>
      </c>
      <c r="D32" s="147">
        <v>62.261663000977499</v>
      </c>
      <c r="E32" s="148">
        <v>0.35361963145335723</v>
      </c>
    </row>
    <row r="33" spans="1:5" x14ac:dyDescent="0.25">
      <c r="A33" s="16"/>
      <c r="B33" s="198" t="s">
        <v>163</v>
      </c>
      <c r="C33" s="142" t="s">
        <v>164</v>
      </c>
      <c r="D33" s="143">
        <v>75.993114064350607</v>
      </c>
      <c r="E33" s="144">
        <v>1.9968487845440359</v>
      </c>
    </row>
    <row r="34" spans="1:5" x14ac:dyDescent="0.25">
      <c r="A34" s="16"/>
      <c r="B34" s="198"/>
      <c r="C34" s="142" t="s">
        <v>165</v>
      </c>
      <c r="D34" s="143">
        <v>4.0835626361942197</v>
      </c>
      <c r="E34" s="144">
        <v>0.69875803750462617</v>
      </c>
    </row>
    <row r="35" spans="1:5" x14ac:dyDescent="0.25">
      <c r="A35" s="16"/>
      <c r="B35" s="198"/>
      <c r="C35" s="142" t="s">
        <v>166</v>
      </c>
      <c r="D35" s="143">
        <v>4.5729797979797997</v>
      </c>
      <c r="E35" s="144">
        <v>1.0660170413342664</v>
      </c>
    </row>
    <row r="36" spans="1:5" x14ac:dyDescent="0.25">
      <c r="A36" s="16"/>
      <c r="B36" s="199"/>
      <c r="C36" s="146" t="s">
        <v>167</v>
      </c>
      <c r="D36" s="147">
        <v>7.51674082090749</v>
      </c>
      <c r="E36" s="156">
        <v>3.1568769208189837</v>
      </c>
    </row>
    <row r="37" spans="1:5" x14ac:dyDescent="0.25">
      <c r="A37" s="16"/>
      <c r="B37" s="197" t="s">
        <v>168</v>
      </c>
      <c r="C37" s="153" t="s">
        <v>169</v>
      </c>
      <c r="D37" s="154">
        <v>3.74867627891821</v>
      </c>
      <c r="E37" s="155">
        <v>0.57312744157756024</v>
      </c>
    </row>
    <row r="38" spans="1:5" x14ac:dyDescent="0.25">
      <c r="A38" s="16"/>
      <c r="B38" s="198"/>
      <c r="C38" s="142" t="s">
        <v>170</v>
      </c>
      <c r="D38" s="143">
        <v>3.6606261821401298</v>
      </c>
      <c r="E38" s="144">
        <v>0.34429660617861074</v>
      </c>
    </row>
    <row r="39" spans="1:5" ht="15.75" thickBot="1" x14ac:dyDescent="0.3">
      <c r="A39" s="16"/>
      <c r="B39" s="203"/>
      <c r="C39" s="149" t="s">
        <v>171</v>
      </c>
      <c r="D39" s="150">
        <v>2.9304372440073099</v>
      </c>
      <c r="E39" s="151">
        <v>2.7056446051782643</v>
      </c>
    </row>
    <row r="40" spans="1:5" x14ac:dyDescent="0.25">
      <c r="A40" s="16"/>
      <c r="B40" s="16"/>
      <c r="C40" s="16"/>
      <c r="D40" s="16"/>
      <c r="E40" s="16"/>
    </row>
    <row r="41" spans="1:5" x14ac:dyDescent="0.25">
      <c r="B41" s="90"/>
      <c r="C41" s="74" t="s">
        <v>172</v>
      </c>
      <c r="D41" s="90"/>
      <c r="E41" s="90"/>
    </row>
    <row r="42" spans="1:5" x14ac:dyDescent="0.25">
      <c r="B42" s="90"/>
      <c r="C42" s="90"/>
      <c r="D42" s="90"/>
      <c r="E42" s="90"/>
    </row>
    <row r="43" spans="1:5" x14ac:dyDescent="0.25">
      <c r="B43" s="90"/>
      <c r="C43" s="137" t="s">
        <v>11</v>
      </c>
      <c r="D43" s="137" t="s">
        <v>153</v>
      </c>
      <c r="E43" s="137" t="s">
        <v>145</v>
      </c>
    </row>
    <row r="44" spans="1:5" ht="16.5" x14ac:dyDescent="0.25">
      <c r="B44" s="90"/>
      <c r="C44" s="74" t="s">
        <v>146</v>
      </c>
      <c r="D44" s="138">
        <v>4.3238500921109211E-3</v>
      </c>
      <c r="E44" s="90"/>
    </row>
    <row r="45" spans="1:5" ht="16.5" x14ac:dyDescent="0.25">
      <c r="B45" s="90"/>
      <c r="C45" s="139" t="s">
        <v>147</v>
      </c>
      <c r="D45" s="140">
        <v>0.05</v>
      </c>
      <c r="E45" s="141"/>
    </row>
    <row r="46" spans="1:5" x14ac:dyDescent="0.25">
      <c r="B46" s="200" t="s">
        <v>172</v>
      </c>
      <c r="C46" s="142" t="s">
        <v>173</v>
      </c>
      <c r="D46" s="143">
        <v>75.758680232998501</v>
      </c>
      <c r="E46" s="144">
        <v>1.5666500145572131</v>
      </c>
    </row>
    <row r="47" spans="1:5" x14ac:dyDescent="0.25">
      <c r="B47" s="201"/>
      <c r="C47" s="146" t="s">
        <v>174</v>
      </c>
      <c r="D47" s="147">
        <v>4.6962367559497098</v>
      </c>
      <c r="E47" s="156">
        <v>0.25913378272080606</v>
      </c>
    </row>
    <row r="48" spans="1:5" x14ac:dyDescent="0.25">
      <c r="B48" s="16"/>
      <c r="C48" s="16"/>
      <c r="D48" s="16"/>
      <c r="E48" s="16"/>
    </row>
    <row r="49" spans="2:5" x14ac:dyDescent="0.25">
      <c r="B49" s="90"/>
      <c r="C49" s="74" t="s">
        <v>175</v>
      </c>
      <c r="D49" s="90"/>
      <c r="E49" s="90"/>
    </row>
    <row r="50" spans="2:5" x14ac:dyDescent="0.25">
      <c r="B50" s="90"/>
      <c r="C50" s="90"/>
      <c r="D50" s="90"/>
      <c r="E50" s="90"/>
    </row>
    <row r="51" spans="2:5" x14ac:dyDescent="0.25">
      <c r="B51" s="90"/>
      <c r="C51" s="137" t="s">
        <v>11</v>
      </c>
      <c r="D51" s="137" t="s">
        <v>153</v>
      </c>
      <c r="E51" s="137" t="s">
        <v>145</v>
      </c>
    </row>
    <row r="52" spans="2:5" ht="16.5" x14ac:dyDescent="0.25">
      <c r="B52" s="90"/>
      <c r="C52" s="74" t="s">
        <v>146</v>
      </c>
      <c r="D52" s="138">
        <v>4.3238500921109211E-3</v>
      </c>
      <c r="E52" s="90"/>
    </row>
    <row r="53" spans="2:5" ht="16.5" x14ac:dyDescent="0.25">
      <c r="B53" s="90"/>
      <c r="C53" s="139" t="s">
        <v>147</v>
      </c>
      <c r="D53" s="140">
        <v>0.05</v>
      </c>
      <c r="E53" s="141"/>
    </row>
    <row r="54" spans="2:5" x14ac:dyDescent="0.25">
      <c r="B54" s="194" t="s">
        <v>175</v>
      </c>
      <c r="C54" s="153" t="s">
        <v>176</v>
      </c>
      <c r="D54" s="154">
        <v>74.600160353247475</v>
      </c>
      <c r="E54" s="155">
        <v>0.99012798812351821</v>
      </c>
    </row>
    <row r="55" spans="2:5" x14ac:dyDescent="0.25">
      <c r="B55" s="195"/>
      <c r="C55" s="145" t="s">
        <v>177</v>
      </c>
      <c r="D55" s="143">
        <v>120.5035123170796</v>
      </c>
      <c r="E55" s="144">
        <v>1.0876631449867793</v>
      </c>
    </row>
    <row r="56" spans="2:5" ht="15.75" thickBot="1" x14ac:dyDescent="0.3">
      <c r="B56" s="196"/>
      <c r="C56" s="149" t="s">
        <v>178</v>
      </c>
      <c r="D56" s="150">
        <v>72.867183450178473</v>
      </c>
      <c r="E56" s="151">
        <v>6.1466010816055086</v>
      </c>
    </row>
  </sheetData>
  <mergeCells count="8">
    <mergeCell ref="B6:B9"/>
    <mergeCell ref="B10:B12"/>
    <mergeCell ref="B54:B56"/>
    <mergeCell ref="B19:B22"/>
    <mergeCell ref="B29:B32"/>
    <mergeCell ref="B33:B36"/>
    <mergeCell ref="B37:B39"/>
    <mergeCell ref="B46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Fe-10r Pb</vt:lpstr>
      <vt:lpstr>Fe-10r As</vt:lpstr>
      <vt:lpstr>Fe-15 Pb</vt:lpstr>
      <vt:lpstr>Fe-15 As</vt:lpstr>
      <vt:lpstr>Pb IVBA</vt:lpstr>
      <vt:lpstr>As IVBA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Blackmon, Matthew (Matt)</dc:creator>
  <cp:lastModifiedBy>Blackmon, Matthew (Matt)</cp:lastModifiedBy>
  <dcterms:created xsi:type="dcterms:W3CDTF">2025-04-10T12:56:53Z</dcterms:created>
  <dcterms:modified xsi:type="dcterms:W3CDTF">2025-04-21T17:08:25Z</dcterms:modified>
</cp:coreProperties>
</file>