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UV sterilization TO144/atrophaeus pumilus ILT lamp inactivation tests/"/>
    </mc:Choice>
  </mc:AlternateContent>
  <xr:revisionPtr revIDLastSave="18" documentId="13_ncr:1_{C9D25AEC-8853-476A-A5E4-996ADC9106DE}" xr6:coauthVersionLast="47" xr6:coauthVersionMax="47" xr10:uidLastSave="{909D741C-805F-416E-9FA2-A75FDD54BBAA}"/>
  <bookViews>
    <workbookView xWindow="28680" yWindow="-120" windowWidth="19440" windowHeight="14880" activeTab="1" xr2:uid="{00000000-000D-0000-FFFF-FFFF00000000}"/>
  </bookViews>
  <sheets>
    <sheet name="Pivot" sheetId="4" r:id="rId1"/>
    <sheet name="Summary" sheetId="2" r:id="rId2"/>
    <sheet name="Qcount" sheetId="1" r:id="rId3"/>
    <sheet name="Filters" sheetId="3" r:id="rId4"/>
    <sheet name="Spread" sheetId="5" r:id="rId5"/>
    <sheet name="HD" sheetId="6" r:id="rId6"/>
  </sheets>
  <externalReferences>
    <externalReference r:id="rId7"/>
    <externalReference r:id="rId8"/>
    <externalReference r:id="rId9"/>
    <externalReference r:id="rId10"/>
  </externalReferences>
  <definedNames>
    <definedName name="_xlnm.Print_Area" localSheetId="0">Pivot!$A$1:$G$19</definedName>
  </definedNames>
  <calcPr calcId="191029"/>
  <pivotCaches>
    <pivotCache cacheId="0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3" l="1"/>
  <c r="J19" i="3"/>
  <c r="J13" i="3"/>
  <c r="A25" i="3"/>
  <c r="A22" i="3"/>
  <c r="A19" i="3"/>
  <c r="A16" i="3"/>
  <c r="A13" i="3"/>
  <c r="E69" i="1"/>
  <c r="E65" i="1"/>
  <c r="E61" i="1"/>
  <c r="E57" i="1"/>
  <c r="E53" i="1"/>
  <c r="E49" i="1"/>
  <c r="E45" i="1"/>
  <c r="E41" i="1"/>
  <c r="E37" i="1"/>
  <c r="E33" i="1"/>
  <c r="E29" i="1"/>
  <c r="E25" i="1"/>
  <c r="E21" i="1"/>
  <c r="E17" i="1"/>
  <c r="E13" i="1"/>
  <c r="E9" i="1"/>
  <c r="G12" i="4" l="1"/>
  <c r="F12" i="4"/>
  <c r="G11" i="4"/>
  <c r="F11" i="4"/>
  <c r="E2" i="2"/>
  <c r="G2" i="2" l="1"/>
  <c r="I2" i="2" s="1"/>
  <c r="E13" i="2"/>
  <c r="E10" i="2"/>
  <c r="E9" i="2"/>
  <c r="E7" i="2"/>
  <c r="E15" i="2"/>
  <c r="E4" i="2"/>
  <c r="E14" i="2"/>
  <c r="E19" i="2"/>
  <c r="E8" i="2"/>
  <c r="E18" i="2"/>
  <c r="E6" i="2"/>
  <c r="E17" i="2"/>
  <c r="E12" i="2"/>
  <c r="E16" i="2"/>
  <c r="E11" i="2"/>
  <c r="E20" i="2"/>
  <c r="E3" i="2"/>
  <c r="E5" i="2"/>
  <c r="H2" i="2" l="1"/>
  <c r="J2" i="2"/>
  <c r="G12" i="2"/>
  <c r="I12" i="2" s="1"/>
  <c r="G4" i="2"/>
  <c r="I4" i="2" s="1"/>
  <c r="G20" i="2"/>
  <c r="I20" i="2" s="1"/>
  <c r="G11" i="2"/>
  <c r="I11" i="2" s="1"/>
  <c r="G14" i="2"/>
  <c r="I14" i="2" s="1"/>
  <c r="G5" i="2"/>
  <c r="I5" i="2" s="1"/>
  <c r="G19" i="2"/>
  <c r="I19" i="2" s="1"/>
  <c r="G10" i="2"/>
  <c r="I10" i="2" s="1"/>
  <c r="G9" i="2"/>
  <c r="I9" i="2" s="1"/>
  <c r="G16" i="2"/>
  <c r="I16" i="2" s="1"/>
  <c r="G8" i="2"/>
  <c r="I8" i="2" s="1"/>
  <c r="G17" i="2"/>
  <c r="I17" i="2" s="1"/>
  <c r="G15" i="2"/>
  <c r="I15" i="2" s="1"/>
  <c r="G7" i="2"/>
  <c r="I7" i="2" s="1"/>
  <c r="G6" i="2"/>
  <c r="I6" i="2" s="1"/>
  <c r="G3" i="2"/>
  <c r="I3" i="2" s="1"/>
  <c r="G13" i="2"/>
  <c r="I13" i="2" s="1"/>
  <c r="G18" i="2"/>
  <c r="I18" i="2" s="1"/>
  <c r="H6" i="2" l="1"/>
  <c r="J6" i="2"/>
  <c r="H19" i="2"/>
  <c r="J19" i="2"/>
  <c r="H7" i="2"/>
  <c r="J7" i="2"/>
  <c r="H5" i="2"/>
  <c r="J5" i="2"/>
  <c r="H15" i="2"/>
  <c r="J15" i="2"/>
  <c r="H14" i="2"/>
  <c r="J14" i="2"/>
  <c r="H12" i="2"/>
  <c r="J12" i="2"/>
  <c r="H3" i="2"/>
  <c r="J3" i="2"/>
  <c r="H11" i="2"/>
  <c r="J11" i="2"/>
  <c r="H8" i="2"/>
  <c r="J8" i="2"/>
  <c r="H20" i="2"/>
  <c r="J20" i="2"/>
  <c r="H13" i="2"/>
  <c r="J13" i="2"/>
  <c r="H9" i="2"/>
  <c r="J9" i="2"/>
  <c r="H10" i="2"/>
  <c r="J10" i="2"/>
  <c r="H17" i="2"/>
  <c r="J17" i="2"/>
  <c r="H18" i="2"/>
  <c r="J18" i="2"/>
  <c r="H16" i="2"/>
  <c r="J16" i="2"/>
  <c r="H4" i="2"/>
  <c r="J4" i="2"/>
  <c r="L18" i="2" l="1"/>
  <c r="K18" i="2"/>
  <c r="K12" i="2"/>
  <c r="L12" i="2"/>
  <c r="L9" i="2"/>
  <c r="K9" i="2"/>
</calcChain>
</file>

<file path=xl/sharedStrings.xml><?xml version="1.0" encoding="utf-8"?>
<sst xmlns="http://schemas.openxmlformats.org/spreadsheetml/2006/main" count="242" uniqueCount="92">
  <si>
    <t>Sample ID</t>
  </si>
  <si>
    <t>Sample Type</t>
  </si>
  <si>
    <t>Procedural Blank</t>
  </si>
  <si>
    <t>Test Sample</t>
  </si>
  <si>
    <t>Sample Material</t>
  </si>
  <si>
    <t>Time Point</t>
  </si>
  <si>
    <t>N/A</t>
  </si>
  <si>
    <t>2 Hour</t>
  </si>
  <si>
    <t>4 Hour</t>
  </si>
  <si>
    <t>CFU/ml</t>
  </si>
  <si>
    <t>CFU/Sample</t>
  </si>
  <si>
    <t>Log CFU/Sample</t>
  </si>
  <si>
    <t>Sample Volume</t>
  </si>
  <si>
    <t>Average of Log CFU/Sample</t>
  </si>
  <si>
    <t>Average of CFU/Sample</t>
  </si>
  <si>
    <t>Inoculation Control</t>
  </si>
  <si>
    <t>Positive Control</t>
  </si>
  <si>
    <t>Std Dev of Log CFU/Sample</t>
  </si>
  <si>
    <t>Std Dev of CFU/Sample</t>
  </si>
  <si>
    <t xml:space="preserve"> </t>
  </si>
  <si>
    <t>Log Reduction</t>
  </si>
  <si>
    <t>Standard Error</t>
  </si>
  <si>
    <t xml:space="preserve">Denotes at or below detection limit. </t>
  </si>
  <si>
    <t>Field Blank</t>
  </si>
  <si>
    <t>144-SS-2H-PB-01</t>
  </si>
  <si>
    <t>144-SS-4H-PB-01</t>
  </si>
  <si>
    <t>144-SS-N-01</t>
  </si>
  <si>
    <t>144-MDI-E7-Bg-SEM-IC-01</t>
  </si>
  <si>
    <t>144-MDI-E7-Bg-SEM-IC-02</t>
  </si>
  <si>
    <t>144-MDI-E7-Bg-SEM-IC-03</t>
  </si>
  <si>
    <t>144-MDI-E7-Bg-SEM-IC-04</t>
  </si>
  <si>
    <t>144-MDI-E7-Bg-SS-2H-PC-01</t>
  </si>
  <si>
    <t>144-MDI-E7-Bg-SS-2H-PC-02</t>
  </si>
  <si>
    <t>144-MDI-E7-Bg-SS-2H-PC-03</t>
  </si>
  <si>
    <t>144-MDI-E7-Bg-SS-4H-PC-01</t>
  </si>
  <si>
    <t>144-MDI-E7-Bg-SS-4H-PC-02</t>
  </si>
  <si>
    <t>144-MDI-E7-Bg-SS-4H-PC-03</t>
  </si>
  <si>
    <t>144-MDI-E7-Bg-SS-2H-TS-01</t>
  </si>
  <si>
    <t>144-MDI-E7-Bg-SS-2H-TS-02</t>
  </si>
  <si>
    <t>144-MDI-E7-Bg-SS-2H-TS-03</t>
  </si>
  <si>
    <t>144-MDI-E7-Bg-SS-4H-TS-01</t>
  </si>
  <si>
    <t>144-MDI-E7-Bg-SS-4H-TS-02</t>
  </si>
  <si>
    <t>144-MDI-E7-Bg-SS-4H-TS-03</t>
  </si>
  <si>
    <t>18 mm SEM Stub</t>
  </si>
  <si>
    <t xml:space="preserve">18 mm Stainless Steel </t>
  </si>
  <si>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</si>
  <si>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</si>
  <si>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</si>
  <si>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</si>
  <si>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</si>
  <si>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</si>
  <si>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</si>
  <si>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CFU/mL</t>
  </si>
  <si>
    <t>% RSD</t>
  </si>
  <si>
    <t>--- Average ---</t>
  </si>
  <si>
    <t>QC Blank Plate</t>
  </si>
  <si>
    <t>Serial Dilution/Plating Results Sheet</t>
  </si>
  <si>
    <t>Page 1 of</t>
  </si>
  <si>
    <t>Test Information</t>
  </si>
  <si>
    <t>EPA Project No.</t>
  </si>
  <si>
    <t>TO-144</t>
  </si>
  <si>
    <t>Test Date</t>
  </si>
  <si>
    <t>Analyst Name</t>
  </si>
  <si>
    <t>Abdel-Hady/Aslett/Ford/Monge/Sandoval/Viola</t>
  </si>
  <si>
    <t>Test No.</t>
  </si>
  <si>
    <t>E7 Bg 2- and 4-hours UV-C Exposure - Repeat</t>
  </si>
  <si>
    <t>Counters Name</t>
  </si>
  <si>
    <t>Data Entered by</t>
  </si>
  <si>
    <t>Brian Ford</t>
  </si>
  <si>
    <t>Data Entry QC'd by</t>
  </si>
  <si>
    <t>Ahmed Abdel-Hady</t>
  </si>
  <si>
    <t>Results</t>
  </si>
  <si>
    <t>Date Plated</t>
  </si>
  <si>
    <t>Organism</t>
  </si>
  <si>
    <t>B.g.</t>
  </si>
  <si>
    <t>Temperature</t>
  </si>
  <si>
    <t>35°C</t>
  </si>
  <si>
    <t>Date Counted</t>
  </si>
  <si>
    <t>Volume Plated:</t>
  </si>
  <si>
    <t>varies</t>
  </si>
  <si>
    <t>Extraction Volume:</t>
  </si>
  <si>
    <t>Filter plates</t>
  </si>
  <si>
    <t xml:space="preserve">  Pall Filters #4852</t>
  </si>
  <si>
    <t>Colony Count</t>
  </si>
  <si>
    <t>Volume Plated (mL)</t>
  </si>
  <si>
    <t>Comments</t>
  </si>
  <si>
    <t>R</t>
  </si>
  <si>
    <r>
      <t xml:space="preserve">Notes: </t>
    </r>
    <r>
      <rPr>
        <u/>
        <sz val="9"/>
        <rFont val="Arial"/>
        <family val="2"/>
      </rPr>
      <t xml:space="preserve">   R=Remainder                          </t>
    </r>
  </si>
  <si>
    <t>CFU/cm2</t>
  </si>
  <si>
    <t>log CFU/cm2</t>
  </si>
  <si>
    <t>avg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</si>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</sst>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E+00"/>
    <numFmt numFmtId="166" formatCode="0.E+0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1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 indent="1"/>
    </xf>
    <xf numFmtId="0" fontId="0" fillId="0" borderId="0" xfId="0" pivotButton="1" applyAlignment="1">
      <alignment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pivotButton="1"/>
    <xf numFmtId="0" fontId="2" fillId="2" borderId="0" xfId="0" applyFont="1" applyFill="1"/>
    <xf numFmtId="165" fontId="2" fillId="0" borderId="3" xfId="0" applyNumberFormat="1" applyFont="1" applyBorder="1" applyAlignment="1">
      <alignment horizontal="center"/>
    </xf>
    <xf numFmtId="11" fontId="0" fillId="0" borderId="0" xfId="0" applyNumberFormat="1"/>
    <xf numFmtId="0" fontId="0" fillId="4" borderId="0" xfId="0" applyFill="1"/>
    <xf numFmtId="0" fontId="0" fillId="4" borderId="0" xfId="0" applyFill="1" applyAlignment="1">
      <alignment horizontal="left" indent="1"/>
    </xf>
    <xf numFmtId="16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2" fontId="0" fillId="4" borderId="0" xfId="0" applyNumberFormat="1" applyFill="1" applyAlignment="1">
      <alignment horizontal="center"/>
    </xf>
    <xf numFmtId="14" fontId="0" fillId="0" borderId="0" xfId="0" applyNumberFormat="1"/>
    <xf numFmtId="10" fontId="0" fillId="0" borderId="0" xfId="0" applyNumberFormat="1"/>
    <xf numFmtId="0" fontId="0" fillId="0" borderId="0" xfId="0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6" fillId="0" borderId="1" xfId="0" applyFont="1" applyBorder="1"/>
    <xf numFmtId="0" fontId="1" fillId="6" borderId="1" xfId="0" applyFont="1" applyFill="1" applyBorder="1" applyAlignment="1">
      <alignment horizontal="right" vertical="center"/>
    </xf>
    <xf numFmtId="14" fontId="4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/>
    <xf numFmtId="0" fontId="5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0" fontId="5" fillId="0" borderId="1" xfId="0" applyFont="1" applyBorder="1" applyAlignment="1"/>
    <xf numFmtId="0" fontId="0" fillId="5" borderId="0" xfId="0" applyFill="1" applyAlignment="1"/>
    <xf numFmtId="0" fontId="1" fillId="5" borderId="8" xfId="0" applyFont="1" applyFill="1" applyBorder="1" applyAlignment="1">
      <alignment vertical="center" wrapText="1"/>
    </xf>
    <xf numFmtId="166" fontId="4" fillId="6" borderId="13" xfId="0" applyNumberFormat="1" applyFont="1" applyFill="1" applyBorder="1" applyAlignment="1">
      <alignment horizontal="center" wrapText="1"/>
    </xf>
    <xf numFmtId="1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5" fillId="0" borderId="26" xfId="0" applyNumberFormat="1" applyFont="1" applyBorder="1" applyAlignment="1">
      <alignment horizontal="center"/>
    </xf>
    <xf numFmtId="0" fontId="1" fillId="0" borderId="10" xfId="0" applyFont="1" applyFill="1" applyBorder="1"/>
    <xf numFmtId="165" fontId="0" fillId="0" borderId="0" xfId="0" applyNumberFormat="1"/>
    <xf numFmtId="0" fontId="2" fillId="3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6" xfId="0" applyFont="1" applyFill="1" applyBorder="1" applyAlignment="1"/>
    <xf numFmtId="0" fontId="5" fillId="6" borderId="1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 wrapText="1"/>
    </xf>
    <xf numFmtId="166" fontId="1" fillId="6" borderId="13" xfId="0" applyNumberFormat="1" applyFont="1" applyFill="1" applyBorder="1" applyAlignment="1">
      <alignment horizontal="center" wrapText="1"/>
    </xf>
    <xf numFmtId="166" fontId="8" fillId="6" borderId="13" xfId="0" applyNumberFormat="1" applyFont="1" applyFill="1" applyBorder="1" applyAlignment="1">
      <alignment horizontal="center" shrinkToFi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</cellXfs>
  <cellStyles count="1">
    <cellStyle name="Normal" xfId="0" builtinId="0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QCoun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prea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D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Excel%20Files/2023-11-29_E7%20Bg%20MDI%202-%20and%204-hours%20UV-C%20Exposure%20-%20Repeat_Filters.xlsx?FA31AA74" TargetMode="External"/><Relationship Id="rId1" Type="http://schemas.openxmlformats.org/officeDocument/2006/relationships/externalLinkPath" Target="file:///\\FA31AA74\2023-11-29_E7%20Bg%20MDI%202-%20and%204-hours%20UV-C%20Exposure%20-%20Repeat_Fil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oun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ead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 Sheet Template"/>
      <sheetName val="List of Sample IDs"/>
      <sheetName val="Sheet3"/>
    </sheetNames>
    <sheetDataSet>
      <sheetData sheetId="0"/>
      <sheetData sheetId="1">
        <row r="1">
          <cell r="A1" t="str">
            <v>144-SS-2H-PB-01</v>
          </cell>
        </row>
        <row r="2">
          <cell r="A2" t="str">
            <v>144-SS-4H-PB-01</v>
          </cell>
        </row>
        <row r="3">
          <cell r="A3" t="str">
            <v>144-SS-N-01</v>
          </cell>
        </row>
        <row r="4">
          <cell r="A4" t="str">
            <v>Sterile DI Water</v>
          </cell>
        </row>
        <row r="5">
          <cell r="A5" t="str">
            <v>TSA only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ser" refreshedDate="45260.476479166668" createdVersion="3" refreshedVersion="3" minRefreshableVersion="3" recordCount="19" xr:uid="{00000000-000A-0000-FFFF-FFFF05000000}">
  <cacheSource type="worksheet">
    <worksheetSource ref="A1:H20" sheet="Summary"/>
  </cacheSource>
  <cacheFields count="8">
    <cacheField name="Sample ID" numFmtId="0">
      <sharedItems/>
    </cacheField>
    <cacheField name="Sample Material" numFmtId="0">
      <sharedItems/>
    </cacheField>
    <cacheField name="Sample Type" numFmtId="0">
      <sharedItems count="6">
        <s v="Field Blank"/>
        <s v="Procedural Blank"/>
        <s v="Inoculation Control"/>
        <s v="Positive Control"/>
        <s v="Test Sample"/>
        <s v="Inoculum" u="1"/>
      </sharedItems>
    </cacheField>
    <cacheField name="Time Point" numFmtId="0">
      <sharedItems count="3">
        <s v="N/A"/>
        <s v="2 Hour"/>
        <s v="4 Hour"/>
      </sharedItems>
    </cacheField>
    <cacheField name="CFU/ml" numFmtId="11">
      <sharedItems containsSemiMixedTypes="0" containsString="0" containsNumber="1" minValue="0.10309278350515465" maxValue="2922000"/>
    </cacheField>
    <cacheField name="Sample Volume" numFmtId="0">
      <sharedItems containsSemiMixedTypes="0" containsString="0" containsNumber="1" containsInteger="1" minValue="10" maxValue="10"/>
    </cacheField>
    <cacheField name="CFU/Sample" numFmtId="165">
      <sharedItems containsSemiMixedTypes="0" containsString="0" containsNumber="1" minValue="1.0309278350515465" maxValue="29220000"/>
    </cacheField>
    <cacheField name="Log CFU/Sample" numFmtId="164">
      <sharedItems containsSemiMixedTypes="0" containsString="0" containsNumber="1" minValue="1.3228265733755195E-2" maxValue="7.46568021159827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s v="144-SS-N-01"/>
    <s v="18 mm Stainless Steel "/>
    <x v="0"/>
    <x v="0"/>
    <n v="0.10989010989010989"/>
    <n v="10"/>
    <n v="1.098901098901099"/>
    <n v="4.0958607678906439E-2"/>
  </r>
  <r>
    <s v="144-SS-2H-PB-01"/>
    <s v="18 mm Stainless Steel "/>
    <x v="1"/>
    <x v="1"/>
    <n v="0.10416666666666667"/>
    <n v="10"/>
    <n v="1.0416666666666667"/>
    <n v="1.7728766960431616E-2"/>
  </r>
  <r>
    <s v="144-SS-4H-PB-01"/>
    <s v="18 mm Stainless Steel "/>
    <x v="1"/>
    <x v="2"/>
    <n v="0.10309278350515465"/>
    <n v="10"/>
    <n v="1.0309278350515465"/>
    <n v="1.3228265733755195E-2"/>
  </r>
  <r>
    <s v="144-MDI-E7-Bg-SEM-IC-01"/>
    <s v="18 mm SEM Stub"/>
    <x v="2"/>
    <x v="0"/>
    <n v="2687000"/>
    <n v="10"/>
    <n v="26870000"/>
    <n v="7.4292676664331685"/>
  </r>
  <r>
    <s v="144-MDI-E7-Bg-SEM-IC-02"/>
    <s v="18 mm SEM Stub"/>
    <x v="2"/>
    <x v="0"/>
    <n v="2196000"/>
    <n v="10"/>
    <n v="21960000"/>
    <n v="7.341632335778054"/>
  </r>
  <r>
    <s v="144-MDI-E7-Bg-SEM-IC-03"/>
    <s v="18 mm SEM Stub"/>
    <x v="2"/>
    <x v="0"/>
    <n v="2758000"/>
    <n v="10"/>
    <n v="27580000"/>
    <n v="7.4405942618398306"/>
  </r>
  <r>
    <s v="144-MDI-E7-Bg-SEM-IC-04"/>
    <s v="18 mm SEM Stub"/>
    <x v="2"/>
    <x v="0"/>
    <n v="2369000"/>
    <n v="10"/>
    <n v="23690000"/>
    <n v="7.3745650607227651"/>
  </r>
  <r>
    <s v="144-MDI-E7-Bg-SS-2H-PC-01"/>
    <s v="18 mm Stainless Steel "/>
    <x v="3"/>
    <x v="1"/>
    <n v="2617000"/>
    <n v="10"/>
    <n v="26170000"/>
    <n v="7.4178037226398814"/>
  </r>
  <r>
    <s v="144-MDI-E7-Bg-SS-2H-PC-02"/>
    <s v="18 mm Stainless Steel "/>
    <x v="3"/>
    <x v="1"/>
    <n v="2767000"/>
    <n v="10"/>
    <n v="27670000"/>
    <n v="7.4420091591409516"/>
  </r>
  <r>
    <s v="144-MDI-E7-Bg-SS-2H-PC-03"/>
    <s v="18 mm Stainless Steel "/>
    <x v="3"/>
    <x v="1"/>
    <n v="2100000"/>
    <n v="10"/>
    <n v="21000000"/>
    <n v="7.3222192947339195"/>
  </r>
  <r>
    <s v="144-MDI-E7-Bg-SS-2H-TS-01"/>
    <s v="18 mm Stainless Steel "/>
    <x v="4"/>
    <x v="1"/>
    <n v="6682"/>
    <n v="10"/>
    <n v="66820"/>
    <n v="4.8249064713021124"/>
  </r>
  <r>
    <s v="144-MDI-E7-Bg-SS-2H-TS-02"/>
    <s v="18 mm Stainless Steel "/>
    <x v="4"/>
    <x v="1"/>
    <n v="2926"/>
    <n v="10"/>
    <n v="29260"/>
    <n v="4.4662743217892924"/>
  </r>
  <r>
    <s v="144-MDI-E7-Bg-SS-2H-TS-03"/>
    <s v="18 mm Stainless Steel "/>
    <x v="4"/>
    <x v="1"/>
    <n v="1633"/>
    <n v="10"/>
    <n v="16330"/>
    <n v="4.2129861847366685"/>
  </r>
  <r>
    <s v="144-MDI-E7-Bg-SS-4H-PC-01"/>
    <s v="18 mm Stainless Steel "/>
    <x v="3"/>
    <x v="2"/>
    <n v="2922000"/>
    <n v="10"/>
    <n v="29220000"/>
    <n v="7.4656802115982783"/>
  </r>
  <r>
    <s v="144-MDI-E7-Bg-SS-4H-PC-02"/>
    <s v="18 mm Stainless Steel "/>
    <x v="3"/>
    <x v="2"/>
    <n v="2468000"/>
    <n v="10"/>
    <n v="24680000"/>
    <n v="7.3923451553612045"/>
  </r>
  <r>
    <s v="144-MDI-E7-Bg-SS-4H-PC-03"/>
    <s v="18 mm Stainless Steel "/>
    <x v="3"/>
    <x v="2"/>
    <n v="2544000"/>
    <n v="10"/>
    <n v="25440000"/>
    <n v="7.4055171069763759"/>
  </r>
  <r>
    <s v="144-MDI-E7-Bg-SS-4H-TS-01"/>
    <s v="18 mm Stainless Steel "/>
    <x v="4"/>
    <x v="2"/>
    <n v="3762"/>
    <n v="10"/>
    <n v="37620"/>
    <n v="4.5754187912143598"/>
  </r>
  <r>
    <s v="144-MDI-E7-Bg-SS-4H-TS-02"/>
    <s v="18 mm Stainless Steel "/>
    <x v="4"/>
    <x v="2"/>
    <n v="4799"/>
    <n v="10"/>
    <n v="47990"/>
    <n v="4.6811507499324216"/>
  </r>
  <r>
    <s v="144-MDI-E7-Bg-SS-4H-TS-03"/>
    <s v="18 mm Stainless Steel "/>
    <x v="4"/>
    <x v="2"/>
    <n v="2579"/>
    <n v="10"/>
    <n v="25790"/>
    <n v="4.41145134213793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 " updatedVersion="3" minRefreshableVersion="3" useAutoFormatting="1" rowGrandTotals="0" colGrandTotals="0" itemPrintTitles="1" createdVersion="8" indent="0" outline="1" outlineData="1" multipleFieldFilters="0" rowHeaderCaption=" ">
  <location ref="A3:E17" firstHeaderRow="1" firstDataRow="2" firstDataCol="1"/>
  <pivotFields count="8">
    <pivotField showAll="0" defaultSubtotal="0"/>
    <pivotField showAll="0" defaultSubtotal="0"/>
    <pivotField axis="axisRow" showAll="0" defaultSubtotal="0">
      <items count="6">
        <item m="1" x="5"/>
        <item x="2"/>
        <item x="3"/>
        <item x="4"/>
        <item x="1"/>
        <item x="0"/>
      </items>
    </pivotField>
    <pivotField axis="axisRow" showAll="0" defaultSubtotal="0">
      <items count="3">
        <item x="1"/>
        <item x="2"/>
        <item x="0"/>
      </items>
    </pivotField>
    <pivotField showAll="0" defaultSubtotal="0"/>
    <pivotField showAll="0" defaultSubtotal="0"/>
    <pivotField dataField="1" showAll="0" defaultSubtotal="0"/>
    <pivotField dataField="1" showAll="0" defaultSubtotal="0"/>
  </pivotFields>
  <rowFields count="2">
    <field x="2"/>
    <field x="3"/>
  </rowFields>
  <rowItems count="13">
    <i>
      <x v="1"/>
    </i>
    <i r="1">
      <x v="2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 v="2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Log CFU/Sample" fld="7" subtotal="average" baseField="2" baseItem="0" numFmtId="164"/>
    <dataField name="Std Dev of Log CFU/Sample" fld="7" subtotal="stdDev" baseField="2" baseItem="0" numFmtId="164"/>
    <dataField name="Average of CFU/Sample" fld="6" subtotal="average" baseField="2" baseItem="0" numFmtId="165"/>
    <dataField name="Std Dev of CFU/Sample" fld="6" subtotal="stdDev" baseField="2" baseItem="0" numFmtId="165"/>
  </dataFields>
  <formats count="29">
    <format dxfId="28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7">
      <pivotArea dataOnly="0" labelOnly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6">
      <pivotArea field="2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4">
      <pivotArea collapsedLevelsAreSubtotals="1" fieldPosition="0">
        <references count="2">
          <reference field="2" count="1" selected="0">
            <x v="1"/>
          </reference>
          <reference field="3" count="1">
            <x v="2"/>
          </reference>
        </references>
      </pivotArea>
    </format>
    <format dxfId="23">
      <pivotArea collapsedLevelsAreSubtotals="1" fieldPosition="0">
        <references count="1">
          <reference field="2" count="1">
            <x v="2"/>
          </reference>
        </references>
      </pivotArea>
    </format>
    <format dxfId="22">
      <pivotArea collapsedLevelsAreSubtotals="1" fieldPosition="0">
        <references count="2">
          <reference field="2" count="1" selected="0">
            <x v="2"/>
          </reference>
          <reference field="3" count="2">
            <x v="0"/>
            <x v="1"/>
          </reference>
        </references>
      </pivotArea>
    </format>
    <format dxfId="21">
      <pivotArea collapsedLevelsAreSubtotals="1" fieldPosition="0">
        <references count="1">
          <reference field="2" count="1">
            <x v="3"/>
          </reference>
        </references>
      </pivotArea>
    </format>
    <format dxfId="20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9">
      <pivotArea collapsedLevelsAreSubtotals="1" fieldPosition="0">
        <references count="1">
          <reference field="2" count="1">
            <x v="4"/>
          </reference>
        </references>
      </pivotArea>
    </format>
    <format dxfId="18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17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6">
      <pivotArea collapsedLevelsAreSubtotals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15">
      <pivotArea dataOnly="0" labelOnly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14">
      <pivotArea collapsedLevelsAreSubtotals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3">
      <pivotArea dataOnly="0" labelOnly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2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1">
      <pivotArea dataOnly="0" labelOnly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0">
      <pivotArea collapsedLevelsAreSubtotals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9">
      <pivotArea dataOnly="0" labelOnly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8">
      <pivotArea collapsedLevelsAreSubtotals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7">
      <pivotArea collapsedLevelsAreSubtotals="1" fieldPosition="0">
        <references count="1">
          <reference field="2" count="1">
            <x v="4"/>
          </reference>
        </references>
      </pivotArea>
    </format>
    <format dxfId="6">
      <pivotArea collapsedLevelsAreSubtotals="1" fieldPosition="0">
        <references count="1">
          <reference field="2" count="1">
            <x v="5"/>
          </reference>
        </references>
      </pivotArea>
    </format>
    <format dxfId="5">
      <pivotArea dataOnly="0" labelOnly="1" fieldPosition="0">
        <references count="1">
          <reference field="2" count="2">
            <x v="4"/>
            <x v="5"/>
          </reference>
        </references>
      </pivotArea>
    </format>
    <format dxfId="4">
      <pivotArea dataOnly="0" labelOnly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3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">
      <pivotArea dataOnly="0" labelOnly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1">
      <pivotArea collapsedLevelsAreSubtotals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0">
      <pivotArea dataOnly="0" labelOnly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9"/>
  <sheetViews>
    <sheetView zoomScaleNormal="100" workbookViewId="0">
      <selection activeCell="A3" sqref="A3:G20"/>
    </sheetView>
  </sheetViews>
  <sheetFormatPr defaultRowHeight="14.5" x14ac:dyDescent="0.35"/>
  <cols>
    <col min="1" max="1" width="20.1796875" bestFit="1" customWidth="1"/>
    <col min="2" max="2" width="12" customWidth="1"/>
    <col min="3" max="3" width="13.54296875" customWidth="1"/>
    <col min="4" max="4" width="12" customWidth="1"/>
    <col min="5" max="5" width="12" bestFit="1" customWidth="1"/>
    <col min="6" max="6" width="12.26953125" customWidth="1"/>
    <col min="7" max="7" width="10.81640625" customWidth="1"/>
  </cols>
  <sheetData>
    <row r="3" spans="1:8" x14ac:dyDescent="0.35">
      <c r="B3" s="19" t="s">
        <v>19</v>
      </c>
      <c r="F3" s="20"/>
      <c r="G3" s="20"/>
    </row>
    <row r="4" spans="1:8" ht="43.5" x14ac:dyDescent="0.35">
      <c r="A4" s="12" t="s">
        <v>19</v>
      </c>
      <c r="B4" s="17" t="s">
        <v>13</v>
      </c>
      <c r="C4" s="17" t="s">
        <v>17</v>
      </c>
      <c r="D4" s="17" t="s">
        <v>14</v>
      </c>
      <c r="E4" s="17" t="s">
        <v>18</v>
      </c>
      <c r="F4" s="18" t="s">
        <v>20</v>
      </c>
      <c r="G4" s="18" t="s">
        <v>21</v>
      </c>
    </row>
    <row r="5" spans="1:8" x14ac:dyDescent="0.35">
      <c r="A5" s="9" t="s">
        <v>15</v>
      </c>
      <c r="B5" s="13"/>
      <c r="C5" s="13"/>
      <c r="D5" s="14"/>
      <c r="E5" s="14"/>
      <c r="F5" s="21"/>
      <c r="G5" s="21"/>
    </row>
    <row r="6" spans="1:8" x14ac:dyDescent="0.35">
      <c r="A6" s="10" t="s">
        <v>6</v>
      </c>
      <c r="B6" s="13">
        <v>7.3965148311934552</v>
      </c>
      <c r="C6" s="13">
        <v>4.6581917625757606E-2</v>
      </c>
      <c r="D6" s="14">
        <v>25025000</v>
      </c>
      <c r="E6" s="14">
        <v>2652577.3629937107</v>
      </c>
      <c r="F6" s="14"/>
      <c r="G6" s="14"/>
    </row>
    <row r="7" spans="1:8" x14ac:dyDescent="0.35">
      <c r="A7" s="9" t="s">
        <v>16</v>
      </c>
      <c r="B7" s="13"/>
      <c r="C7" s="13"/>
      <c r="D7" s="14"/>
      <c r="E7" s="14"/>
      <c r="F7" s="21"/>
      <c r="G7" s="21"/>
    </row>
    <row r="8" spans="1:8" x14ac:dyDescent="0.35">
      <c r="A8" s="10" t="s">
        <v>7</v>
      </c>
      <c r="B8" s="13">
        <v>7.3940107255049172</v>
      </c>
      <c r="C8" s="13">
        <v>6.3340215804547309E-2</v>
      </c>
      <c r="D8" s="14">
        <v>24946666.666666668</v>
      </c>
      <c r="E8" s="14">
        <v>3499233.2493466875</v>
      </c>
      <c r="F8" s="14"/>
      <c r="G8" s="14"/>
    </row>
    <row r="9" spans="1:8" x14ac:dyDescent="0.35">
      <c r="A9" s="10" t="s">
        <v>8</v>
      </c>
      <c r="B9" s="13">
        <v>7.4211808246452859</v>
      </c>
      <c r="C9" s="13">
        <v>3.9096312572494636E-2</v>
      </c>
      <c r="D9" s="14">
        <v>26446666.666666668</v>
      </c>
      <c r="E9" s="14">
        <v>2431652.3874380924</v>
      </c>
      <c r="F9" s="14"/>
      <c r="G9" s="14"/>
    </row>
    <row r="10" spans="1:8" x14ac:dyDescent="0.35">
      <c r="A10" s="9" t="s">
        <v>3</v>
      </c>
      <c r="B10" s="13"/>
      <c r="C10" s="13"/>
      <c r="D10" s="14"/>
      <c r="E10" s="14"/>
      <c r="F10" s="21"/>
      <c r="G10" s="21"/>
    </row>
    <row r="11" spans="1:8" x14ac:dyDescent="0.35">
      <c r="A11" s="24" t="s">
        <v>7</v>
      </c>
      <c r="B11" s="25">
        <v>4.5013889926093578</v>
      </c>
      <c r="C11" s="25">
        <v>0.30746770457671602</v>
      </c>
      <c r="D11" s="26">
        <v>37470</v>
      </c>
      <c r="E11" s="26">
        <v>26227.144335592468</v>
      </c>
      <c r="F11" s="29">
        <f>B8-B11</f>
        <v>2.8926217328955595</v>
      </c>
      <c r="G11" s="29">
        <f>(((C8^2)/3)+((C11^2)/3))^0.5</f>
        <v>0.18124419282268636</v>
      </c>
    </row>
    <row r="12" spans="1:8" x14ac:dyDescent="0.35">
      <c r="A12" s="24" t="s">
        <v>8</v>
      </c>
      <c r="B12" s="25">
        <v>4.5560069610949059</v>
      </c>
      <c r="C12" s="25">
        <v>0.13589355026127448</v>
      </c>
      <c r="D12" s="26">
        <v>37133.333333333336</v>
      </c>
      <c r="E12" s="26">
        <v>11107.998619613403</v>
      </c>
      <c r="F12" s="29">
        <f>B9-B12</f>
        <v>2.8651738635503801</v>
      </c>
      <c r="G12" s="29">
        <f>(((C9^2)/3)+((C12^2)/3))^0.5</f>
        <v>8.1640632570184751E-2</v>
      </c>
    </row>
    <row r="13" spans="1:8" x14ac:dyDescent="0.35">
      <c r="A13" s="28" t="s">
        <v>2</v>
      </c>
      <c r="B13" s="25"/>
      <c r="C13" s="25"/>
      <c r="D13" s="26"/>
      <c r="E13" s="26"/>
      <c r="F13" s="27"/>
      <c r="G13" s="27"/>
    </row>
    <row r="14" spans="1:8" x14ac:dyDescent="0.35">
      <c r="A14" s="11" t="s">
        <v>7</v>
      </c>
      <c r="B14" s="15">
        <v>1.7728766960431616E-2</v>
      </c>
      <c r="C14" s="15" t="e">
        <v>#DIV/0!</v>
      </c>
      <c r="D14" s="16">
        <v>1.0416666666666667</v>
      </c>
      <c r="E14" s="16" t="e">
        <v>#DIV/0!</v>
      </c>
      <c r="F14" s="26"/>
      <c r="G14" s="26"/>
      <c r="H14" s="23"/>
    </row>
    <row r="15" spans="1:8" x14ac:dyDescent="0.35">
      <c r="A15" s="11" t="s">
        <v>8</v>
      </c>
      <c r="B15" s="15">
        <v>1.3228265733755195E-2</v>
      </c>
      <c r="C15" s="15" t="e">
        <v>#DIV/0!</v>
      </c>
      <c r="D15" s="16">
        <v>1.0309278350515465</v>
      </c>
      <c r="E15" s="16" t="e">
        <v>#DIV/0!</v>
      </c>
      <c r="F15" s="26"/>
      <c r="G15" s="26"/>
    </row>
    <row r="16" spans="1:8" x14ac:dyDescent="0.35">
      <c r="A16" s="28" t="s">
        <v>23</v>
      </c>
      <c r="B16" s="25"/>
      <c r="C16" s="25"/>
      <c r="D16" s="26"/>
      <c r="E16" s="26"/>
      <c r="F16" s="27"/>
      <c r="G16" s="27"/>
    </row>
    <row r="17" spans="1:7" x14ac:dyDescent="0.35">
      <c r="A17" s="11" t="s">
        <v>6</v>
      </c>
      <c r="B17" s="15">
        <v>4.0958607678906439E-2</v>
      </c>
      <c r="C17" s="15" t="e">
        <v>#DIV/0!</v>
      </c>
      <c r="D17" s="16">
        <v>1.098901098901099</v>
      </c>
      <c r="E17" s="16" t="e">
        <v>#DIV/0!</v>
      </c>
      <c r="F17" s="26"/>
      <c r="G17" s="26"/>
    </row>
    <row r="18" spans="1:7" x14ac:dyDescent="0.35">
      <c r="F18" s="21"/>
      <c r="G18" s="21"/>
    </row>
    <row r="19" spans="1:7" x14ac:dyDescent="0.35">
      <c r="A19" s="60" t="s">
        <v>22</v>
      </c>
      <c r="B19" s="60"/>
      <c r="C19" s="60"/>
      <c r="D19" s="60"/>
      <c r="E19" s="60"/>
    </row>
  </sheetData>
  <mergeCells count="1">
    <mergeCell ref="A19:E19"/>
  </mergeCells>
  <pageMargins left="0.7" right="0.7" top="0.75" bottom="0.75" header="0.3" footer="0.3"/>
  <pageSetup scale="97" orientation="portrait" r:id="rId2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tabSelected="1" topLeftCell="B1" zoomScaleNormal="100" workbookViewId="0">
      <selection activeCell="I3" sqref="I3:I20"/>
    </sheetView>
  </sheetViews>
  <sheetFormatPr defaultRowHeight="14.5" x14ac:dyDescent="0.35"/>
  <cols>
    <col min="1" max="1" width="25.81640625" bestFit="1" customWidth="1"/>
    <col min="2" max="2" width="23" bestFit="1" customWidth="1"/>
    <col min="3" max="3" width="18.26953125" bestFit="1" customWidth="1"/>
    <col min="4" max="4" width="25.1796875" bestFit="1" customWidth="1"/>
    <col min="5" max="5" width="10.453125" bestFit="1" customWidth="1"/>
    <col min="6" max="6" width="15.81640625" bestFit="1" customWidth="1"/>
    <col min="7" max="7" width="12.453125" bestFit="1" customWidth="1"/>
    <col min="8" max="8" width="16.54296875" bestFit="1" customWidth="1"/>
    <col min="9" max="9" width="10.54296875" customWidth="1"/>
    <col min="10" max="10" width="11.81640625" customWidth="1"/>
  </cols>
  <sheetData>
    <row r="1" spans="1:12" x14ac:dyDescent="0.35">
      <c r="A1" s="1" t="s">
        <v>0</v>
      </c>
      <c r="B1" s="2" t="s">
        <v>4</v>
      </c>
      <c r="C1" s="2" t="s">
        <v>1</v>
      </c>
      <c r="D1" s="3" t="s">
        <v>5</v>
      </c>
      <c r="E1" s="3" t="s">
        <v>9</v>
      </c>
      <c r="F1" s="8" t="s">
        <v>12</v>
      </c>
      <c r="G1" s="8" t="s">
        <v>10</v>
      </c>
      <c r="H1" s="8" t="s">
        <v>11</v>
      </c>
      <c r="I1" s="58" t="s">
        <v>88</v>
      </c>
      <c r="J1" s="58" t="s">
        <v>89</v>
      </c>
      <c r="K1" s="58" t="s">
        <v>90</v>
      </c>
      <c r="L1" s="58" t="s">
        <v>91</v>
      </c>
    </row>
    <row r="2" spans="1:12" x14ac:dyDescent="0.35">
      <c r="A2" s="4" t="s">
        <v>26</v>
      </c>
      <c r="B2" s="4" t="s">
        <v>44</v>
      </c>
      <c r="C2" s="4" t="s">
        <v>23</v>
      </c>
      <c r="D2" s="4" t="s">
        <v>6</v>
      </c>
      <c r="E2" s="7">
        <f ca="1">IFERROR(OFFSET(INDIRECT("'Qcount'!A"&amp;MATCH(A2,Qcount!$A$1:$A$65308,0)),3,3,1),IFERROR(OFFSET(INDIRECT("'Spread'!A"&amp;MATCH(A2,Spread!$A$1:$A$65536,0)),-1,9,1),IFERROR(OFFSET(INDIRECT("'Filters'!A"&amp;MATCH(A2,Filters!$A:$A,0)),0,9,1),OFFSET(INDIRECT("'HD'!A"&amp;MATCH(A2,HD!$A:$A,0)),0,9,1))))</f>
        <v>0.10989010989010989</v>
      </c>
      <c r="F2" s="4">
        <v>10</v>
      </c>
      <c r="G2" s="5">
        <f ca="1">E2*F2</f>
        <v>1.098901098901099</v>
      </c>
      <c r="H2" s="6">
        <f ca="1">LOG(G2)</f>
        <v>4.0958607678906439E-2</v>
      </c>
      <c r="I2" s="59">
        <f ca="1">G2/2.54</f>
        <v>0.43263822791381851</v>
      </c>
      <c r="J2">
        <f ca="1">LOG10(I2)</f>
        <v>-0.36387510894103164</v>
      </c>
    </row>
    <row r="3" spans="1:12" x14ac:dyDescent="0.35">
      <c r="A3" s="4" t="s">
        <v>24</v>
      </c>
      <c r="B3" s="4" t="s">
        <v>44</v>
      </c>
      <c r="C3" s="4" t="s">
        <v>2</v>
      </c>
      <c r="D3" s="4" t="s">
        <v>7</v>
      </c>
      <c r="E3" s="7">
        <f ca="1">IFERROR(OFFSET(INDIRECT("'Qcount'!A"&amp;MATCH(A3,[1]QCount!$A$1:$A$65328,0)),3,3,1),IFERROR(OFFSET(INDIRECT("'Spread'!A"&amp;MATCH(A3,[2]Spread!$A$1:$A$65536,0)),-1,9,1),IFERROR(OFFSET(INDIRECT("'Filters'!A"&amp;MATCH(A3,Filters!$A:$A,0)),0,9,1),OFFSET(INDIRECT("'HD'!A"&amp;MATCH(A3,[3]HD!$A:$A,0)),0,9,1))))</f>
        <v>0.10416666666666667</v>
      </c>
      <c r="F3" s="4">
        <v>10</v>
      </c>
      <c r="G3" s="5">
        <f t="shared" ref="G3:G17" ca="1" si="0">E3*F3</f>
        <v>1.0416666666666667</v>
      </c>
      <c r="H3" s="6">
        <f t="shared" ref="H3:H4" ca="1" si="1">LOG(G3)</f>
        <v>1.7728766960431616E-2</v>
      </c>
      <c r="I3" s="59">
        <f t="shared" ref="I3:I20" ca="1" si="2">G3/2.54</f>
        <v>0.41010498687664043</v>
      </c>
      <c r="J3">
        <f t="shared" ref="J3:J20" ca="1" si="3">LOG10(I3)</f>
        <v>-0.38710494965950648</v>
      </c>
    </row>
    <row r="4" spans="1:12" x14ac:dyDescent="0.35">
      <c r="A4" s="4" t="s">
        <v>25</v>
      </c>
      <c r="B4" s="4" t="s">
        <v>44</v>
      </c>
      <c r="C4" s="4" t="s">
        <v>2</v>
      </c>
      <c r="D4" s="4" t="s">
        <v>8</v>
      </c>
      <c r="E4" s="7">
        <f ca="1">IFERROR(OFFSET(INDIRECT("'Qcount'!A"&amp;MATCH(A4,[1]QCount!$A$1:$A$65328,0)),3,3,1),IFERROR(OFFSET(INDIRECT("'Spread'!A"&amp;MATCH(A4,[2]Spread!$A$1:$A$65536,0)),-1,9,1),IFERROR(OFFSET(INDIRECT("'Filters'!A"&amp;MATCH(A4,Filters!$A:$A,0)),0,9,1),OFFSET(INDIRECT("'HD'!A"&amp;MATCH(A4,[3]HD!$A:$A,0)),0,9,1))))</f>
        <v>0.10309278350515465</v>
      </c>
      <c r="F4" s="4">
        <v>10</v>
      </c>
      <c r="G4" s="5">
        <f t="shared" ca="1" si="0"/>
        <v>1.0309278350515465</v>
      </c>
      <c r="H4" s="6">
        <f t="shared" ca="1" si="1"/>
        <v>1.3228265733755195E-2</v>
      </c>
      <c r="I4" s="59">
        <f t="shared" ca="1" si="2"/>
        <v>0.40587710041399466</v>
      </c>
      <c r="J4">
        <f t="shared" ca="1" si="3"/>
        <v>-0.39160545088618287</v>
      </c>
    </row>
    <row r="5" spans="1:12" x14ac:dyDescent="0.35">
      <c r="A5" s="4" t="s">
        <v>27</v>
      </c>
      <c r="B5" s="4" t="s">
        <v>43</v>
      </c>
      <c r="C5" s="4" t="s">
        <v>15</v>
      </c>
      <c r="D5" s="4" t="s">
        <v>6</v>
      </c>
      <c r="E5" s="7">
        <f ca="1">IFERROR(OFFSET(INDIRECT("'Qcount'!A"&amp;MATCH(A5,Qcount!$A$1:$A$65308,0)),3,3,1),IFERROR(OFFSET(INDIRECT("'Spread'!A"&amp;MATCH(A5,Spread!$A$1:$A$65536,0)),-1,9,1),IFERROR(OFFSET(INDIRECT("'Filters'!A"&amp;MATCH(A5,Filters!$A:$A,0)),0,9,1),OFFSET(INDIRECT("'HD'!A"&amp;MATCH(A5,#REF!,0)),0,9,1))))</f>
        <v>2687000</v>
      </c>
      <c r="F5" s="4">
        <v>10</v>
      </c>
      <c r="G5" s="5">
        <f t="shared" ca="1" si="0"/>
        <v>26870000</v>
      </c>
      <c r="H5" s="6">
        <f t="shared" ref="H5:H17" ca="1" si="4">LOG(G5)</f>
        <v>7.4292676664331685</v>
      </c>
      <c r="I5" s="59">
        <f t="shared" ca="1" si="2"/>
        <v>10578740.157480314</v>
      </c>
      <c r="J5">
        <f t="shared" ca="1" si="3"/>
        <v>7.02443394981323</v>
      </c>
    </row>
    <row r="6" spans="1:12" x14ac:dyDescent="0.35">
      <c r="A6" s="4" t="s">
        <v>28</v>
      </c>
      <c r="B6" s="4" t="s">
        <v>43</v>
      </c>
      <c r="C6" s="4" t="s">
        <v>15</v>
      </c>
      <c r="D6" s="4" t="s">
        <v>6</v>
      </c>
      <c r="E6" s="7">
        <f ca="1">IFERROR(OFFSET(INDIRECT("'Qcount'!A"&amp;MATCH(A6,Qcount!$A$1:$A$65308,0)),3,3,1),IFERROR(OFFSET(INDIRECT("'Spread'!A"&amp;MATCH(A6,Spread!$A$1:$A$65536,0)),-1,9,1),IFERROR(OFFSET(INDIRECT("'Filters'!A"&amp;MATCH(A6,Filters!$A:$A,0)),0,9,1),OFFSET(INDIRECT("'HD'!A"&amp;MATCH(A6,#REF!,0)),0,9,1))))</f>
        <v>2196000</v>
      </c>
      <c r="F6" s="4">
        <v>10</v>
      </c>
      <c r="G6" s="5">
        <f t="shared" ca="1" si="0"/>
        <v>21960000</v>
      </c>
      <c r="H6" s="6">
        <f t="shared" ca="1" si="4"/>
        <v>7.341632335778054</v>
      </c>
      <c r="I6" s="59">
        <f t="shared" ca="1" si="2"/>
        <v>8645669.2913385835</v>
      </c>
      <c r="J6">
        <f t="shared" ca="1" si="3"/>
        <v>6.9367986191581164</v>
      </c>
    </row>
    <row r="7" spans="1:12" x14ac:dyDescent="0.35">
      <c r="A7" s="4" t="s">
        <v>29</v>
      </c>
      <c r="B7" s="4" t="s">
        <v>43</v>
      </c>
      <c r="C7" s="4" t="s">
        <v>15</v>
      </c>
      <c r="D7" s="4" t="s">
        <v>6</v>
      </c>
      <c r="E7" s="7">
        <f ca="1">IFERROR(OFFSET(INDIRECT("'Qcount'!A"&amp;MATCH(A7,Qcount!$A$1:$A$65308,0)),3,3,1),IFERROR(OFFSET(INDIRECT("'Spread'!A"&amp;MATCH(A7,Spread!$A$1:$A$65536,0)),-1,9,1),IFERROR(OFFSET(INDIRECT("'Filters'!A"&amp;MATCH(A7,Filters!$A:$A,0)),0,9,1),OFFSET(INDIRECT("'HD'!A"&amp;MATCH(A7,#REF!,0)),0,9,1))))</f>
        <v>2758000</v>
      </c>
      <c r="F7" s="4">
        <v>10</v>
      </c>
      <c r="G7" s="5">
        <f t="shared" ca="1" si="0"/>
        <v>27580000</v>
      </c>
      <c r="H7" s="6">
        <f t="shared" ca="1" si="4"/>
        <v>7.4405942618398306</v>
      </c>
      <c r="I7" s="59">
        <f t="shared" ca="1" si="2"/>
        <v>10858267.716535432</v>
      </c>
      <c r="J7">
        <f t="shared" ca="1" si="3"/>
        <v>7.035760545219893</v>
      </c>
    </row>
    <row r="8" spans="1:12" x14ac:dyDescent="0.35">
      <c r="A8" s="4" t="s">
        <v>30</v>
      </c>
      <c r="B8" s="4" t="s">
        <v>43</v>
      </c>
      <c r="C8" s="4" t="s">
        <v>15</v>
      </c>
      <c r="D8" s="4" t="s">
        <v>6</v>
      </c>
      <c r="E8" s="7">
        <f ca="1">IFERROR(OFFSET(INDIRECT("'Qcount'!A"&amp;MATCH(A8,Qcount!$A$1:$A$65308,0)),3,3,1),IFERROR(OFFSET(INDIRECT("'Spread'!A"&amp;MATCH(A8,Spread!$A$1:$A$65536,0)),-1,9,1),IFERROR(OFFSET(INDIRECT("'Filters'!A"&amp;MATCH(A8,Filters!$A:$A,0)),0,9,1),OFFSET(INDIRECT("'HD'!A"&amp;MATCH(A8,#REF!,0)),0,9,1))))</f>
        <v>2369000</v>
      </c>
      <c r="F8" s="4">
        <v>10</v>
      </c>
      <c r="G8" s="5">
        <f t="shared" ca="1" si="0"/>
        <v>23690000</v>
      </c>
      <c r="H8" s="6">
        <f t="shared" ca="1" si="4"/>
        <v>7.3745650607227651</v>
      </c>
      <c r="I8" s="59">
        <f t="shared" ca="1" si="2"/>
        <v>9326771.6535433065</v>
      </c>
      <c r="J8">
        <f t="shared" ca="1" si="3"/>
        <v>6.9697313441028266</v>
      </c>
    </row>
    <row r="9" spans="1:12" x14ac:dyDescent="0.35">
      <c r="A9" s="4" t="s">
        <v>31</v>
      </c>
      <c r="B9" s="4" t="s">
        <v>44</v>
      </c>
      <c r="C9" s="4" t="s">
        <v>16</v>
      </c>
      <c r="D9" s="4" t="s">
        <v>7</v>
      </c>
      <c r="E9" s="7">
        <f ca="1">IFERROR(OFFSET(INDIRECT("'Qcount'!A"&amp;MATCH(A9,Qcount!$A$1:$A$65308,0)),3,3,1),IFERROR(OFFSET(INDIRECT("'Spread'!A"&amp;MATCH(A9,Spread!$A$1:$A$65536,0)),-1,9,1),IFERROR(OFFSET(INDIRECT("'Filters'!A"&amp;MATCH(A9,Filters!$A:$A,0)),0,9,1),OFFSET(INDIRECT("'HD'!A"&amp;MATCH(A9,#REF!,0)),0,9,1))))</f>
        <v>2617000</v>
      </c>
      <c r="F9" s="4">
        <v>10</v>
      </c>
      <c r="G9" s="5">
        <f t="shared" ca="1" si="0"/>
        <v>26170000</v>
      </c>
      <c r="H9" s="6">
        <f t="shared" ca="1" si="4"/>
        <v>7.4178037226398814</v>
      </c>
      <c r="I9" s="59">
        <f t="shared" ca="1" si="2"/>
        <v>10303149.606299212</v>
      </c>
      <c r="J9">
        <f t="shared" ca="1" si="3"/>
        <v>7.0129700060199429</v>
      </c>
      <c r="K9">
        <f ca="1">AVERAGE(J9:J11,J15:J17)</f>
        <v>7.002762058455164</v>
      </c>
      <c r="L9">
        <f ca="1">STDEV(J9:J11,J15:J17)</f>
        <v>4.9372726521298808E-2</v>
      </c>
    </row>
    <row r="10" spans="1:12" x14ac:dyDescent="0.35">
      <c r="A10" s="4" t="s">
        <v>32</v>
      </c>
      <c r="B10" s="4" t="s">
        <v>44</v>
      </c>
      <c r="C10" s="4" t="s">
        <v>16</v>
      </c>
      <c r="D10" s="4" t="s">
        <v>7</v>
      </c>
      <c r="E10" s="7">
        <f ca="1">IFERROR(OFFSET(INDIRECT("'Qcount'!A"&amp;MATCH(A10,Qcount!$A$1:$A$65308,0)),3,3,1),IFERROR(OFFSET(INDIRECT("'Spread'!A"&amp;MATCH(A10,Spread!$A$1:$A$65536,0)),-1,9,1),IFERROR(OFFSET(INDIRECT("'Filters'!A"&amp;MATCH(A10,Filters!$A:$A,0)),0,9,1),OFFSET(INDIRECT("'HD'!A"&amp;MATCH(A10,#REF!,0)),0,9,1))))</f>
        <v>2767000</v>
      </c>
      <c r="F10" s="4">
        <v>10</v>
      </c>
      <c r="G10" s="5">
        <f t="shared" ca="1" si="0"/>
        <v>27670000</v>
      </c>
      <c r="H10" s="6">
        <f t="shared" ca="1" si="4"/>
        <v>7.4420091591409516</v>
      </c>
      <c r="I10" s="59">
        <f t="shared" ca="1" si="2"/>
        <v>10893700.787401574</v>
      </c>
      <c r="J10">
        <f t="shared" ca="1" si="3"/>
        <v>7.037175442521014</v>
      </c>
    </row>
    <row r="11" spans="1:12" x14ac:dyDescent="0.35">
      <c r="A11" s="4" t="s">
        <v>33</v>
      </c>
      <c r="B11" s="4" t="s">
        <v>44</v>
      </c>
      <c r="C11" s="4" t="s">
        <v>16</v>
      </c>
      <c r="D11" s="4" t="s">
        <v>7</v>
      </c>
      <c r="E11" s="7">
        <f ca="1">IFERROR(OFFSET(INDIRECT("'Qcount'!A"&amp;MATCH(A11,Qcount!$A$1:$A$65308,0)),3,3,1),IFERROR(OFFSET(INDIRECT("'Spread'!A"&amp;MATCH(A11,Spread!$A$1:$A$65536,0)),-1,9,1),IFERROR(OFFSET(INDIRECT("'Filters'!A"&amp;MATCH(A11,Filters!$A:$A,0)),0,9,1),OFFSET(INDIRECT("'HD'!A"&amp;MATCH(A11,#REF!,0)),0,9,1))))</f>
        <v>2100000</v>
      </c>
      <c r="F11" s="4">
        <v>10</v>
      </c>
      <c r="G11" s="5">
        <f t="shared" ca="1" si="0"/>
        <v>21000000</v>
      </c>
      <c r="H11" s="6">
        <f t="shared" ca="1" si="4"/>
        <v>7.3222192947339195</v>
      </c>
      <c r="I11" s="59">
        <f t="shared" ca="1" si="2"/>
        <v>8267716.5354330707</v>
      </c>
      <c r="J11">
        <f t="shared" ca="1" si="3"/>
        <v>6.917385578113981</v>
      </c>
    </row>
    <row r="12" spans="1:12" x14ac:dyDescent="0.35">
      <c r="A12" s="4" t="s">
        <v>37</v>
      </c>
      <c r="B12" s="4" t="s">
        <v>44</v>
      </c>
      <c r="C12" s="4" t="s">
        <v>3</v>
      </c>
      <c r="D12" s="4" t="s">
        <v>7</v>
      </c>
      <c r="E12" s="7">
        <f ca="1">IFERROR(OFFSET(INDIRECT("'Qcount'!A"&amp;MATCH(A12,Qcount!$A$1:$A$65308,0)),3,3,1),IFERROR(OFFSET(INDIRECT("'Spread'!A"&amp;MATCH(A12,Spread!$A$1:$A$65536,0)),-1,9,1),IFERROR(OFFSET(INDIRECT("'Filters'!A"&amp;MATCH(A12,Filters!$A:$A,0)),0,9,1),OFFSET(INDIRECT("'HD'!A"&amp;MATCH(A12,#REF!,0)),0,9,1))))</f>
        <v>6682</v>
      </c>
      <c r="F12" s="4">
        <v>10</v>
      </c>
      <c r="G12" s="5">
        <f t="shared" ca="1" si="0"/>
        <v>66820</v>
      </c>
      <c r="H12" s="6">
        <f t="shared" ca="1" si="4"/>
        <v>4.8249064713021124</v>
      </c>
      <c r="I12" s="59">
        <f t="shared" ca="1" si="2"/>
        <v>26307.086614173229</v>
      </c>
      <c r="J12">
        <f t="shared" ca="1" si="3"/>
        <v>4.4200727546821748</v>
      </c>
      <c r="K12">
        <f ca="1">AVERAGE(J12:J14)</f>
        <v>4.0965552759894202</v>
      </c>
      <c r="L12">
        <f ca="1">STDEV(J12:J14)</f>
        <v>0.30746770457673306</v>
      </c>
    </row>
    <row r="13" spans="1:12" x14ac:dyDescent="0.35">
      <c r="A13" s="4" t="s">
        <v>38</v>
      </c>
      <c r="B13" s="4" t="s">
        <v>44</v>
      </c>
      <c r="C13" s="4" t="s">
        <v>3</v>
      </c>
      <c r="D13" s="4" t="s">
        <v>7</v>
      </c>
      <c r="E13" s="7">
        <f ca="1">IFERROR(OFFSET(INDIRECT("'Qcount'!A"&amp;MATCH(A13,Qcount!$A$1:$A$65308,0)),3,3,1),IFERROR(OFFSET(INDIRECT("'Spread'!A"&amp;MATCH(A13,Spread!$A$1:$A$65536,0)),-1,9,1),IFERROR(OFFSET(INDIRECT("'Filters'!A"&amp;MATCH(A13,Filters!$A:$A,0)),0,9,1),OFFSET(INDIRECT("'HD'!A"&amp;MATCH(A13,#REF!,0)),0,9,1))))</f>
        <v>2926</v>
      </c>
      <c r="F13" s="4">
        <v>10</v>
      </c>
      <c r="G13" s="5">
        <f t="shared" ca="1" si="0"/>
        <v>29260</v>
      </c>
      <c r="H13" s="6">
        <f t="shared" ca="1" si="4"/>
        <v>4.4662743217892924</v>
      </c>
      <c r="I13" s="59">
        <f t="shared" ca="1" si="2"/>
        <v>11519.685039370079</v>
      </c>
      <c r="J13">
        <f t="shared" ca="1" si="3"/>
        <v>4.0614406051693539</v>
      </c>
    </row>
    <row r="14" spans="1:12" x14ac:dyDescent="0.35">
      <c r="A14" s="4" t="s">
        <v>39</v>
      </c>
      <c r="B14" s="4" t="s">
        <v>44</v>
      </c>
      <c r="C14" s="4" t="s">
        <v>3</v>
      </c>
      <c r="D14" s="4" t="s">
        <v>7</v>
      </c>
      <c r="E14" s="7">
        <f ca="1">IFERROR(OFFSET(INDIRECT("'Qcount'!A"&amp;MATCH(A14,Qcount!$A$1:$A$65308,0)),3,3,1),IFERROR(OFFSET(INDIRECT("'Spread'!A"&amp;MATCH(A14,Spread!$A$1:$A$65536,0)),-1,9,1),IFERROR(OFFSET(INDIRECT("'Filters'!A"&amp;MATCH(A14,Filters!$A:$A,0)),0,9,1),OFFSET(INDIRECT("'HD'!A"&amp;MATCH(A14,#REF!,0)),0,9,1))))</f>
        <v>1633</v>
      </c>
      <c r="F14" s="4">
        <v>10</v>
      </c>
      <c r="G14" s="5">
        <f t="shared" ca="1" si="0"/>
        <v>16330</v>
      </c>
      <c r="H14" s="6">
        <f t="shared" ca="1" si="4"/>
        <v>4.2129861847366685</v>
      </c>
      <c r="I14" s="59">
        <f t="shared" ca="1" si="2"/>
        <v>6429.1338582677163</v>
      </c>
      <c r="J14">
        <f t="shared" ca="1" si="3"/>
        <v>3.80815246811673</v>
      </c>
    </row>
    <row r="15" spans="1:12" x14ac:dyDescent="0.35">
      <c r="A15" s="4" t="s">
        <v>34</v>
      </c>
      <c r="B15" s="4" t="s">
        <v>44</v>
      </c>
      <c r="C15" s="4" t="s">
        <v>16</v>
      </c>
      <c r="D15" s="4" t="s">
        <v>8</v>
      </c>
      <c r="E15" s="7">
        <f ca="1">IFERROR(OFFSET(INDIRECT("'Qcount'!A"&amp;MATCH(A15,Qcount!$A$1:$A$65308,0)),3,3,1),IFERROR(OFFSET(INDIRECT("'Spread'!A"&amp;MATCH(A15,Spread!$A$1:$A$65536,0)),-1,9,1),IFERROR(OFFSET(INDIRECT("'Filters'!A"&amp;MATCH(A15,Filters!$A:$A,0)),0,9,1),OFFSET(INDIRECT("'HD'!A"&amp;MATCH(A15,#REF!,0)),0,9,1))))</f>
        <v>2922000</v>
      </c>
      <c r="F15" s="4">
        <v>10</v>
      </c>
      <c r="G15" s="5">
        <f t="shared" ca="1" si="0"/>
        <v>29220000</v>
      </c>
      <c r="H15" s="6">
        <f t="shared" ca="1" si="4"/>
        <v>7.4656802115982783</v>
      </c>
      <c r="I15" s="59">
        <f t="shared" ca="1" si="2"/>
        <v>11503937.007874016</v>
      </c>
      <c r="J15">
        <f t="shared" ca="1" si="3"/>
        <v>7.0608464949783398</v>
      </c>
    </row>
    <row r="16" spans="1:12" x14ac:dyDescent="0.35">
      <c r="A16" s="4" t="s">
        <v>35</v>
      </c>
      <c r="B16" s="4" t="s">
        <v>44</v>
      </c>
      <c r="C16" s="4" t="s">
        <v>16</v>
      </c>
      <c r="D16" s="4" t="s">
        <v>8</v>
      </c>
      <c r="E16" s="7">
        <f ca="1">IFERROR(OFFSET(INDIRECT("'Qcount'!A"&amp;MATCH(A16,Qcount!$A$1:$A$65308,0)),3,3,1),IFERROR(OFFSET(INDIRECT("'Spread'!A"&amp;MATCH(A16,Spread!$A$1:$A$65536,0)),-1,9,1),IFERROR(OFFSET(INDIRECT("'Filters'!A"&amp;MATCH(A16,Filters!$A:$A,0)),0,9,1),OFFSET(INDIRECT("'HD'!A"&amp;MATCH(A16,#REF!,0)),0,9,1))))</f>
        <v>2468000</v>
      </c>
      <c r="F16" s="4">
        <v>10</v>
      </c>
      <c r="G16" s="5">
        <f t="shared" ca="1" si="0"/>
        <v>24680000</v>
      </c>
      <c r="H16" s="6">
        <f t="shared" ca="1" si="4"/>
        <v>7.3923451553612045</v>
      </c>
      <c r="I16" s="59">
        <f t="shared" ca="1" si="2"/>
        <v>9716535.4330708664</v>
      </c>
      <c r="J16">
        <f t="shared" ca="1" si="3"/>
        <v>6.987511438741266</v>
      </c>
    </row>
    <row r="17" spans="1:12" x14ac:dyDescent="0.35">
      <c r="A17" s="4" t="s">
        <v>36</v>
      </c>
      <c r="B17" s="4" t="s">
        <v>44</v>
      </c>
      <c r="C17" s="4" t="s">
        <v>16</v>
      </c>
      <c r="D17" s="4" t="s">
        <v>8</v>
      </c>
      <c r="E17" s="7">
        <f ca="1">IFERROR(OFFSET(INDIRECT("'Qcount'!A"&amp;MATCH(A17,Qcount!$A$1:$A$65308,0)),3,3,1),IFERROR(OFFSET(INDIRECT("'Spread'!A"&amp;MATCH(A17,Spread!$A$1:$A$65536,0)),-1,9,1),IFERROR(OFFSET(INDIRECT("'Filters'!A"&amp;MATCH(A17,Filters!$A:$A,0)),0,9,1),OFFSET(INDIRECT("'HD'!A"&amp;MATCH(A17,#REF!,0)),0,9,1))))</f>
        <v>2544000</v>
      </c>
      <c r="F17" s="4">
        <v>10</v>
      </c>
      <c r="G17" s="5">
        <f t="shared" ca="1" si="0"/>
        <v>25440000</v>
      </c>
      <c r="H17" s="6">
        <f t="shared" ca="1" si="4"/>
        <v>7.4055171069763759</v>
      </c>
      <c r="I17" s="59">
        <f t="shared" ca="1" si="2"/>
        <v>10015748.031496063</v>
      </c>
      <c r="J17">
        <f t="shared" ca="1" si="3"/>
        <v>7.0006833903564383</v>
      </c>
    </row>
    <row r="18" spans="1:12" x14ac:dyDescent="0.35">
      <c r="A18" s="4" t="s">
        <v>40</v>
      </c>
      <c r="B18" s="4" t="s">
        <v>44</v>
      </c>
      <c r="C18" s="4" t="s">
        <v>3</v>
      </c>
      <c r="D18" s="4" t="s">
        <v>8</v>
      </c>
      <c r="E18" s="7">
        <f ca="1">IFERROR(OFFSET(INDIRECT("'Qcount'!A"&amp;MATCH(A18,Qcount!$A$1:$A$65308,0)),3,3,1),IFERROR(OFFSET(INDIRECT("'Spread'!A"&amp;MATCH(A18,Spread!$A$1:$A$65536,0)),-1,9,1),IFERROR(OFFSET(INDIRECT("'Filters'!A"&amp;MATCH(A18,Filters!$A:$A,0)),0,9,1),OFFSET(INDIRECT("'HD'!A"&amp;MATCH(A18,#REF!,0)),0,9,1))))</f>
        <v>3762</v>
      </c>
      <c r="F18" s="4">
        <v>10</v>
      </c>
      <c r="G18" s="5">
        <f ca="1">E18*F18</f>
        <v>37620</v>
      </c>
      <c r="H18" s="6">
        <f ca="1">LOG(G18)</f>
        <v>4.5754187912143598</v>
      </c>
      <c r="I18" s="59">
        <f t="shared" ca="1" si="2"/>
        <v>14811.023622047243</v>
      </c>
      <c r="J18">
        <f t="shared" ca="1" si="3"/>
        <v>4.1705850745944222</v>
      </c>
      <c r="K18">
        <f ca="1">AVERAGE(J18:J20)</f>
        <v>4.1511732444749683</v>
      </c>
      <c r="L18">
        <f ca="1">STDEV(J18:J20)</f>
        <v>0.13589355026127511</v>
      </c>
    </row>
    <row r="19" spans="1:12" x14ac:dyDescent="0.35">
      <c r="A19" s="4" t="s">
        <v>41</v>
      </c>
      <c r="B19" s="4" t="s">
        <v>44</v>
      </c>
      <c r="C19" s="4" t="s">
        <v>3</v>
      </c>
      <c r="D19" s="4" t="s">
        <v>8</v>
      </c>
      <c r="E19" s="7">
        <f ca="1">IFERROR(OFFSET(INDIRECT("'Qcount'!A"&amp;MATCH(A19,Qcount!$A$1:$A$65308,0)),3,3,1),IFERROR(OFFSET(INDIRECT("'Spread'!A"&amp;MATCH(A19,Spread!$A$1:$A$65536,0)),-1,9,1),IFERROR(OFFSET(INDIRECT("'Filters'!A"&amp;MATCH(A19,Filters!$A:$A,0)),0,9,1),OFFSET(INDIRECT("'HD'!A"&amp;MATCH(A19,#REF!,0)),0,9,1))))</f>
        <v>4799</v>
      </c>
      <c r="F19" s="4">
        <v>10</v>
      </c>
      <c r="G19" s="5">
        <f ca="1">E19*F19</f>
        <v>47990</v>
      </c>
      <c r="H19" s="6">
        <f ca="1">LOG(G19)</f>
        <v>4.6811507499324216</v>
      </c>
      <c r="I19" s="59">
        <f t="shared" ca="1" si="2"/>
        <v>18893.700787401576</v>
      </c>
      <c r="J19">
        <f t="shared" ca="1" si="3"/>
        <v>4.2763170333124831</v>
      </c>
    </row>
    <row r="20" spans="1:12" x14ac:dyDescent="0.35">
      <c r="A20" s="4" t="s">
        <v>42</v>
      </c>
      <c r="B20" s="4" t="s">
        <v>44</v>
      </c>
      <c r="C20" s="4" t="s">
        <v>3</v>
      </c>
      <c r="D20" s="4" t="s">
        <v>8</v>
      </c>
      <c r="E20" s="7">
        <f ca="1">IFERROR(OFFSET(INDIRECT("'Qcount'!A"&amp;MATCH(A20,Qcount!$A$1:$A$65308,0)),3,3,1),IFERROR(OFFSET(INDIRECT("'Spread'!A"&amp;MATCH(A20,Spread!$A$1:$A$65536,0)),-1,9,1),IFERROR(OFFSET(INDIRECT("'Filters'!A"&amp;MATCH(A20,Filters!$A:$A,0)),0,9,1),OFFSET(INDIRECT("'HD'!A"&amp;MATCH(A20,#REF!,0)),0,9,1))))</f>
        <v>2579</v>
      </c>
      <c r="F20" s="4">
        <v>10</v>
      </c>
      <c r="G20" s="5">
        <f ca="1">E20*F20</f>
        <v>25790</v>
      </c>
      <c r="H20" s="6">
        <f ca="1">LOG(G20)</f>
        <v>4.4114513421379371</v>
      </c>
      <c r="I20" s="59">
        <f t="shared" ca="1" si="2"/>
        <v>10153.543307086615</v>
      </c>
      <c r="J20">
        <f t="shared" ca="1" si="3"/>
        <v>4.0066176255179995</v>
      </c>
    </row>
    <row r="22" spans="1:12" x14ac:dyDescent="0.35">
      <c r="B22" s="22"/>
    </row>
  </sheetData>
  <phoneticPr fontId="3" type="noConversion"/>
  <pageMargins left="0.7" right="0.7" top="0.75" bottom="0.75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3"/>
  <sheetViews>
    <sheetView topLeftCell="A37" zoomScaleNormal="100" workbookViewId="0">
      <selection activeCell="J38" sqref="J38"/>
    </sheetView>
  </sheetViews>
  <sheetFormatPr defaultRowHeight="14.5" x14ac:dyDescent="0.35"/>
  <cols>
    <col min="1" max="1" width="28.1796875" bestFit="1" customWidth="1"/>
    <col min="2" max="2" width="9.26953125" bestFit="1" customWidth="1"/>
    <col min="3" max="3" width="9.7265625" bestFit="1" customWidth="1"/>
    <col min="4" max="4" width="10.453125" bestFit="1" customWidth="1"/>
    <col min="5" max="5" width="9.26953125" bestFit="1" customWidth="1"/>
  </cols>
  <sheetData>
    <row r="1" spans="1:5" x14ac:dyDescent="0.35">
      <c r="A1" t="s">
        <v>45</v>
      </c>
      <c r="B1" s="30"/>
    </row>
    <row r="2" spans="1:5" x14ac:dyDescent="0.35">
      <c r="A2" t="s">
        <v>46</v>
      </c>
      <c r="B2" t="s">
        <v>47</v>
      </c>
    </row>
    <row r="3" spans="1:5" x14ac:dyDescent="0.35">
      <c r="A3" t="s">
        <v>48</v>
      </c>
      <c r="B3" s="30">
        <v>45260</v>
      </c>
    </row>
    <row r="5" spans="1:5" x14ac:dyDescent="0.35">
      <c r="A5" t="s">
        <v>49</v>
      </c>
      <c r="B5" t="s">
        <v>50</v>
      </c>
      <c r="C5" t="s">
        <v>51</v>
      </c>
      <c r="D5" t="s">
        <v>52</v>
      </c>
      <c r="E5" t="s">
        <v>53</v>
      </c>
    </row>
    <row r="6" spans="1:5" x14ac:dyDescent="0.35">
      <c r="A6" t="s">
        <v>27</v>
      </c>
      <c r="B6">
        <v>126</v>
      </c>
      <c r="C6" s="22">
        <v>0.01</v>
      </c>
      <c r="D6" s="22">
        <v>2442000</v>
      </c>
    </row>
    <row r="7" spans="1:5" x14ac:dyDescent="0.35">
      <c r="A7" t="s">
        <v>27</v>
      </c>
      <c r="B7">
        <v>141</v>
      </c>
      <c r="C7" s="22">
        <v>0.01</v>
      </c>
      <c r="D7" s="22">
        <v>2733000</v>
      </c>
    </row>
    <row r="8" spans="1:5" x14ac:dyDescent="0.35">
      <c r="A8" t="s">
        <v>27</v>
      </c>
      <c r="B8">
        <v>149</v>
      </c>
      <c r="C8" s="22">
        <v>0.01</v>
      </c>
      <c r="D8" s="22">
        <v>2888000</v>
      </c>
    </row>
    <row r="9" spans="1:5" x14ac:dyDescent="0.35">
      <c r="A9" t="s">
        <v>27</v>
      </c>
      <c r="B9" t="s">
        <v>54</v>
      </c>
      <c r="D9" s="22">
        <v>2687000</v>
      </c>
      <c r="E9" s="31">
        <f>STDEV(D6:D8)/AVERAGE(D6:D8)</f>
        <v>8.4247624762700646E-2</v>
      </c>
    </row>
    <row r="10" spans="1:5" x14ac:dyDescent="0.35">
      <c r="A10" t="s">
        <v>28</v>
      </c>
      <c r="B10">
        <v>114</v>
      </c>
      <c r="C10" s="22">
        <v>0.01</v>
      </c>
      <c r="D10" s="22">
        <v>2209000</v>
      </c>
    </row>
    <row r="11" spans="1:5" x14ac:dyDescent="0.35">
      <c r="A11" t="s">
        <v>28</v>
      </c>
      <c r="B11">
        <v>123</v>
      </c>
      <c r="C11" s="22">
        <v>0.01</v>
      </c>
      <c r="D11" s="22">
        <v>2384000</v>
      </c>
    </row>
    <row r="12" spans="1:5" x14ac:dyDescent="0.35">
      <c r="A12" t="s">
        <v>28</v>
      </c>
      <c r="B12">
        <v>103</v>
      </c>
      <c r="C12" s="22">
        <v>0.01</v>
      </c>
      <c r="D12" s="22">
        <v>1996000</v>
      </c>
    </row>
    <row r="13" spans="1:5" x14ac:dyDescent="0.35">
      <c r="A13" t="s">
        <v>28</v>
      </c>
      <c r="B13" t="s">
        <v>54</v>
      </c>
      <c r="D13" s="22">
        <v>2196000</v>
      </c>
      <c r="E13" s="31">
        <f t="shared" ref="E13" si="0">STDEV(D10:D12)/AVERAGE(D10:D12)</f>
        <v>8.8470127463553011E-2</v>
      </c>
    </row>
    <row r="14" spans="1:5" x14ac:dyDescent="0.35">
      <c r="A14" t="s">
        <v>29</v>
      </c>
      <c r="B14">
        <v>148</v>
      </c>
      <c r="C14" s="22">
        <v>0.01</v>
      </c>
      <c r="D14" s="22">
        <v>2868000</v>
      </c>
    </row>
    <row r="15" spans="1:5" x14ac:dyDescent="0.35">
      <c r="A15" t="s">
        <v>29</v>
      </c>
      <c r="B15">
        <v>153</v>
      </c>
      <c r="C15" s="22">
        <v>0.01</v>
      </c>
      <c r="D15" s="22">
        <v>2965000</v>
      </c>
    </row>
    <row r="16" spans="1:5" x14ac:dyDescent="0.35">
      <c r="A16" t="s">
        <v>29</v>
      </c>
      <c r="B16">
        <v>126</v>
      </c>
      <c r="C16" s="22">
        <v>0.01</v>
      </c>
      <c r="D16" s="22">
        <v>2442000</v>
      </c>
    </row>
    <row r="17" spans="1:5" x14ac:dyDescent="0.35">
      <c r="A17" t="s">
        <v>29</v>
      </c>
      <c r="B17" t="s">
        <v>54</v>
      </c>
      <c r="D17" s="22">
        <v>2758000</v>
      </c>
      <c r="E17" s="31">
        <f t="shared" ref="E17" si="1">STDEV(D14:D16)/AVERAGE(D14:D16)</f>
        <v>0.10086262779335439</v>
      </c>
    </row>
    <row r="18" spans="1:5" x14ac:dyDescent="0.35">
      <c r="A18" t="s">
        <v>30</v>
      </c>
      <c r="B18">
        <v>121</v>
      </c>
      <c r="C18" s="22">
        <v>0.01</v>
      </c>
      <c r="D18" s="22">
        <v>2345000</v>
      </c>
    </row>
    <row r="19" spans="1:5" x14ac:dyDescent="0.35">
      <c r="A19" t="s">
        <v>30</v>
      </c>
      <c r="B19">
        <v>47</v>
      </c>
      <c r="C19" s="22">
        <v>0.01</v>
      </c>
      <c r="D19" s="22">
        <v>2350000</v>
      </c>
    </row>
    <row r="20" spans="1:5" x14ac:dyDescent="0.35">
      <c r="A20" t="s">
        <v>30</v>
      </c>
      <c r="B20">
        <v>49</v>
      </c>
      <c r="C20" s="22">
        <v>0.01</v>
      </c>
      <c r="D20" s="22">
        <v>2450000</v>
      </c>
    </row>
    <row r="21" spans="1:5" x14ac:dyDescent="0.35">
      <c r="A21" t="s">
        <v>30</v>
      </c>
      <c r="B21" t="s">
        <v>54</v>
      </c>
      <c r="D21" s="22">
        <v>2369000</v>
      </c>
      <c r="E21" s="31">
        <f t="shared" ref="E21" si="2">STDEV(D18:D20)/AVERAGE(D18:D20)</f>
        <v>2.4869637010380492E-2</v>
      </c>
    </row>
    <row r="22" spans="1:5" x14ac:dyDescent="0.35">
      <c r="A22" t="s">
        <v>31</v>
      </c>
      <c r="B22">
        <v>49</v>
      </c>
      <c r="C22" s="22">
        <v>0.01</v>
      </c>
      <c r="D22" s="22">
        <v>2450000</v>
      </c>
    </row>
    <row r="23" spans="1:5" x14ac:dyDescent="0.35">
      <c r="A23" t="s">
        <v>31</v>
      </c>
      <c r="B23">
        <v>71</v>
      </c>
      <c r="C23" s="22">
        <v>0.01</v>
      </c>
      <c r="D23" s="22">
        <v>3550000</v>
      </c>
    </row>
    <row r="24" spans="1:5" x14ac:dyDescent="0.35">
      <c r="A24" t="s">
        <v>31</v>
      </c>
      <c r="B24">
        <v>37</v>
      </c>
      <c r="C24" s="22">
        <v>0.01</v>
      </c>
      <c r="D24" s="22">
        <v>1850000</v>
      </c>
    </row>
    <row r="25" spans="1:5" x14ac:dyDescent="0.35">
      <c r="A25" t="s">
        <v>31</v>
      </c>
      <c r="B25" t="s">
        <v>54</v>
      </c>
      <c r="D25" s="22">
        <v>2617000</v>
      </c>
      <c r="E25" s="31">
        <f t="shared" ref="E25" si="3">STDEV(D22:D24)/AVERAGE(D22:D24)</f>
        <v>0.32949088296503365</v>
      </c>
    </row>
    <row r="26" spans="1:5" x14ac:dyDescent="0.35">
      <c r="A26" t="s">
        <v>32</v>
      </c>
      <c r="B26">
        <v>58</v>
      </c>
      <c r="C26" s="22">
        <v>0.01</v>
      </c>
      <c r="D26" s="22">
        <v>2900000</v>
      </c>
    </row>
    <row r="27" spans="1:5" x14ac:dyDescent="0.35">
      <c r="A27" t="s">
        <v>32</v>
      </c>
      <c r="B27">
        <v>55</v>
      </c>
      <c r="C27" s="22">
        <v>0.01</v>
      </c>
      <c r="D27" s="22">
        <v>2750000</v>
      </c>
    </row>
    <row r="28" spans="1:5" x14ac:dyDescent="0.35">
      <c r="A28" t="s">
        <v>32</v>
      </c>
      <c r="B28">
        <v>53</v>
      </c>
      <c r="C28" s="22">
        <v>0.01</v>
      </c>
      <c r="D28" s="22">
        <v>2650000</v>
      </c>
    </row>
    <row r="29" spans="1:5" x14ac:dyDescent="0.35">
      <c r="A29" t="s">
        <v>32</v>
      </c>
      <c r="B29" t="s">
        <v>54</v>
      </c>
      <c r="D29" s="22">
        <v>2767000</v>
      </c>
      <c r="E29" s="31">
        <f t="shared" ref="E29" si="4">STDEV(D26:D28)/AVERAGE(D26:D28)</f>
        <v>4.5480930332956325E-2</v>
      </c>
    </row>
    <row r="30" spans="1:5" x14ac:dyDescent="0.35">
      <c r="A30" t="s">
        <v>33</v>
      </c>
      <c r="B30">
        <v>47</v>
      </c>
      <c r="C30" s="22">
        <v>0.01</v>
      </c>
      <c r="D30" s="22">
        <v>2350000</v>
      </c>
    </row>
    <row r="31" spans="1:5" x14ac:dyDescent="0.35">
      <c r="A31" t="s">
        <v>33</v>
      </c>
      <c r="B31">
        <v>36</v>
      </c>
      <c r="C31" s="22">
        <v>0.01</v>
      </c>
      <c r="D31" s="22">
        <v>1800000</v>
      </c>
    </row>
    <row r="32" spans="1:5" x14ac:dyDescent="0.35">
      <c r="A32" t="s">
        <v>33</v>
      </c>
      <c r="B32">
        <v>43</v>
      </c>
      <c r="C32" s="22">
        <v>0.01</v>
      </c>
      <c r="D32" s="22">
        <v>2150000</v>
      </c>
    </row>
    <row r="33" spans="1:5" x14ac:dyDescent="0.35">
      <c r="A33" t="s">
        <v>33</v>
      </c>
      <c r="B33" t="s">
        <v>54</v>
      </c>
      <c r="D33" s="22">
        <v>2100000</v>
      </c>
      <c r="E33" s="31">
        <f t="shared" ref="E33" si="5">STDEV(D30:D32)/AVERAGE(D30:D32)</f>
        <v>0.13256581816261956</v>
      </c>
    </row>
    <row r="34" spans="1:5" x14ac:dyDescent="0.35">
      <c r="A34" t="s">
        <v>37</v>
      </c>
      <c r="B34">
        <v>60</v>
      </c>
      <c r="C34">
        <v>1</v>
      </c>
      <c r="D34" s="22">
        <v>5917</v>
      </c>
    </row>
    <row r="35" spans="1:5" x14ac:dyDescent="0.35">
      <c r="A35" t="s">
        <v>37</v>
      </c>
      <c r="B35">
        <v>31</v>
      </c>
      <c r="C35">
        <v>1</v>
      </c>
      <c r="D35" s="22">
        <v>6008</v>
      </c>
    </row>
    <row r="36" spans="1:5" x14ac:dyDescent="0.35">
      <c r="A36" t="s">
        <v>37</v>
      </c>
      <c r="B36">
        <v>79</v>
      </c>
      <c r="C36">
        <v>1</v>
      </c>
      <c r="D36" s="22">
        <v>7791</v>
      </c>
    </row>
    <row r="37" spans="1:5" x14ac:dyDescent="0.35">
      <c r="A37" t="s">
        <v>37</v>
      </c>
      <c r="B37" t="s">
        <v>54</v>
      </c>
      <c r="D37" s="22">
        <v>6682</v>
      </c>
      <c r="E37" s="31">
        <f t="shared" ref="E37" si="6">STDEV(D34:D36)/AVERAGE(D34:D36)</f>
        <v>0.16078287230707666</v>
      </c>
    </row>
    <row r="38" spans="1:5" x14ac:dyDescent="0.35">
      <c r="A38" t="s">
        <v>38</v>
      </c>
      <c r="B38">
        <v>57</v>
      </c>
      <c r="C38">
        <v>1</v>
      </c>
      <c r="D38" s="22">
        <v>3167</v>
      </c>
    </row>
    <row r="39" spans="1:5" x14ac:dyDescent="0.35">
      <c r="A39" t="s">
        <v>38</v>
      </c>
      <c r="B39">
        <v>49</v>
      </c>
      <c r="C39">
        <v>1</v>
      </c>
      <c r="D39" s="22">
        <v>2722</v>
      </c>
    </row>
    <row r="40" spans="1:5" x14ac:dyDescent="0.35">
      <c r="A40" t="s">
        <v>38</v>
      </c>
      <c r="B40">
        <v>52</v>
      </c>
      <c r="C40">
        <v>1</v>
      </c>
      <c r="D40" s="22">
        <v>2889</v>
      </c>
    </row>
    <row r="41" spans="1:5" x14ac:dyDescent="0.35">
      <c r="A41" t="s">
        <v>38</v>
      </c>
      <c r="B41" t="s">
        <v>54</v>
      </c>
      <c r="D41" s="22">
        <v>2926</v>
      </c>
      <c r="E41" s="31">
        <f t="shared" ref="E41" si="7">STDEV(D38:D40)/AVERAGE(D38:D40)</f>
        <v>7.6826884001250817E-2</v>
      </c>
    </row>
    <row r="42" spans="1:5" x14ac:dyDescent="0.35">
      <c r="A42" t="s">
        <v>39</v>
      </c>
      <c r="B42">
        <v>45</v>
      </c>
      <c r="C42">
        <v>1</v>
      </c>
      <c r="D42" s="22">
        <v>1479</v>
      </c>
    </row>
    <row r="43" spans="1:5" x14ac:dyDescent="0.35">
      <c r="A43" t="s">
        <v>39</v>
      </c>
      <c r="B43">
        <v>81</v>
      </c>
      <c r="C43">
        <v>1</v>
      </c>
      <c r="D43" s="22">
        <v>1620</v>
      </c>
    </row>
    <row r="44" spans="1:5" x14ac:dyDescent="0.35">
      <c r="A44" t="s">
        <v>39</v>
      </c>
      <c r="B44">
        <v>55</v>
      </c>
      <c r="C44">
        <v>1</v>
      </c>
      <c r="D44" s="22">
        <v>1808</v>
      </c>
    </row>
    <row r="45" spans="1:5" x14ac:dyDescent="0.35">
      <c r="A45" t="s">
        <v>39</v>
      </c>
      <c r="B45" t="s">
        <v>54</v>
      </c>
      <c r="D45" s="22">
        <v>1633</v>
      </c>
      <c r="E45" s="31">
        <f t="shared" ref="E45" si="8">STDEV(D42:D44)/AVERAGE(D42:D44)</f>
        <v>0.10091211053272441</v>
      </c>
    </row>
    <row r="46" spans="1:5" x14ac:dyDescent="0.35">
      <c r="A46" t="s">
        <v>34</v>
      </c>
      <c r="B46">
        <v>145</v>
      </c>
      <c r="C46" s="22">
        <v>0.01</v>
      </c>
      <c r="D46" s="22">
        <v>2810000</v>
      </c>
    </row>
    <row r="47" spans="1:5" x14ac:dyDescent="0.35">
      <c r="A47" t="s">
        <v>34</v>
      </c>
      <c r="B47">
        <v>162</v>
      </c>
      <c r="C47" s="22">
        <v>0.01</v>
      </c>
      <c r="D47" s="22">
        <v>3140000</v>
      </c>
    </row>
    <row r="48" spans="1:5" x14ac:dyDescent="0.35">
      <c r="A48" t="s">
        <v>34</v>
      </c>
      <c r="B48">
        <v>53</v>
      </c>
      <c r="C48" s="22">
        <v>0.01</v>
      </c>
      <c r="D48" s="22">
        <v>2650000</v>
      </c>
    </row>
    <row r="49" spans="1:5" x14ac:dyDescent="0.35">
      <c r="A49" t="s">
        <v>34</v>
      </c>
      <c r="B49" t="s">
        <v>54</v>
      </c>
      <c r="D49" s="22">
        <v>2922000</v>
      </c>
      <c r="E49" s="31">
        <f t="shared" ref="E49" si="9">STDEV(D46:D48)/AVERAGE(D46:D48)</f>
        <v>8.716277828795424E-2</v>
      </c>
    </row>
    <row r="50" spans="1:5" x14ac:dyDescent="0.35">
      <c r="A50" t="s">
        <v>35</v>
      </c>
      <c r="B50">
        <v>45</v>
      </c>
      <c r="C50" s="22">
        <v>0.01</v>
      </c>
      <c r="D50" s="22">
        <v>2250000</v>
      </c>
    </row>
    <row r="51" spans="1:5" x14ac:dyDescent="0.35">
      <c r="A51" t="s">
        <v>35</v>
      </c>
      <c r="B51">
        <v>143</v>
      </c>
      <c r="C51" s="22">
        <v>0.01</v>
      </c>
      <c r="D51" s="22">
        <v>2771000</v>
      </c>
    </row>
    <row r="52" spans="1:5" x14ac:dyDescent="0.35">
      <c r="A52" t="s">
        <v>35</v>
      </c>
      <c r="B52">
        <v>116</v>
      </c>
      <c r="C52" s="22">
        <v>0.01</v>
      </c>
      <c r="D52" s="22">
        <v>2248000</v>
      </c>
    </row>
    <row r="53" spans="1:5" x14ac:dyDescent="0.35">
      <c r="A53" t="s">
        <v>35</v>
      </c>
      <c r="B53" t="s">
        <v>54</v>
      </c>
      <c r="D53" s="22">
        <v>2468000</v>
      </c>
      <c r="E53" s="31">
        <f t="shared" ref="E53" si="10">STDEV(D50:D52)/AVERAGE(D50:D52)</f>
        <v>0.12438237703876018</v>
      </c>
    </row>
    <row r="54" spans="1:5" x14ac:dyDescent="0.35">
      <c r="A54" t="s">
        <v>36</v>
      </c>
      <c r="B54">
        <v>46</v>
      </c>
      <c r="C54" s="22">
        <v>0.01</v>
      </c>
      <c r="D54" s="22">
        <v>2300000</v>
      </c>
    </row>
    <row r="55" spans="1:5" x14ac:dyDescent="0.35">
      <c r="A55" t="s">
        <v>36</v>
      </c>
      <c r="B55">
        <v>51</v>
      </c>
      <c r="C55" s="22">
        <v>0.01</v>
      </c>
      <c r="D55" s="22">
        <v>2550000</v>
      </c>
    </row>
    <row r="56" spans="1:5" x14ac:dyDescent="0.35">
      <c r="A56" t="s">
        <v>36</v>
      </c>
      <c r="B56">
        <v>136</v>
      </c>
      <c r="C56" s="22">
        <v>0.01</v>
      </c>
      <c r="D56" s="22">
        <v>2636000</v>
      </c>
    </row>
    <row r="57" spans="1:5" x14ac:dyDescent="0.35">
      <c r="A57" t="s">
        <v>36</v>
      </c>
      <c r="B57" t="s">
        <v>54</v>
      </c>
      <c r="D57" s="22">
        <v>2544000</v>
      </c>
      <c r="E57" s="31">
        <f t="shared" ref="E57" si="11">STDEV(D54:D56)/AVERAGE(D54:D56)</f>
        <v>6.9947854676509463E-2</v>
      </c>
    </row>
    <row r="58" spans="1:5" x14ac:dyDescent="0.35">
      <c r="A58" t="s">
        <v>40</v>
      </c>
      <c r="B58">
        <v>44</v>
      </c>
      <c r="C58">
        <v>1</v>
      </c>
      <c r="D58" s="22">
        <v>4339</v>
      </c>
    </row>
    <row r="59" spans="1:5" x14ac:dyDescent="0.35">
      <c r="A59" t="s">
        <v>40</v>
      </c>
      <c r="B59">
        <v>41</v>
      </c>
      <c r="C59">
        <v>1</v>
      </c>
      <c r="D59" s="22">
        <v>4043</v>
      </c>
    </row>
    <row r="60" spans="1:5" x14ac:dyDescent="0.35">
      <c r="A60" t="s">
        <v>40</v>
      </c>
      <c r="B60">
        <v>59</v>
      </c>
      <c r="C60">
        <v>1</v>
      </c>
      <c r="D60" s="22">
        <v>3278</v>
      </c>
    </row>
    <row r="61" spans="1:5" x14ac:dyDescent="0.35">
      <c r="A61" t="s">
        <v>40</v>
      </c>
      <c r="B61" t="s">
        <v>54</v>
      </c>
      <c r="D61" s="22">
        <v>3762</v>
      </c>
      <c r="E61" s="31">
        <f t="shared" ref="E61" si="12">STDEV(D58:D60)/AVERAGE(D58:D60)</f>
        <v>0.14086716871153604</v>
      </c>
    </row>
    <row r="62" spans="1:5" x14ac:dyDescent="0.35">
      <c r="A62" t="s">
        <v>41</v>
      </c>
      <c r="B62">
        <v>48</v>
      </c>
      <c r="C62">
        <v>1</v>
      </c>
      <c r="D62" s="22">
        <v>4734</v>
      </c>
    </row>
    <row r="63" spans="1:5" x14ac:dyDescent="0.35">
      <c r="A63" t="s">
        <v>41</v>
      </c>
      <c r="B63">
        <v>53</v>
      </c>
      <c r="C63">
        <v>1</v>
      </c>
      <c r="D63" s="22">
        <v>5227</v>
      </c>
    </row>
    <row r="64" spans="1:5" x14ac:dyDescent="0.35">
      <c r="A64" t="s">
        <v>41</v>
      </c>
      <c r="B64">
        <v>45</v>
      </c>
      <c r="C64">
        <v>1</v>
      </c>
      <c r="D64" s="22">
        <v>4438</v>
      </c>
    </row>
    <row r="65" spans="1:5" x14ac:dyDescent="0.35">
      <c r="A65" t="s">
        <v>41</v>
      </c>
      <c r="B65" t="s">
        <v>54</v>
      </c>
      <c r="D65" s="22">
        <v>4799</v>
      </c>
      <c r="E65" s="31">
        <f t="shared" ref="E65" si="13">STDEV(D62:D64)/AVERAGE(D62:D64)</f>
        <v>8.3042827001706704E-2</v>
      </c>
    </row>
    <row r="66" spans="1:5" x14ac:dyDescent="0.35">
      <c r="A66" t="s">
        <v>42</v>
      </c>
      <c r="B66">
        <v>42</v>
      </c>
      <c r="C66">
        <v>1</v>
      </c>
      <c r="D66" s="22">
        <v>2333</v>
      </c>
    </row>
    <row r="67" spans="1:5" x14ac:dyDescent="0.35">
      <c r="A67" t="s">
        <v>42</v>
      </c>
      <c r="B67">
        <v>41</v>
      </c>
      <c r="C67">
        <v>1</v>
      </c>
      <c r="D67" s="22">
        <v>2278</v>
      </c>
    </row>
    <row r="68" spans="1:5" x14ac:dyDescent="0.35">
      <c r="A68" t="s">
        <v>42</v>
      </c>
      <c r="B68">
        <v>36</v>
      </c>
      <c r="C68">
        <v>1</v>
      </c>
      <c r="D68" s="22">
        <v>3550</v>
      </c>
    </row>
    <row r="69" spans="1:5" x14ac:dyDescent="0.35">
      <c r="A69" t="s">
        <v>42</v>
      </c>
      <c r="B69" t="s">
        <v>54</v>
      </c>
      <c r="D69" s="22">
        <v>2579</v>
      </c>
      <c r="E69" s="31">
        <f t="shared" ref="E69" si="14">STDEV(D66:D68)/AVERAGE(D66:D68)</f>
        <v>0.26431998958701725</v>
      </c>
    </row>
    <row r="70" spans="1:5" x14ac:dyDescent="0.35">
      <c r="A70" t="s">
        <v>55</v>
      </c>
      <c r="B70">
        <v>0</v>
      </c>
      <c r="C70">
        <v>1</v>
      </c>
      <c r="D70" s="22">
        <v>0</v>
      </c>
    </row>
    <row r="71" spans="1:5" x14ac:dyDescent="0.35">
      <c r="A71" t="s">
        <v>55</v>
      </c>
      <c r="B71">
        <v>0</v>
      </c>
      <c r="C71">
        <v>1</v>
      </c>
      <c r="D71" s="22">
        <v>0</v>
      </c>
    </row>
    <row r="72" spans="1:5" x14ac:dyDescent="0.35">
      <c r="A72" t="s">
        <v>55</v>
      </c>
      <c r="B72">
        <v>0</v>
      </c>
      <c r="C72">
        <v>1</v>
      </c>
      <c r="D72" s="22">
        <v>0</v>
      </c>
    </row>
    <row r="73" spans="1:5" x14ac:dyDescent="0.35">
      <c r="A73" t="s">
        <v>55</v>
      </c>
      <c r="B73" t="s">
        <v>54</v>
      </c>
      <c r="D73" s="22">
        <v>0</v>
      </c>
    </row>
  </sheetData>
  <sortState xmlns:xlrd2="http://schemas.microsoft.com/office/spreadsheetml/2017/richdata2" ref="A6:E65">
    <sortCondition ref="A6"/>
  </sortState>
  <pageMargins left="0.7" right="0.7" top="0.75" bottom="0.75" header="0.3" footer="0.3"/>
  <pageSetup scale="88" orientation="portrait" r:id="rId1"/>
  <rowBreaks count="1" manualBreakCount="1">
    <brk id="4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1"/>
  <sheetViews>
    <sheetView zoomScaleNormal="100" workbookViewId="0">
      <selection activeCell="G4" sqref="G4:I7"/>
    </sheetView>
  </sheetViews>
  <sheetFormatPr defaultRowHeight="14.5" x14ac:dyDescent="0.35"/>
  <cols>
    <col min="1" max="1" width="33.81640625" bestFit="1" customWidth="1"/>
    <col min="2" max="2" width="13" bestFit="1" customWidth="1"/>
    <col min="3" max="4" width="9.26953125" bestFit="1" customWidth="1"/>
    <col min="8" max="8" width="9.26953125" bestFit="1" customWidth="1"/>
    <col min="10" max="10" width="9.26953125" bestFit="1" customWidth="1"/>
  </cols>
  <sheetData>
    <row r="1" spans="1:10" x14ac:dyDescent="0.35">
      <c r="A1" s="32" t="s">
        <v>56</v>
      </c>
      <c r="B1" s="32"/>
      <c r="C1" s="32"/>
      <c r="D1" s="32"/>
      <c r="E1" s="32"/>
      <c r="F1" s="32"/>
      <c r="G1" s="33" t="s">
        <v>57</v>
      </c>
      <c r="H1" s="34">
        <v>1</v>
      </c>
      <c r="I1" s="32"/>
    </row>
    <row r="2" spans="1:10" x14ac:dyDescent="0.35">
      <c r="A2" s="61" t="s">
        <v>58</v>
      </c>
      <c r="B2" s="62"/>
      <c r="C2" s="62"/>
      <c r="D2" s="62"/>
      <c r="E2" s="62"/>
      <c r="F2" s="62"/>
      <c r="G2" s="62"/>
      <c r="H2" s="62"/>
      <c r="I2" s="63"/>
    </row>
    <row r="3" spans="1:10" x14ac:dyDescent="0.35">
      <c r="A3" s="64" t="s">
        <v>59</v>
      </c>
      <c r="B3" s="64"/>
      <c r="C3" s="65" t="s">
        <v>60</v>
      </c>
      <c r="D3" s="66"/>
      <c r="E3" s="66"/>
      <c r="F3" s="35" t="s">
        <v>61</v>
      </c>
      <c r="G3" s="67">
        <v>45259</v>
      </c>
      <c r="H3" s="68"/>
      <c r="I3" s="68"/>
    </row>
    <row r="4" spans="1:10" x14ac:dyDescent="0.35">
      <c r="A4" s="64" t="s">
        <v>62</v>
      </c>
      <c r="B4" s="64"/>
      <c r="C4" s="69" t="s">
        <v>63</v>
      </c>
      <c r="D4" s="70"/>
      <c r="E4" s="70"/>
      <c r="F4" s="71" t="s">
        <v>64</v>
      </c>
      <c r="G4" s="73" t="s">
        <v>65</v>
      </c>
      <c r="H4" s="74"/>
      <c r="I4" s="75"/>
    </row>
    <row r="5" spans="1:10" x14ac:dyDescent="0.35">
      <c r="A5" s="64" t="s">
        <v>66</v>
      </c>
      <c r="B5" s="64"/>
      <c r="C5" s="69" t="s">
        <v>63</v>
      </c>
      <c r="D5" s="70"/>
      <c r="E5" s="70"/>
      <c r="F5" s="72"/>
      <c r="G5" s="76"/>
      <c r="H5" s="77"/>
      <c r="I5" s="78"/>
    </row>
    <row r="6" spans="1:10" x14ac:dyDescent="0.35">
      <c r="A6" s="79" t="s">
        <v>67</v>
      </c>
      <c r="B6" s="80"/>
      <c r="C6" s="69" t="s">
        <v>68</v>
      </c>
      <c r="D6" s="81"/>
      <c r="E6" s="82"/>
      <c r="F6" s="72"/>
      <c r="G6" s="76"/>
      <c r="H6" s="77"/>
      <c r="I6" s="78"/>
    </row>
    <row r="7" spans="1:10" x14ac:dyDescent="0.35">
      <c r="A7" s="71" t="s">
        <v>69</v>
      </c>
      <c r="B7" s="71"/>
      <c r="C7" s="83" t="s">
        <v>70</v>
      </c>
      <c r="D7" s="84"/>
      <c r="E7" s="85"/>
      <c r="F7" s="72"/>
      <c r="G7" s="76"/>
      <c r="H7" s="77"/>
      <c r="I7" s="78"/>
    </row>
    <row r="8" spans="1:10" x14ac:dyDescent="0.35">
      <c r="A8" s="86" t="s">
        <v>71</v>
      </c>
      <c r="B8" s="86"/>
      <c r="C8" s="86"/>
      <c r="D8" s="86"/>
      <c r="E8" s="86"/>
      <c r="F8" s="86"/>
      <c r="G8" s="86"/>
      <c r="H8" s="86"/>
      <c r="I8" s="86"/>
    </row>
    <row r="9" spans="1:10" x14ac:dyDescent="0.35">
      <c r="A9" s="36" t="s">
        <v>72</v>
      </c>
      <c r="B9" s="37">
        <v>45259</v>
      </c>
      <c r="C9" s="38" t="s">
        <v>73</v>
      </c>
      <c r="D9" s="90" t="s">
        <v>74</v>
      </c>
      <c r="E9" s="91"/>
      <c r="F9" s="92" t="s">
        <v>75</v>
      </c>
      <c r="G9" s="93"/>
      <c r="H9" s="94" t="s">
        <v>76</v>
      </c>
      <c r="I9" s="94"/>
    </row>
    <row r="10" spans="1:10" x14ac:dyDescent="0.35">
      <c r="A10" s="39" t="s">
        <v>77</v>
      </c>
      <c r="B10" s="40">
        <v>45260</v>
      </c>
      <c r="C10" s="41"/>
      <c r="D10" s="42" t="s">
        <v>78</v>
      </c>
      <c r="E10" s="43" t="s">
        <v>79</v>
      </c>
      <c r="F10" s="41" t="s">
        <v>80</v>
      </c>
      <c r="G10" s="41"/>
      <c r="H10" s="87" t="s">
        <v>79</v>
      </c>
      <c r="I10" s="87"/>
    </row>
    <row r="11" spans="1:10" ht="18" x14ac:dyDescent="0.4">
      <c r="A11" s="44"/>
      <c r="B11" s="45"/>
      <c r="C11" s="88" t="s">
        <v>81</v>
      </c>
      <c r="D11" s="88"/>
      <c r="E11" s="88"/>
      <c r="F11" s="89" t="s">
        <v>82</v>
      </c>
      <c r="G11" s="89"/>
      <c r="H11" s="89"/>
      <c r="I11" s="89"/>
    </row>
    <row r="12" spans="1:10" ht="24.5" thickBot="1" x14ac:dyDescent="0.4">
      <c r="A12" s="95" t="s">
        <v>0</v>
      </c>
      <c r="B12" s="95"/>
      <c r="C12" s="46" t="s">
        <v>83</v>
      </c>
      <c r="D12" s="96" t="s">
        <v>84</v>
      </c>
      <c r="E12" s="96"/>
      <c r="F12" s="97" t="s">
        <v>85</v>
      </c>
      <c r="G12" s="97"/>
      <c r="H12" s="97"/>
      <c r="I12" s="97"/>
      <c r="J12" t="s">
        <v>9</v>
      </c>
    </row>
    <row r="13" spans="1:10" x14ac:dyDescent="0.35">
      <c r="A13" s="98" t="str">
        <f>'[4]List of Sample IDs'!A1</f>
        <v>144-SS-2H-PB-01</v>
      </c>
      <c r="B13" s="99"/>
      <c r="C13" s="47">
        <v>0</v>
      </c>
      <c r="D13" s="48">
        <v>1</v>
      </c>
      <c r="E13" s="49"/>
      <c r="F13" s="104"/>
      <c r="G13" s="105"/>
      <c r="H13" s="105"/>
      <c r="I13" s="106"/>
      <c r="J13">
        <f>1/(D13+D14)</f>
        <v>0.10416666666666667</v>
      </c>
    </row>
    <row r="14" spans="1:10" x14ac:dyDescent="0.35">
      <c r="A14" s="100"/>
      <c r="B14" s="101"/>
      <c r="C14" s="50">
        <v>0</v>
      </c>
      <c r="D14" s="51">
        <v>8.6</v>
      </c>
      <c r="E14" s="52" t="s">
        <v>86</v>
      </c>
      <c r="F14" s="107"/>
      <c r="G14" s="108"/>
      <c r="H14" s="108"/>
      <c r="I14" s="109"/>
    </row>
    <row r="15" spans="1:10" ht="15" thickBot="1" x14ac:dyDescent="0.4">
      <c r="A15" s="102"/>
      <c r="B15" s="103"/>
      <c r="C15" s="53"/>
      <c r="D15" s="54"/>
      <c r="E15" s="55"/>
      <c r="F15" s="110"/>
      <c r="G15" s="111"/>
      <c r="H15" s="111"/>
      <c r="I15" s="112"/>
    </row>
    <row r="16" spans="1:10" x14ac:dyDescent="0.35">
      <c r="A16" s="98" t="str">
        <f>'[4]List of Sample IDs'!A2</f>
        <v>144-SS-4H-PB-01</v>
      </c>
      <c r="B16" s="99"/>
      <c r="C16" s="47">
        <v>0</v>
      </c>
      <c r="D16" s="48">
        <v>1</v>
      </c>
      <c r="E16" s="49"/>
      <c r="F16" s="104"/>
      <c r="G16" s="105"/>
      <c r="H16" s="105"/>
      <c r="I16" s="106"/>
      <c r="J16">
        <f t="shared" ref="J16" si="0">1/(D16+D17)</f>
        <v>0.10309278350515465</v>
      </c>
    </row>
    <row r="17" spans="1:10" x14ac:dyDescent="0.35">
      <c r="A17" s="100"/>
      <c r="B17" s="101"/>
      <c r="C17" s="50">
        <v>0</v>
      </c>
      <c r="D17" s="51">
        <v>8.6999999999999993</v>
      </c>
      <c r="E17" s="52" t="s">
        <v>86</v>
      </c>
      <c r="F17" s="107"/>
      <c r="G17" s="108"/>
      <c r="H17" s="108"/>
      <c r="I17" s="109"/>
    </row>
    <row r="18" spans="1:10" ht="15" thickBot="1" x14ac:dyDescent="0.4">
      <c r="A18" s="102"/>
      <c r="B18" s="103"/>
      <c r="C18" s="53"/>
      <c r="D18" s="54"/>
      <c r="E18" s="55"/>
      <c r="F18" s="110"/>
      <c r="G18" s="111"/>
      <c r="H18" s="111"/>
      <c r="I18" s="112"/>
    </row>
    <row r="19" spans="1:10" x14ac:dyDescent="0.35">
      <c r="A19" s="98" t="str">
        <f>'[4]List of Sample IDs'!A3</f>
        <v>144-SS-N-01</v>
      </c>
      <c r="B19" s="99"/>
      <c r="C19" s="47">
        <v>0</v>
      </c>
      <c r="D19" s="48">
        <v>1</v>
      </c>
      <c r="E19" s="49"/>
      <c r="F19" s="104"/>
      <c r="G19" s="105"/>
      <c r="H19" s="105"/>
      <c r="I19" s="106"/>
      <c r="J19">
        <f t="shared" ref="J19" si="1">1/(D19+D20)</f>
        <v>0.10989010989010989</v>
      </c>
    </row>
    <row r="20" spans="1:10" x14ac:dyDescent="0.35">
      <c r="A20" s="100"/>
      <c r="B20" s="101"/>
      <c r="C20" s="50">
        <v>0</v>
      </c>
      <c r="D20" s="51">
        <v>8.1</v>
      </c>
      <c r="E20" s="56" t="s">
        <v>86</v>
      </c>
      <c r="F20" s="107"/>
      <c r="G20" s="108"/>
      <c r="H20" s="108"/>
      <c r="I20" s="109"/>
    </row>
    <row r="21" spans="1:10" ht="15" thickBot="1" x14ac:dyDescent="0.4">
      <c r="A21" s="102"/>
      <c r="B21" s="103"/>
      <c r="C21" s="53"/>
      <c r="D21" s="54"/>
      <c r="E21" s="57"/>
      <c r="F21" s="110"/>
      <c r="G21" s="111"/>
      <c r="H21" s="111"/>
      <c r="I21" s="112"/>
    </row>
    <row r="22" spans="1:10" x14ac:dyDescent="0.35">
      <c r="A22" s="98" t="str">
        <f>'[4]List of Sample IDs'!A4</f>
        <v>Sterile DI Water</v>
      </c>
      <c r="B22" s="99"/>
      <c r="C22" s="47">
        <v>0</v>
      </c>
      <c r="D22" s="48">
        <v>10</v>
      </c>
      <c r="E22" s="49"/>
      <c r="F22" s="104"/>
      <c r="G22" s="105"/>
      <c r="H22" s="105"/>
      <c r="I22" s="106"/>
    </row>
    <row r="23" spans="1:10" x14ac:dyDescent="0.35">
      <c r="A23" s="100"/>
      <c r="B23" s="101"/>
      <c r="C23" s="50"/>
      <c r="D23" s="51"/>
      <c r="E23" s="52"/>
      <c r="F23" s="107"/>
      <c r="G23" s="108"/>
      <c r="H23" s="108"/>
      <c r="I23" s="109"/>
    </row>
    <row r="24" spans="1:10" ht="15" thickBot="1" x14ac:dyDescent="0.4">
      <c r="A24" s="102"/>
      <c r="B24" s="103"/>
      <c r="C24" s="53"/>
      <c r="D24" s="54"/>
      <c r="E24" s="55"/>
      <c r="F24" s="110"/>
      <c r="G24" s="111"/>
      <c r="H24" s="111"/>
      <c r="I24" s="112"/>
    </row>
    <row r="25" spans="1:10" x14ac:dyDescent="0.35">
      <c r="A25" s="98" t="str">
        <f>'[4]List of Sample IDs'!A5</f>
        <v>TSA only</v>
      </c>
      <c r="B25" s="99"/>
      <c r="C25" s="47">
        <v>0</v>
      </c>
      <c r="D25" s="48"/>
      <c r="E25" s="49"/>
      <c r="F25" s="104"/>
      <c r="G25" s="105"/>
      <c r="H25" s="105"/>
      <c r="I25" s="106"/>
    </row>
    <row r="26" spans="1:10" x14ac:dyDescent="0.35">
      <c r="A26" s="100"/>
      <c r="B26" s="101"/>
      <c r="C26" s="50">
        <v>0</v>
      </c>
      <c r="D26" s="51"/>
      <c r="E26" s="52"/>
      <c r="F26" s="107"/>
      <c r="G26" s="108"/>
      <c r="H26" s="108"/>
      <c r="I26" s="109"/>
    </row>
    <row r="27" spans="1:10" ht="15" thickBot="1" x14ac:dyDescent="0.4">
      <c r="A27" s="102"/>
      <c r="B27" s="103"/>
      <c r="C27" s="53">
        <v>0</v>
      </c>
      <c r="D27" s="54"/>
      <c r="E27" s="55"/>
      <c r="F27" s="110"/>
      <c r="G27" s="111"/>
      <c r="H27" s="111"/>
      <c r="I27" s="112"/>
    </row>
    <row r="28" spans="1:10" x14ac:dyDescent="0.35">
      <c r="A28" s="98"/>
      <c r="B28" s="99"/>
      <c r="C28" s="47"/>
      <c r="D28" s="48"/>
      <c r="E28" s="49"/>
      <c r="F28" s="104"/>
      <c r="G28" s="105"/>
      <c r="H28" s="105"/>
      <c r="I28" s="106"/>
    </row>
    <row r="29" spans="1:10" x14ac:dyDescent="0.35">
      <c r="A29" s="100"/>
      <c r="B29" s="101"/>
      <c r="C29" s="50"/>
      <c r="D29" s="51"/>
      <c r="E29" s="52"/>
      <c r="F29" s="107"/>
      <c r="G29" s="108"/>
      <c r="H29" s="108"/>
      <c r="I29" s="109"/>
    </row>
    <row r="30" spans="1:10" ht="15" thickBot="1" x14ac:dyDescent="0.4">
      <c r="A30" s="102"/>
      <c r="B30" s="103"/>
      <c r="C30" s="53"/>
      <c r="D30" s="54"/>
      <c r="E30" s="55"/>
      <c r="F30" s="110"/>
      <c r="G30" s="111"/>
      <c r="H30" s="111"/>
      <c r="I30" s="112"/>
    </row>
    <row r="31" spans="1:10" x14ac:dyDescent="0.35">
      <c r="A31" s="98"/>
      <c r="B31" s="99"/>
      <c r="C31" s="47"/>
      <c r="D31" s="48"/>
      <c r="E31" s="49"/>
      <c r="F31" s="104"/>
      <c r="G31" s="105"/>
      <c r="H31" s="105"/>
      <c r="I31" s="106"/>
    </row>
    <row r="32" spans="1:10" x14ac:dyDescent="0.35">
      <c r="A32" s="100"/>
      <c r="B32" s="101"/>
      <c r="C32" s="50"/>
      <c r="D32" s="51"/>
      <c r="E32" s="52"/>
      <c r="F32" s="107"/>
      <c r="G32" s="108"/>
      <c r="H32" s="108"/>
      <c r="I32" s="109"/>
    </row>
    <row r="33" spans="1:9" ht="15" thickBot="1" x14ac:dyDescent="0.4">
      <c r="A33" s="102"/>
      <c r="B33" s="103"/>
      <c r="C33" s="53"/>
      <c r="D33" s="54"/>
      <c r="E33" s="55"/>
      <c r="F33" s="110"/>
      <c r="G33" s="111"/>
      <c r="H33" s="111"/>
      <c r="I33" s="112"/>
    </row>
    <row r="34" spans="1:9" x14ac:dyDescent="0.35">
      <c r="A34" s="98"/>
      <c r="B34" s="99"/>
      <c r="C34" s="47"/>
      <c r="D34" s="48"/>
      <c r="E34" s="49"/>
      <c r="F34" s="104"/>
      <c r="G34" s="105"/>
      <c r="H34" s="105"/>
      <c r="I34" s="106"/>
    </row>
    <row r="35" spans="1:9" x14ac:dyDescent="0.35">
      <c r="A35" s="100"/>
      <c r="B35" s="101"/>
      <c r="C35" s="50"/>
      <c r="D35" s="51"/>
      <c r="E35" s="52"/>
      <c r="F35" s="107"/>
      <c r="G35" s="108"/>
      <c r="H35" s="108"/>
      <c r="I35" s="109"/>
    </row>
    <row r="36" spans="1:9" ht="15" thickBot="1" x14ac:dyDescent="0.4">
      <c r="A36" s="102"/>
      <c r="B36" s="103"/>
      <c r="C36" s="53"/>
      <c r="D36" s="54"/>
      <c r="E36" s="55"/>
      <c r="F36" s="110"/>
      <c r="G36" s="111"/>
      <c r="H36" s="111"/>
      <c r="I36" s="112"/>
    </row>
    <row r="37" spans="1:9" x14ac:dyDescent="0.35">
      <c r="A37" s="98"/>
      <c r="B37" s="99"/>
      <c r="C37" s="47"/>
      <c r="D37" s="48"/>
      <c r="E37" s="49"/>
      <c r="F37" s="104"/>
      <c r="G37" s="105"/>
      <c r="H37" s="105"/>
      <c r="I37" s="106"/>
    </row>
    <row r="38" spans="1:9" x14ac:dyDescent="0.35">
      <c r="A38" s="100"/>
      <c r="B38" s="101"/>
      <c r="C38" s="50"/>
      <c r="D38" s="51"/>
      <c r="E38" s="52"/>
      <c r="F38" s="107"/>
      <c r="G38" s="108"/>
      <c r="H38" s="108"/>
      <c r="I38" s="109"/>
    </row>
    <row r="39" spans="1:9" ht="15" thickBot="1" x14ac:dyDescent="0.4">
      <c r="A39" s="102"/>
      <c r="B39" s="103"/>
      <c r="C39" s="53"/>
      <c r="D39" s="54"/>
      <c r="E39" s="55"/>
      <c r="F39" s="110"/>
      <c r="G39" s="111"/>
      <c r="H39" s="111"/>
      <c r="I39" s="112"/>
    </row>
    <row r="40" spans="1:9" x14ac:dyDescent="0.35">
      <c r="A40" s="98"/>
      <c r="B40" s="99"/>
      <c r="C40" s="47"/>
      <c r="D40" s="48"/>
      <c r="E40" s="49"/>
      <c r="F40" s="104"/>
      <c r="G40" s="105"/>
      <c r="H40" s="105"/>
      <c r="I40" s="106"/>
    </row>
    <row r="41" spans="1:9" x14ac:dyDescent="0.35">
      <c r="A41" s="100"/>
      <c r="B41" s="101"/>
      <c r="C41" s="50"/>
      <c r="D41" s="51"/>
      <c r="E41" s="52"/>
      <c r="F41" s="107"/>
      <c r="G41" s="108"/>
      <c r="H41" s="108"/>
      <c r="I41" s="109"/>
    </row>
    <row r="42" spans="1:9" ht="15" thickBot="1" x14ac:dyDescent="0.4">
      <c r="A42" s="102"/>
      <c r="B42" s="103"/>
      <c r="C42" s="53"/>
      <c r="D42" s="54"/>
      <c r="E42" s="55"/>
      <c r="F42" s="110"/>
      <c r="G42" s="111"/>
      <c r="H42" s="111"/>
      <c r="I42" s="112"/>
    </row>
    <row r="43" spans="1:9" x14ac:dyDescent="0.35">
      <c r="A43" s="98"/>
      <c r="B43" s="99"/>
      <c r="C43" s="47"/>
      <c r="D43" s="48"/>
      <c r="E43" s="49"/>
      <c r="F43" s="104"/>
      <c r="G43" s="105"/>
      <c r="H43" s="105"/>
      <c r="I43" s="106"/>
    </row>
    <row r="44" spans="1:9" x14ac:dyDescent="0.35">
      <c r="A44" s="100"/>
      <c r="B44" s="101"/>
      <c r="C44" s="50"/>
      <c r="D44" s="51"/>
      <c r="E44" s="52"/>
      <c r="F44" s="107"/>
      <c r="G44" s="108"/>
      <c r="H44" s="108"/>
      <c r="I44" s="109"/>
    </row>
    <row r="45" spans="1:9" ht="15" thickBot="1" x14ac:dyDescent="0.4">
      <c r="A45" s="102"/>
      <c r="B45" s="103"/>
      <c r="C45" s="53"/>
      <c r="D45" s="54"/>
      <c r="E45" s="55"/>
      <c r="F45" s="110"/>
      <c r="G45" s="111"/>
      <c r="H45" s="111"/>
      <c r="I45" s="112"/>
    </row>
    <row r="46" spans="1:9" x14ac:dyDescent="0.35">
      <c r="A46" s="98"/>
      <c r="B46" s="99"/>
      <c r="C46" s="47"/>
      <c r="D46" s="48"/>
      <c r="E46" s="49"/>
      <c r="F46" s="104"/>
      <c r="G46" s="105"/>
      <c r="H46" s="105"/>
      <c r="I46" s="106"/>
    </row>
    <row r="47" spans="1:9" x14ac:dyDescent="0.35">
      <c r="A47" s="100"/>
      <c r="B47" s="101"/>
      <c r="C47" s="50"/>
      <c r="D47" s="51"/>
      <c r="E47" s="52"/>
      <c r="F47" s="107"/>
      <c r="G47" s="108"/>
      <c r="H47" s="108"/>
      <c r="I47" s="109"/>
    </row>
    <row r="48" spans="1:9" ht="15" thickBot="1" x14ac:dyDescent="0.4">
      <c r="A48" s="102"/>
      <c r="B48" s="103"/>
      <c r="C48" s="53"/>
      <c r="D48" s="54"/>
      <c r="E48" s="55"/>
      <c r="F48" s="110"/>
      <c r="G48" s="111"/>
      <c r="H48" s="111"/>
      <c r="I48" s="112"/>
    </row>
    <row r="49" spans="1:9" x14ac:dyDescent="0.35">
      <c r="A49" s="113" t="s">
        <v>87</v>
      </c>
      <c r="B49" s="114"/>
      <c r="C49" s="114"/>
      <c r="D49" s="114"/>
      <c r="E49" s="114"/>
      <c r="F49" s="114"/>
      <c r="G49" s="114"/>
      <c r="H49" s="114"/>
      <c r="I49" s="114"/>
    </row>
    <row r="50" spans="1:9" x14ac:dyDescent="0.35">
      <c r="A50" s="115"/>
      <c r="B50" s="115"/>
      <c r="C50" s="115"/>
      <c r="D50" s="115"/>
      <c r="E50" s="115"/>
      <c r="F50" s="115"/>
      <c r="G50" s="115"/>
      <c r="H50" s="115"/>
      <c r="I50" s="115"/>
    </row>
    <row r="51" spans="1:9" x14ac:dyDescent="0.35">
      <c r="A51" s="116"/>
      <c r="B51" s="116"/>
      <c r="C51" s="116"/>
      <c r="D51" s="116"/>
      <c r="E51" s="116"/>
      <c r="F51" s="116"/>
      <c r="G51" s="116"/>
      <c r="H51" s="116"/>
      <c r="I51" s="116"/>
    </row>
  </sheetData>
  <mergeCells count="49">
    <mergeCell ref="A34:B36"/>
    <mergeCell ref="F34:I36"/>
    <mergeCell ref="A37:B39"/>
    <mergeCell ref="F37:I39"/>
    <mergeCell ref="A49:I51"/>
    <mergeCell ref="A40:B42"/>
    <mergeCell ref="F40:I42"/>
    <mergeCell ref="A43:B45"/>
    <mergeCell ref="F43:I45"/>
    <mergeCell ref="A46:B48"/>
    <mergeCell ref="F46:I48"/>
    <mergeCell ref="A25:B27"/>
    <mergeCell ref="F25:I27"/>
    <mergeCell ref="A28:B30"/>
    <mergeCell ref="F28:I30"/>
    <mergeCell ref="A31:B33"/>
    <mergeCell ref="F31:I33"/>
    <mergeCell ref="A16:B18"/>
    <mergeCell ref="F16:I18"/>
    <mergeCell ref="A19:B21"/>
    <mergeCell ref="F19:I21"/>
    <mergeCell ref="A22:B24"/>
    <mergeCell ref="F22:I24"/>
    <mergeCell ref="A12:B12"/>
    <mergeCell ref="D12:E12"/>
    <mergeCell ref="F12:I12"/>
    <mergeCell ref="A13:B15"/>
    <mergeCell ref="F13:I15"/>
    <mergeCell ref="A8:I8"/>
    <mergeCell ref="H10:I10"/>
    <mergeCell ref="C11:E11"/>
    <mergeCell ref="F11:I11"/>
    <mergeCell ref="D9:E9"/>
    <mergeCell ref="F9:G9"/>
    <mergeCell ref="H9:I9"/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  <mergeCell ref="C7:E7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Pivot</vt:lpstr>
      <vt:lpstr>Summary</vt:lpstr>
      <vt:lpstr>Qcount</vt:lpstr>
      <vt:lpstr>Filters</vt:lpstr>
      <vt:lpstr>Spread</vt:lpstr>
      <vt:lpstr>HD</vt:lpstr>
      <vt:lpstr>Pivot!Print_Area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Wood, Joe</cp:lastModifiedBy>
  <cp:lastPrinted>2023-11-30T16:30:15Z</cp:lastPrinted>
  <dcterms:created xsi:type="dcterms:W3CDTF">2023-05-03T13:30:29Z</dcterms:created>
  <dcterms:modified xsi:type="dcterms:W3CDTF">2023-12-14T20:24:59Z</dcterms:modified>
</cp:coreProperties>
</file>