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vesper_stephen_epa_gov/Documents/svesper/Excel/"/>
    </mc:Choice>
  </mc:AlternateContent>
  <xr:revisionPtr revIDLastSave="2575" documentId="8_{36FEF4AA-8984-44B1-8BF6-473092F204D4}" xr6:coauthVersionLast="47" xr6:coauthVersionMax="47" xr10:uidLastSave="{ACF1A2DF-0F22-443F-AA01-46BC84C84CC4}"/>
  <bookViews>
    <workbookView xWindow="-110" yWindow="-110" windowWidth="19420" windowHeight="10300" firstSheet="4" activeTab="4" xr2:uid="{8E74D5E1-FFD4-4B1F-811A-E8FEBA59EEC5}"/>
  </bookViews>
  <sheets>
    <sheet name="Glucose" sheetId="1" r:id="rId1"/>
    <sheet name="Sonde end 7-22-24" sheetId="3" r:id="rId2"/>
    <sheet name="Sonde Table" sheetId="8" r:id="rId3"/>
    <sheet name="Flow Cam Data" sheetId="14" r:id="rId4"/>
    <sheet name="Flow Cam Table" sheetId="15" r:id="rId5"/>
    <sheet name="Microcystin " sheetId="18" r:id="rId6"/>
    <sheet name="Nutrient raw data" sheetId="11" r:id="rId7"/>
    <sheet name="Assembled nutrient data" sheetId="12" r:id="rId8"/>
    <sheet name="Nutrient Table" sheetId="1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8" i="18" l="1"/>
  <c r="AF18" i="18"/>
  <c r="L23" i="14"/>
  <c r="L10" i="14"/>
  <c r="O61" i="13"/>
  <c r="O55" i="13"/>
  <c r="O43" i="13"/>
  <c r="O37" i="13"/>
  <c r="O31" i="13"/>
  <c r="O25" i="13"/>
  <c r="O19" i="13"/>
  <c r="O12" i="13"/>
  <c r="O6" i="13"/>
  <c r="AV220" i="11"/>
  <c r="AU220" i="11"/>
  <c r="AP220" i="11" s="1"/>
  <c r="AK220" i="11"/>
  <c r="AI220" i="11"/>
  <c r="S220" i="11"/>
  <c r="AT220" i="11" s="1"/>
  <c r="AO220" i="11" s="1"/>
  <c r="AV219" i="11"/>
  <c r="AU219" i="11"/>
  <c r="AP219" i="11" s="1"/>
  <c r="AK219" i="11"/>
  <c r="S219" i="11" s="1"/>
  <c r="AI219" i="11"/>
  <c r="AH219" i="11"/>
  <c r="AG219" i="11"/>
  <c r="AV218" i="11"/>
  <c r="AU218" i="11"/>
  <c r="AP218" i="11" s="1"/>
  <c r="AS218" i="11"/>
  <c r="AN218" i="11" s="1"/>
  <c r="AK218" i="11"/>
  <c r="S218" i="11" s="1"/>
  <c r="AI218" i="11"/>
  <c r="AH218" i="11"/>
  <c r="AG218" i="11"/>
  <c r="AV217" i="11"/>
  <c r="AU217" i="11"/>
  <c r="AP217" i="11" s="1"/>
  <c r="AK217" i="11"/>
  <c r="S217" i="11" s="1"/>
  <c r="AI217" i="11"/>
  <c r="AV216" i="11"/>
  <c r="AU216" i="11"/>
  <c r="AP216" i="11" s="1"/>
  <c r="AT216" i="11"/>
  <c r="AO216" i="11" s="1"/>
  <c r="AQ216" i="11"/>
  <c r="AL216" i="11" s="1"/>
  <c r="AK216" i="11"/>
  <c r="S216" i="11"/>
  <c r="AR216" i="11" s="1"/>
  <c r="AM216" i="11" s="1"/>
  <c r="AV215" i="11"/>
  <c r="AU215" i="11"/>
  <c r="AP215" i="11" s="1"/>
  <c r="AK215" i="11"/>
  <c r="AI215" i="11"/>
  <c r="AH215" i="11"/>
  <c r="AG215" i="11"/>
  <c r="S215" i="11" s="1"/>
  <c r="AV214" i="11"/>
  <c r="AU214" i="11"/>
  <c r="AP214" i="11" s="1"/>
  <c r="AK214" i="11"/>
  <c r="AI214" i="11"/>
  <c r="AH214" i="11"/>
  <c r="AG214" i="11"/>
  <c r="S214" i="11" s="1"/>
  <c r="AV213" i="11"/>
  <c r="AU213" i="11"/>
  <c r="AP213" i="11" s="1"/>
  <c r="AK213" i="11"/>
  <c r="AI213" i="11"/>
  <c r="AH213" i="11"/>
  <c r="AG213" i="11"/>
  <c r="S213" i="11" s="1"/>
  <c r="AV212" i="11"/>
  <c r="AU212" i="11"/>
  <c r="AP212" i="11" s="1"/>
  <c r="AK212" i="11"/>
  <c r="AI212" i="11"/>
  <c r="AH212" i="11"/>
  <c r="AG212" i="11"/>
  <c r="S212" i="11" s="1"/>
  <c r="AV211" i="11"/>
  <c r="AU211" i="11"/>
  <c r="AP211" i="11" s="1"/>
  <c r="AK211" i="11"/>
  <c r="AI211" i="11"/>
  <c r="AH211" i="11"/>
  <c r="AG211" i="11"/>
  <c r="S211" i="11" s="1"/>
  <c r="AV210" i="11"/>
  <c r="AU210" i="11"/>
  <c r="AP210" i="11" s="1"/>
  <c r="AK210" i="11"/>
  <c r="AI210" i="11"/>
  <c r="AH210" i="11"/>
  <c r="AG210" i="11"/>
  <c r="S210" i="11" s="1"/>
  <c r="AV209" i="11"/>
  <c r="AU209" i="11"/>
  <c r="AP209" i="11" s="1"/>
  <c r="AK209" i="11"/>
  <c r="AI209" i="11"/>
  <c r="AH209" i="11"/>
  <c r="AG209" i="11"/>
  <c r="S209" i="11" s="1"/>
  <c r="AV208" i="11"/>
  <c r="AU208" i="11"/>
  <c r="AP208" i="11" s="1"/>
  <c r="AK208" i="11"/>
  <c r="AI208" i="11"/>
  <c r="AH208" i="11"/>
  <c r="AG208" i="11"/>
  <c r="S208" i="11" s="1"/>
  <c r="AV207" i="11"/>
  <c r="AU207" i="11"/>
  <c r="AP207" i="11" s="1"/>
  <c r="AK207" i="11"/>
  <c r="AI207" i="11"/>
  <c r="AH207" i="11"/>
  <c r="AG207" i="11"/>
  <c r="S207" i="11" s="1"/>
  <c r="AV206" i="11"/>
  <c r="AU206" i="11"/>
  <c r="AP206" i="11"/>
  <c r="AK206" i="11"/>
  <c r="AI206" i="11"/>
  <c r="S206" i="11"/>
  <c r="AT206" i="11" s="1"/>
  <c r="AO206" i="11" s="1"/>
  <c r="AV205" i="11"/>
  <c r="AU205" i="11"/>
  <c r="AP205" i="11" s="1"/>
  <c r="AK205" i="11"/>
  <c r="S205" i="11" s="1"/>
  <c r="AI205" i="11"/>
  <c r="AV204" i="11"/>
  <c r="AU204" i="11"/>
  <c r="AP204" i="11" s="1"/>
  <c r="AR204" i="11"/>
  <c r="AM204" i="11" s="1"/>
  <c r="AK204" i="11"/>
  <c r="S204" i="11"/>
  <c r="AV203" i="11"/>
  <c r="AU203" i="11"/>
  <c r="AP203" i="11" s="1"/>
  <c r="AK203" i="11"/>
  <c r="AI203" i="11"/>
  <c r="AH203" i="11"/>
  <c r="S203" i="11" s="1"/>
  <c r="AV202" i="11"/>
  <c r="AU202" i="11"/>
  <c r="AP202" i="11" s="1"/>
  <c r="AT202" i="11"/>
  <c r="AO202" i="11" s="1"/>
  <c r="AK202" i="11"/>
  <c r="AI202" i="11"/>
  <c r="AH202" i="11"/>
  <c r="S202" i="11"/>
  <c r="AS202" i="11" s="1"/>
  <c r="AN202" i="11" s="1"/>
  <c r="AV201" i="11"/>
  <c r="AU201" i="11"/>
  <c r="AP201" i="11" s="1"/>
  <c r="AK201" i="11"/>
  <c r="S201" i="11" s="1"/>
  <c r="AI201" i="11"/>
  <c r="AH201" i="11"/>
  <c r="AV200" i="11"/>
  <c r="AU200" i="11"/>
  <c r="AP200" i="11" s="1"/>
  <c r="AK200" i="11"/>
  <c r="S200" i="11"/>
  <c r="AV199" i="11"/>
  <c r="AU199" i="11"/>
  <c r="AP199" i="11"/>
  <c r="AK199" i="11"/>
  <c r="S199" i="11" s="1"/>
  <c r="AV198" i="11"/>
  <c r="AU198" i="11"/>
  <c r="AP198" i="11" s="1"/>
  <c r="AT198" i="11"/>
  <c r="AO198" i="11" s="1"/>
  <c r="AK198" i="11"/>
  <c r="AI198" i="11"/>
  <c r="S198" i="11"/>
  <c r="AS198" i="11" s="1"/>
  <c r="AN198" i="11" s="1"/>
  <c r="AV197" i="11"/>
  <c r="AU197" i="11"/>
  <c r="AP197" i="11" s="1"/>
  <c r="AK197" i="11"/>
  <c r="S197" i="11"/>
  <c r="AV196" i="11"/>
  <c r="AU196" i="11"/>
  <c r="AP196" i="11" s="1"/>
  <c r="AK196" i="11"/>
  <c r="AI196" i="11"/>
  <c r="S196" i="11"/>
  <c r="AV195" i="11"/>
  <c r="AU195" i="11"/>
  <c r="AP195" i="11" s="1"/>
  <c r="AK195" i="11"/>
  <c r="AI195" i="11"/>
  <c r="S195" i="11"/>
  <c r="AT195" i="11" s="1"/>
  <c r="AO195" i="11" s="1"/>
  <c r="AV194" i="11"/>
  <c r="AU194" i="11"/>
  <c r="AP194" i="11" s="1"/>
  <c r="AS194" i="11"/>
  <c r="AN194" i="11" s="1"/>
  <c r="AK194" i="11"/>
  <c r="AI194" i="11"/>
  <c r="S194" i="11" s="1"/>
  <c r="AV193" i="11"/>
  <c r="AU193" i="11"/>
  <c r="AP193" i="11" s="1"/>
  <c r="AK193" i="11"/>
  <c r="AI193" i="11"/>
  <c r="AH193" i="11"/>
  <c r="AG193" i="11"/>
  <c r="AV192" i="11"/>
  <c r="AU192" i="11"/>
  <c r="AP192" i="11" s="1"/>
  <c r="AK192" i="11"/>
  <c r="AI192" i="11"/>
  <c r="AH192" i="11"/>
  <c r="AV191" i="11"/>
  <c r="AU191" i="11"/>
  <c r="AP191" i="11" s="1"/>
  <c r="AK191" i="11"/>
  <c r="S191" i="11"/>
  <c r="AV190" i="11"/>
  <c r="AU190" i="11"/>
  <c r="AP190" i="11" s="1"/>
  <c r="AK190" i="11"/>
  <c r="AI190" i="11"/>
  <c r="AH190" i="11"/>
  <c r="AG190" i="11"/>
  <c r="S190" i="11"/>
  <c r="AV189" i="11"/>
  <c r="AU189" i="11"/>
  <c r="AP189" i="11" s="1"/>
  <c r="AK189" i="11"/>
  <c r="AI189" i="11"/>
  <c r="AH189" i="11"/>
  <c r="S189" i="11" s="1"/>
  <c r="AV188" i="11"/>
  <c r="AU188" i="11"/>
  <c r="AP188" i="11" s="1"/>
  <c r="AT188" i="11"/>
  <c r="AO188" i="11" s="1"/>
  <c r="AQ188" i="11"/>
  <c r="AL188" i="11" s="1"/>
  <c r="AK188" i="11"/>
  <c r="S188" i="11"/>
  <c r="AS188" i="11" s="1"/>
  <c r="AN188" i="11" s="1"/>
  <c r="AV187" i="11"/>
  <c r="AU187" i="11"/>
  <c r="AP187" i="11" s="1"/>
  <c r="AK187" i="11"/>
  <c r="AI187" i="11"/>
  <c r="AH187" i="11"/>
  <c r="S187" i="11" s="1"/>
  <c r="AV186" i="11"/>
  <c r="AU186" i="11"/>
  <c r="AP186" i="11" s="1"/>
  <c r="AK186" i="11"/>
  <c r="AI186" i="11"/>
  <c r="S186" i="11" s="1"/>
  <c r="AH186" i="11"/>
  <c r="AV185" i="11"/>
  <c r="AU185" i="11"/>
  <c r="AP185" i="11" s="1"/>
  <c r="AK185" i="11"/>
  <c r="AI185" i="11"/>
  <c r="S185" i="11"/>
  <c r="AV184" i="11"/>
  <c r="AU184" i="11"/>
  <c r="AP184" i="11" s="1"/>
  <c r="AQ184" i="11"/>
  <c r="AL184" i="11" s="1"/>
  <c r="AK184" i="11"/>
  <c r="S184" i="11"/>
  <c r="AT184" i="11" s="1"/>
  <c r="AO184" i="11" s="1"/>
  <c r="AV183" i="11"/>
  <c r="AU183" i="11"/>
  <c r="AP183" i="11" s="1"/>
  <c r="AK183" i="11"/>
  <c r="AI183" i="11"/>
  <c r="S183" i="11" s="1"/>
  <c r="AH183" i="11"/>
  <c r="AG183" i="11"/>
  <c r="AV182" i="11"/>
  <c r="AU182" i="11"/>
  <c r="AP182" i="11" s="1"/>
  <c r="AT182" i="11"/>
  <c r="AO182" i="11" s="1"/>
  <c r="AS182" i="11"/>
  <c r="AN182" i="11" s="1"/>
  <c r="AR182" i="11"/>
  <c r="AM182" i="11" s="1"/>
  <c r="AK182" i="11"/>
  <c r="AI182" i="11"/>
  <c r="AH182" i="11"/>
  <c r="AG182" i="11"/>
  <c r="S182" i="11"/>
  <c r="AQ182" i="11" s="1"/>
  <c r="AL182" i="11" s="1"/>
  <c r="AV181" i="11"/>
  <c r="AU181" i="11"/>
  <c r="AP181" i="11" s="1"/>
  <c r="AT181" i="11"/>
  <c r="AO181" i="11" s="1"/>
  <c r="AS181" i="11"/>
  <c r="AN181" i="11" s="1"/>
  <c r="AR181" i="11"/>
  <c r="AM181" i="11" s="1"/>
  <c r="AK181" i="11"/>
  <c r="AI181" i="11"/>
  <c r="S181" i="11"/>
  <c r="AQ181" i="11" s="1"/>
  <c r="AL181" i="11" s="1"/>
  <c r="AV180" i="11"/>
  <c r="AU180" i="11"/>
  <c r="AP180" i="11" s="1"/>
  <c r="AK180" i="11"/>
  <c r="AI180" i="11"/>
  <c r="AH180" i="11"/>
  <c r="S180" i="11"/>
  <c r="AV179" i="11"/>
  <c r="AU179" i="11"/>
  <c r="AP179" i="11" s="1"/>
  <c r="AK179" i="11"/>
  <c r="AI179" i="11"/>
  <c r="AH179" i="11"/>
  <c r="AG179" i="11"/>
  <c r="S179" i="11"/>
  <c r="AQ179" i="11" s="1"/>
  <c r="AL179" i="11" s="1"/>
  <c r="AV178" i="11"/>
  <c r="AU178" i="11"/>
  <c r="AP178" i="11" s="1"/>
  <c r="AK178" i="11"/>
  <c r="AI178" i="11"/>
  <c r="AH178" i="11"/>
  <c r="AG178" i="11"/>
  <c r="S178" i="11"/>
  <c r="AS178" i="11" s="1"/>
  <c r="AN178" i="11" s="1"/>
  <c r="AV177" i="11"/>
  <c r="AU177" i="11"/>
  <c r="AP177" i="11" s="1"/>
  <c r="AK177" i="11"/>
  <c r="AI177" i="11"/>
  <c r="AH177" i="11"/>
  <c r="AG177" i="11"/>
  <c r="S177" i="11"/>
  <c r="AQ177" i="11" s="1"/>
  <c r="AL177" i="11" s="1"/>
  <c r="AV176" i="11"/>
  <c r="AU176" i="11"/>
  <c r="AP176" i="11" s="1"/>
  <c r="AQ176" i="11"/>
  <c r="AL176" i="11" s="1"/>
  <c r="AK176" i="11"/>
  <c r="AI176" i="11"/>
  <c r="AH176" i="11"/>
  <c r="AG176" i="11"/>
  <c r="S176" i="11"/>
  <c r="AV175" i="11"/>
  <c r="AU175" i="11"/>
  <c r="AP175" i="11" s="1"/>
  <c r="AQ175" i="11"/>
  <c r="AL175" i="11" s="1"/>
  <c r="AK175" i="11"/>
  <c r="AI175" i="11"/>
  <c r="AH175" i="11"/>
  <c r="AG175" i="11"/>
  <c r="S175" i="11"/>
  <c r="AV174" i="11"/>
  <c r="AU174" i="11"/>
  <c r="AQ174" i="11"/>
  <c r="AL174" i="11" s="1"/>
  <c r="AP174" i="11"/>
  <c r="AK174" i="11"/>
  <c r="AI174" i="11"/>
  <c r="AH174" i="11"/>
  <c r="AG174" i="11"/>
  <c r="S174" i="11"/>
  <c r="AV173" i="11"/>
  <c r="AU173" i="11"/>
  <c r="AP173" i="11" s="1"/>
  <c r="AT173" i="11"/>
  <c r="AO173" i="11" s="1"/>
  <c r="AS173" i="11"/>
  <c r="AN173" i="11" s="1"/>
  <c r="AQ173" i="11"/>
  <c r="AL173" i="11" s="1"/>
  <c r="AK173" i="11"/>
  <c r="S173" i="11"/>
  <c r="AR173" i="11" s="1"/>
  <c r="AM173" i="11" s="1"/>
  <c r="AV172" i="11"/>
  <c r="AU172" i="11"/>
  <c r="AP172" i="11" s="1"/>
  <c r="AT172" i="11"/>
  <c r="AO172" i="11" s="1"/>
  <c r="AS172" i="11"/>
  <c r="AN172" i="11" s="1"/>
  <c r="AQ172" i="11"/>
  <c r="AL172" i="11" s="1"/>
  <c r="AK172" i="11"/>
  <c r="S172" i="11"/>
  <c r="AR172" i="11" s="1"/>
  <c r="AM172" i="11" s="1"/>
  <c r="AV171" i="11"/>
  <c r="AU171" i="11"/>
  <c r="AP171" i="11" s="1"/>
  <c r="AS171" i="11"/>
  <c r="AN171" i="11" s="1"/>
  <c r="AQ171" i="11"/>
  <c r="AL171" i="11" s="1"/>
  <c r="AK171" i="11"/>
  <c r="S171" i="11"/>
  <c r="AT171" i="11" s="1"/>
  <c r="AO171" i="11" s="1"/>
  <c r="AV170" i="11"/>
  <c r="AU170" i="11"/>
  <c r="AP170" i="11" s="1"/>
  <c r="AT170" i="11"/>
  <c r="AO170" i="11" s="1"/>
  <c r="AS170" i="11"/>
  <c r="AN170" i="11" s="1"/>
  <c r="AR170" i="11"/>
  <c r="AM170" i="11" s="1"/>
  <c r="AK170" i="11"/>
  <c r="AI170" i="11"/>
  <c r="S170" i="11"/>
  <c r="AQ170" i="11" s="1"/>
  <c r="AL170" i="11" s="1"/>
  <c r="AV169" i="11"/>
  <c r="AU169" i="11"/>
  <c r="AP169" i="11" s="1"/>
  <c r="AK169" i="11"/>
  <c r="AI169" i="11"/>
  <c r="AH169" i="11"/>
  <c r="S169" i="11"/>
  <c r="AV168" i="11"/>
  <c r="AU168" i="11"/>
  <c r="AP168" i="11" s="1"/>
  <c r="AK168" i="11"/>
  <c r="AI168" i="11"/>
  <c r="AH168" i="11"/>
  <c r="AG168" i="11"/>
  <c r="S168" i="11"/>
  <c r="AV167" i="11"/>
  <c r="AU167" i="11"/>
  <c r="AP167" i="11" s="1"/>
  <c r="AT167" i="11"/>
  <c r="AO167" i="11" s="1"/>
  <c r="AK167" i="11"/>
  <c r="AI167" i="11"/>
  <c r="AH167" i="11"/>
  <c r="AG167" i="11"/>
  <c r="S167" i="11"/>
  <c r="AQ167" i="11" s="1"/>
  <c r="AL167" i="11" s="1"/>
  <c r="AV166" i="11"/>
  <c r="AU166" i="11"/>
  <c r="AP166" i="11" s="1"/>
  <c r="AK166" i="11"/>
  <c r="AI166" i="11"/>
  <c r="AH166" i="11"/>
  <c r="AG166" i="11"/>
  <c r="S166" i="11"/>
  <c r="AV165" i="11"/>
  <c r="AU165" i="11"/>
  <c r="AP165" i="11" s="1"/>
  <c r="AK165" i="11"/>
  <c r="AJ165" i="11"/>
  <c r="S165" i="11" s="1"/>
  <c r="AQ165" i="11" s="1"/>
  <c r="AL165" i="11" s="1"/>
  <c r="AV164" i="11"/>
  <c r="AU164" i="11"/>
  <c r="AP164" i="11" s="1"/>
  <c r="AK164" i="11"/>
  <c r="AJ164" i="11"/>
  <c r="S164" i="11" s="1"/>
  <c r="AV163" i="11"/>
  <c r="AU163" i="11"/>
  <c r="AP163" i="11" s="1"/>
  <c r="AK163" i="11"/>
  <c r="AJ163" i="11"/>
  <c r="S163" i="11" s="1"/>
  <c r="AV162" i="11"/>
  <c r="AU162" i="11"/>
  <c r="AQ162" i="11"/>
  <c r="AL162" i="11" s="1"/>
  <c r="AP162" i="11"/>
  <c r="AK162" i="11"/>
  <c r="AJ162" i="11"/>
  <c r="S162" i="11"/>
  <c r="AV161" i="11"/>
  <c r="AU161" i="11"/>
  <c r="AP161" i="11" s="1"/>
  <c r="AK161" i="11"/>
  <c r="AJ161" i="11"/>
  <c r="AV160" i="11"/>
  <c r="AU160" i="11"/>
  <c r="AP160" i="11" s="1"/>
  <c r="AK160" i="11"/>
  <c r="AJ160" i="11"/>
  <c r="S160" i="11"/>
  <c r="AV159" i="11"/>
  <c r="AU159" i="11"/>
  <c r="AP159" i="11" s="1"/>
  <c r="AK159" i="11"/>
  <c r="AJ159" i="11"/>
  <c r="S159" i="11"/>
  <c r="AT159" i="11" s="1"/>
  <c r="AO159" i="11" s="1"/>
  <c r="AV158" i="11"/>
  <c r="AU158" i="11"/>
  <c r="AP158" i="11" s="1"/>
  <c r="AK158" i="11"/>
  <c r="AJ158" i="11"/>
  <c r="S158" i="11"/>
  <c r="AV157" i="11"/>
  <c r="AU157" i="11"/>
  <c r="AP157" i="11" s="1"/>
  <c r="AK157" i="11"/>
  <c r="AJ157" i="11"/>
  <c r="AV156" i="11"/>
  <c r="AU156" i="11"/>
  <c r="AP156" i="11" s="1"/>
  <c r="AK156" i="11"/>
  <c r="AJ156" i="11"/>
  <c r="S156" i="11" s="1"/>
  <c r="AS156" i="11" s="1"/>
  <c r="AN156" i="11" s="1"/>
  <c r="AV155" i="11"/>
  <c r="AU155" i="11"/>
  <c r="AP155" i="11" s="1"/>
  <c r="AR155" i="11"/>
  <c r="AM155" i="11" s="1"/>
  <c r="AK155" i="11"/>
  <c r="AJ155" i="11"/>
  <c r="S155" i="11"/>
  <c r="AV154" i="11"/>
  <c r="AU154" i="11"/>
  <c r="AP154" i="11" s="1"/>
  <c r="AK154" i="11"/>
  <c r="AJ154" i="11"/>
  <c r="S154" i="11"/>
  <c r="AS154" i="11" s="1"/>
  <c r="AN154" i="11" s="1"/>
  <c r="AV153" i="11"/>
  <c r="AU153" i="11"/>
  <c r="AP153" i="11"/>
  <c r="AK153" i="11"/>
  <c r="AJ153" i="11"/>
  <c r="AV152" i="11"/>
  <c r="AU152" i="11"/>
  <c r="AP152" i="11" s="1"/>
  <c r="AK152" i="11"/>
  <c r="AJ152" i="11"/>
  <c r="S152" i="11" s="1"/>
  <c r="AV151" i="11"/>
  <c r="AU151" i="11"/>
  <c r="AP151" i="11" s="1"/>
  <c r="AS151" i="11"/>
  <c r="AN151" i="11" s="1"/>
  <c r="AK151" i="11"/>
  <c r="AJ151" i="11"/>
  <c r="S151" i="11" s="1"/>
  <c r="AV150" i="11"/>
  <c r="AU150" i="11"/>
  <c r="AP150" i="11" s="1"/>
  <c r="AK150" i="11"/>
  <c r="AJ150" i="11"/>
  <c r="S150" i="11"/>
  <c r="AQ150" i="11" s="1"/>
  <c r="AL150" i="11" s="1"/>
  <c r="AV149" i="11"/>
  <c r="AU149" i="11"/>
  <c r="AP149" i="11" s="1"/>
  <c r="AK149" i="11"/>
  <c r="S149" i="11" s="1"/>
  <c r="AV148" i="11"/>
  <c r="AU148" i="11"/>
  <c r="AP148" i="11" s="1"/>
  <c r="AS148" i="11"/>
  <c r="AN148" i="11" s="1"/>
  <c r="AQ148" i="11"/>
  <c r="AL148" i="11" s="1"/>
  <c r="AK148" i="11"/>
  <c r="S148" i="11"/>
  <c r="AV147" i="11"/>
  <c r="AU147" i="11"/>
  <c r="AP147" i="11" s="1"/>
  <c r="AT147" i="11"/>
  <c r="AO147" i="11" s="1"/>
  <c r="AQ147" i="11"/>
  <c r="AL147" i="11" s="1"/>
  <c r="AK147" i="11"/>
  <c r="S147" i="11"/>
  <c r="AS147" i="11" s="1"/>
  <c r="AN147" i="11" s="1"/>
  <c r="AV146" i="11"/>
  <c r="AU146" i="11"/>
  <c r="AP146" i="11" s="1"/>
  <c r="AR146" i="11"/>
  <c r="AM146" i="11" s="1"/>
  <c r="AQ146" i="11"/>
  <c r="AL146" i="11" s="1"/>
  <c r="AK146" i="11"/>
  <c r="S146" i="11"/>
  <c r="AT146" i="11" s="1"/>
  <c r="AO146" i="11" s="1"/>
  <c r="AV145" i="11"/>
  <c r="AU145" i="11"/>
  <c r="AP145" i="11" s="1"/>
  <c r="AK145" i="11"/>
  <c r="S145" i="11" s="1"/>
  <c r="AV144" i="11"/>
  <c r="AU144" i="11"/>
  <c r="AP144" i="11" s="1"/>
  <c r="AK144" i="11"/>
  <c r="S144" i="11"/>
  <c r="AV143" i="11"/>
  <c r="AU143" i="11"/>
  <c r="AP143" i="11" s="1"/>
  <c r="AO143" i="11"/>
  <c r="AK143" i="11"/>
  <c r="S143" i="11"/>
  <c r="AT143" i="11" s="1"/>
  <c r="AV142" i="11"/>
  <c r="AU142" i="11"/>
  <c r="AP142" i="11" s="1"/>
  <c r="AS142" i="11"/>
  <c r="AN142" i="11" s="1"/>
  <c r="AK142" i="11"/>
  <c r="S142" i="11"/>
  <c r="AQ142" i="11" s="1"/>
  <c r="AL142" i="11" s="1"/>
  <c r="AV141" i="11"/>
  <c r="AU141" i="11"/>
  <c r="AP141" i="11" s="1"/>
  <c r="AQ141" i="11"/>
  <c r="AL141" i="11" s="1"/>
  <c r="AK141" i="11"/>
  <c r="S141" i="11" s="1"/>
  <c r="AV140" i="11"/>
  <c r="AU140" i="11"/>
  <c r="AP140" i="11" s="1"/>
  <c r="AT140" i="11"/>
  <c r="AO140" i="11" s="1"/>
  <c r="AN140" i="11"/>
  <c r="AK140" i="11"/>
  <c r="AJ140" i="11"/>
  <c r="S140" i="11"/>
  <c r="AS140" i="11" s="1"/>
  <c r="AV139" i="11"/>
  <c r="AU139" i="11"/>
  <c r="AP139" i="11" s="1"/>
  <c r="AT139" i="11"/>
  <c r="AO139" i="11" s="1"/>
  <c r="AS139" i="11"/>
  <c r="AN139" i="11" s="1"/>
  <c r="AR139" i="11"/>
  <c r="AM139" i="11" s="1"/>
  <c r="AK139" i="11"/>
  <c r="AJ139" i="11"/>
  <c r="S139" i="11"/>
  <c r="AQ139" i="11" s="1"/>
  <c r="AL139" i="11" s="1"/>
  <c r="AV138" i="11"/>
  <c r="AU138" i="11"/>
  <c r="AP138" i="11" s="1"/>
  <c r="AQ138" i="11"/>
  <c r="AL138" i="11" s="1"/>
  <c r="AK138" i="11"/>
  <c r="AJ138" i="11"/>
  <c r="S138" i="11"/>
  <c r="AR138" i="11" s="1"/>
  <c r="AM138" i="11" s="1"/>
  <c r="AV137" i="11"/>
  <c r="AU137" i="11"/>
  <c r="AP137" i="11" s="1"/>
  <c r="AK137" i="11"/>
  <c r="S137" i="11" s="1"/>
  <c r="AV136" i="11"/>
  <c r="AU136" i="11"/>
  <c r="AP136" i="11" s="1"/>
  <c r="AT136" i="11"/>
  <c r="AO136" i="11" s="1"/>
  <c r="AS136" i="11"/>
  <c r="AN136" i="11" s="1"/>
  <c r="AK136" i="11"/>
  <c r="AJ136" i="11"/>
  <c r="S136" i="11" s="1"/>
  <c r="AV135" i="11"/>
  <c r="AU135" i="11"/>
  <c r="AP135" i="11" s="1"/>
  <c r="AS135" i="11"/>
  <c r="AN135" i="11" s="1"/>
  <c r="AR135" i="11"/>
  <c r="AM135" i="11" s="1"/>
  <c r="AK135" i="11"/>
  <c r="S135" i="11" s="1"/>
  <c r="AJ135" i="11"/>
  <c r="AV134" i="11"/>
  <c r="AU134" i="11"/>
  <c r="AP134" i="11" s="1"/>
  <c r="AQ134" i="11"/>
  <c r="AL134" i="11" s="1"/>
  <c r="AK134" i="11"/>
  <c r="AJ134" i="11"/>
  <c r="S134" i="11"/>
  <c r="AV133" i="11"/>
  <c r="AU133" i="11"/>
  <c r="AP133" i="11" s="1"/>
  <c r="AK133" i="11"/>
  <c r="AJ133" i="11"/>
  <c r="S133" i="11" s="1"/>
  <c r="AV132" i="11"/>
  <c r="AU132" i="11"/>
  <c r="AP132" i="11" s="1"/>
  <c r="AK132" i="11"/>
  <c r="AJ132" i="11"/>
  <c r="AV131" i="11"/>
  <c r="AU131" i="11"/>
  <c r="AP131" i="11" s="1"/>
  <c r="AK131" i="11"/>
  <c r="S131" i="11" s="1"/>
  <c r="AJ131" i="11"/>
  <c r="AV130" i="11"/>
  <c r="AU130" i="11"/>
  <c r="AP130" i="11" s="1"/>
  <c r="AT130" i="11"/>
  <c r="AO130" i="11" s="1"/>
  <c r="AQ130" i="11"/>
  <c r="AL130" i="11" s="1"/>
  <c r="AK130" i="11"/>
  <c r="AJ130" i="11"/>
  <c r="S130" i="11"/>
  <c r="AV129" i="11"/>
  <c r="AU129" i="11"/>
  <c r="AP129" i="11" s="1"/>
  <c r="AK129" i="11"/>
  <c r="AJ129" i="11"/>
  <c r="S129" i="11" s="1"/>
  <c r="AR129" i="11" s="1"/>
  <c r="AM129" i="11" s="1"/>
  <c r="AV128" i="11"/>
  <c r="AU128" i="11"/>
  <c r="AP128" i="11" s="1"/>
  <c r="AK128" i="11"/>
  <c r="AJ128" i="11"/>
  <c r="S128" i="11" s="1"/>
  <c r="AV127" i="11"/>
  <c r="AU127" i="11"/>
  <c r="AP127" i="11" s="1"/>
  <c r="AK127" i="11"/>
  <c r="AJ127" i="11"/>
  <c r="S127" i="11" s="1"/>
  <c r="AV126" i="11"/>
  <c r="AU126" i="11"/>
  <c r="AP126" i="11" s="1"/>
  <c r="AK126" i="11"/>
  <c r="AJ126" i="11"/>
  <c r="S126" i="11"/>
  <c r="AV125" i="11"/>
  <c r="AU125" i="11"/>
  <c r="AP125" i="11" s="1"/>
  <c r="AK125" i="11"/>
  <c r="AJ125" i="11"/>
  <c r="S125" i="11" s="1"/>
  <c r="AV124" i="11"/>
  <c r="AU124" i="11"/>
  <c r="AP124" i="11" s="1"/>
  <c r="AT124" i="11"/>
  <c r="AO124" i="11" s="1"/>
  <c r="AS124" i="11"/>
  <c r="AN124" i="11" s="1"/>
  <c r="AK124" i="11"/>
  <c r="S124" i="11"/>
  <c r="AR124" i="11" s="1"/>
  <c r="AM124" i="11" s="1"/>
  <c r="AV123" i="11"/>
  <c r="AU123" i="11"/>
  <c r="AP123" i="11" s="1"/>
  <c r="AR123" i="11"/>
  <c r="AM123" i="11" s="1"/>
  <c r="AQ123" i="11"/>
  <c r="AL123" i="11" s="1"/>
  <c r="AK123" i="11"/>
  <c r="S123" i="11"/>
  <c r="AV122" i="11"/>
  <c r="AU122" i="11"/>
  <c r="AP122" i="11" s="1"/>
  <c r="AT122" i="11"/>
  <c r="AO122" i="11" s="1"/>
  <c r="AR122" i="11"/>
  <c r="AM122" i="11" s="1"/>
  <c r="AK122" i="11"/>
  <c r="AJ122" i="11"/>
  <c r="S122" i="11"/>
  <c r="AS122" i="11" s="1"/>
  <c r="AN122" i="11" s="1"/>
  <c r="AV121" i="11"/>
  <c r="AU121" i="11"/>
  <c r="AP121" i="11" s="1"/>
  <c r="AT121" i="11"/>
  <c r="AO121" i="11" s="1"/>
  <c r="AS121" i="11"/>
  <c r="AN121" i="11" s="1"/>
  <c r="AR121" i="11"/>
  <c r="AM121" i="11"/>
  <c r="AK121" i="11"/>
  <c r="AJ121" i="11"/>
  <c r="S121" i="11"/>
  <c r="AQ121" i="11" s="1"/>
  <c r="AL121" i="11" s="1"/>
  <c r="AV120" i="11"/>
  <c r="AU120" i="11"/>
  <c r="AP120" i="11" s="1"/>
  <c r="AS120" i="11"/>
  <c r="AN120" i="11" s="1"/>
  <c r="AR120" i="11"/>
  <c r="AM120" i="11" s="1"/>
  <c r="AQ120" i="11"/>
  <c r="AL120" i="11" s="1"/>
  <c r="AK120" i="11"/>
  <c r="AJ120" i="11"/>
  <c r="S120" i="11"/>
  <c r="AT120" i="11" s="1"/>
  <c r="AO120" i="11" s="1"/>
  <c r="AV119" i="11"/>
  <c r="AU119" i="11"/>
  <c r="AP119" i="11" s="1"/>
  <c r="AQ119" i="11"/>
  <c r="AL119" i="11" s="1"/>
  <c r="AK119" i="11"/>
  <c r="AJ119" i="11"/>
  <c r="S119" i="11"/>
  <c r="AV118" i="11"/>
  <c r="AU118" i="11"/>
  <c r="AP118" i="11" s="1"/>
  <c r="AT118" i="11"/>
  <c r="AO118" i="11" s="1"/>
  <c r="AR118" i="11"/>
  <c r="AM118" i="11" s="1"/>
  <c r="AK118" i="11"/>
  <c r="AJ118" i="11"/>
  <c r="S118" i="11"/>
  <c r="AS118" i="11" s="1"/>
  <c r="AN118" i="11" s="1"/>
  <c r="AV117" i="11"/>
  <c r="AU117" i="11"/>
  <c r="AP117" i="11" s="1"/>
  <c r="AT117" i="11"/>
  <c r="AO117" i="11" s="1"/>
  <c r="AS117" i="11"/>
  <c r="AN117" i="11" s="1"/>
  <c r="AR117" i="11"/>
  <c r="AM117" i="11" s="1"/>
  <c r="AK117" i="11"/>
  <c r="AJ117" i="11"/>
  <c r="S117" i="11"/>
  <c r="AQ117" i="11" s="1"/>
  <c r="AL117" i="11" s="1"/>
  <c r="AV116" i="11"/>
  <c r="AU116" i="11"/>
  <c r="AP116" i="11" s="1"/>
  <c r="AS116" i="11"/>
  <c r="AN116" i="11" s="1"/>
  <c r="AQ116" i="11"/>
  <c r="AL116" i="11" s="1"/>
  <c r="S116" i="11"/>
  <c r="AT116" i="11" s="1"/>
  <c r="AO116" i="11" s="1"/>
  <c r="AV115" i="11"/>
  <c r="AU115" i="11"/>
  <c r="AP115" i="11" s="1"/>
  <c r="AT115" i="11"/>
  <c r="AO115" i="11" s="1"/>
  <c r="AR115" i="11"/>
  <c r="AM115" i="11" s="1"/>
  <c r="AQ115" i="11"/>
  <c r="AL115" i="11" s="1"/>
  <c r="S115" i="11"/>
  <c r="AS115" i="11" s="1"/>
  <c r="AN115" i="11" s="1"/>
  <c r="AV114" i="11"/>
  <c r="AU114" i="11"/>
  <c r="AP114" i="11" s="1"/>
  <c r="AR114" i="11"/>
  <c r="AM114" i="11" s="1"/>
  <c r="AQ114" i="11"/>
  <c r="AL114" i="11" s="1"/>
  <c r="S114" i="11"/>
  <c r="AT114" i="11" s="1"/>
  <c r="AO114" i="11" s="1"/>
  <c r="AV113" i="11"/>
  <c r="AU113" i="11"/>
  <c r="AP113" i="11" s="1"/>
  <c r="AT113" i="11"/>
  <c r="AO113" i="11" s="1"/>
  <c r="AR113" i="11"/>
  <c r="AM113" i="11" s="1"/>
  <c r="AQ113" i="11"/>
  <c r="AL113" i="11" s="1"/>
  <c r="S113" i="11"/>
  <c r="AS113" i="11" s="1"/>
  <c r="AN113" i="11" s="1"/>
  <c r="AV112" i="11"/>
  <c r="AU112" i="11"/>
  <c r="AP112" i="11" s="1"/>
  <c r="AS112" i="11"/>
  <c r="AR112" i="11"/>
  <c r="AM112" i="11" s="1"/>
  <c r="AQ112" i="11"/>
  <c r="AL112" i="11" s="1"/>
  <c r="AN112" i="11"/>
  <c r="S112" i="11"/>
  <c r="AT112" i="11" s="1"/>
  <c r="AO112" i="11" s="1"/>
  <c r="AV111" i="11"/>
  <c r="AU111" i="11"/>
  <c r="AP111" i="11" s="1"/>
  <c r="AT111" i="11"/>
  <c r="AO111" i="11" s="1"/>
  <c r="AR111" i="11"/>
  <c r="AM111" i="11" s="1"/>
  <c r="AQ111" i="11"/>
  <c r="AL111" i="11" s="1"/>
  <c r="S111" i="11"/>
  <c r="AS111" i="11" s="1"/>
  <c r="AN111" i="11" s="1"/>
  <c r="AV110" i="11"/>
  <c r="AU110" i="11"/>
  <c r="AP110" i="11" s="1"/>
  <c r="S110" i="11"/>
  <c r="AV109" i="11"/>
  <c r="AU109" i="11"/>
  <c r="AP109" i="11" s="1"/>
  <c r="AT109" i="11"/>
  <c r="AO109" i="11" s="1"/>
  <c r="AR109" i="11"/>
  <c r="AM109" i="11" s="1"/>
  <c r="AQ109" i="11"/>
  <c r="AL109" i="11" s="1"/>
  <c r="S109" i="11"/>
  <c r="AS109" i="11" s="1"/>
  <c r="AN109" i="11" s="1"/>
  <c r="AV108" i="11"/>
  <c r="AU108" i="11"/>
  <c r="AP108" i="11"/>
  <c r="S108" i="11"/>
  <c r="AV107" i="11"/>
  <c r="AU107" i="11"/>
  <c r="AP107" i="11" s="1"/>
  <c r="AT107" i="11"/>
  <c r="AO107" i="11" s="1"/>
  <c r="AR107" i="11"/>
  <c r="AM107" i="11" s="1"/>
  <c r="AQ107" i="11"/>
  <c r="AL107" i="11" s="1"/>
  <c r="S107" i="11"/>
  <c r="AS107" i="11" s="1"/>
  <c r="AN107" i="11" s="1"/>
  <c r="AV106" i="11"/>
  <c r="AU106" i="11"/>
  <c r="AP106" i="11" s="1"/>
  <c r="AT106" i="11"/>
  <c r="AO106" i="11" s="1"/>
  <c r="AS106" i="11"/>
  <c r="AN106" i="11" s="1"/>
  <c r="AQ106" i="11"/>
  <c r="AL106" i="11" s="1"/>
  <c r="S106" i="11"/>
  <c r="AR106" i="11" s="1"/>
  <c r="AM106" i="11" s="1"/>
  <c r="AV105" i="11"/>
  <c r="AU105" i="11"/>
  <c r="AP105" i="11" s="1"/>
  <c r="AT105" i="11"/>
  <c r="AO105" i="11" s="1"/>
  <c r="AR105" i="11"/>
  <c r="AM105" i="11" s="1"/>
  <c r="AQ105" i="11"/>
  <c r="AL105" i="11" s="1"/>
  <c r="S105" i="11"/>
  <c r="AS105" i="11" s="1"/>
  <c r="AN105" i="11" s="1"/>
  <c r="AV104" i="11"/>
  <c r="AU104" i="11"/>
  <c r="AP104" i="11" s="1"/>
  <c r="AS104" i="11"/>
  <c r="AN104" i="11" s="1"/>
  <c r="AR104" i="11"/>
  <c r="AM104" i="11" s="1"/>
  <c r="S104" i="11"/>
  <c r="AQ104" i="11" s="1"/>
  <c r="AL104" i="11" s="1"/>
  <c r="AV103" i="11"/>
  <c r="AU103" i="11"/>
  <c r="AP103" i="11" s="1"/>
  <c r="AT103" i="11"/>
  <c r="AO103" i="11" s="1"/>
  <c r="AR103" i="11"/>
  <c r="AM103" i="11" s="1"/>
  <c r="AQ103" i="11"/>
  <c r="AL103" i="11" s="1"/>
  <c r="S103" i="11"/>
  <c r="AS103" i="11" s="1"/>
  <c r="AN103" i="11" s="1"/>
  <c r="AV102" i="11"/>
  <c r="AU102" i="11"/>
  <c r="AP102" i="11" s="1"/>
  <c r="AS102" i="11"/>
  <c r="AN102" i="11" s="1"/>
  <c r="AR102" i="11"/>
  <c r="AM102" i="11" s="1"/>
  <c r="AQ102" i="11"/>
  <c r="AL102" i="11" s="1"/>
  <c r="S102" i="11"/>
  <c r="AT102" i="11" s="1"/>
  <c r="AO102" i="11" s="1"/>
  <c r="AV101" i="11"/>
  <c r="AU101" i="11"/>
  <c r="AP101" i="11" s="1"/>
  <c r="AT101" i="11"/>
  <c r="AO101" i="11" s="1"/>
  <c r="S101" i="11"/>
  <c r="AS101" i="11" s="1"/>
  <c r="AN101" i="11" s="1"/>
  <c r="AV100" i="11"/>
  <c r="AU100" i="11"/>
  <c r="AP100" i="11" s="1"/>
  <c r="S100" i="11"/>
  <c r="AV99" i="11"/>
  <c r="AU99" i="11"/>
  <c r="AP99" i="11" s="1"/>
  <c r="AT99" i="11"/>
  <c r="AO99" i="11" s="1"/>
  <c r="AS99" i="11"/>
  <c r="AN99" i="11" s="1"/>
  <c r="AR99" i="11"/>
  <c r="AM99" i="11" s="1"/>
  <c r="AQ99" i="11"/>
  <c r="AL99" i="11" s="1"/>
  <c r="S99" i="11"/>
  <c r="AV98" i="11"/>
  <c r="AU98" i="11"/>
  <c r="AP98" i="11" s="1"/>
  <c r="AS98" i="11"/>
  <c r="AN98" i="11" s="1"/>
  <c r="AQ98" i="11"/>
  <c r="AL98" i="11" s="1"/>
  <c r="S98" i="11"/>
  <c r="AV97" i="11"/>
  <c r="AU97" i="11"/>
  <c r="AP97" i="11" s="1"/>
  <c r="S97" i="11"/>
  <c r="AT97" i="11" s="1"/>
  <c r="AO97" i="11" s="1"/>
  <c r="AV96" i="11"/>
  <c r="AU96" i="11"/>
  <c r="AP96" i="11" s="1"/>
  <c r="S96" i="11"/>
  <c r="AV95" i="11"/>
  <c r="AU95" i="11"/>
  <c r="AP95" i="11" s="1"/>
  <c r="AS95" i="11"/>
  <c r="AN95" i="11" s="1"/>
  <c r="AR95" i="11"/>
  <c r="AM95" i="11" s="1"/>
  <c r="AQ95" i="11"/>
  <c r="AL95" i="11" s="1"/>
  <c r="S95" i="11"/>
  <c r="AT95" i="11" s="1"/>
  <c r="AO95" i="11" s="1"/>
  <c r="AV94" i="11"/>
  <c r="AU94" i="11"/>
  <c r="AP94" i="11" s="1"/>
  <c r="AS94" i="11"/>
  <c r="AN94" i="11" s="1"/>
  <c r="AQ94" i="11"/>
  <c r="AL94" i="11" s="1"/>
  <c r="S94" i="11"/>
  <c r="AT94" i="11" s="1"/>
  <c r="AO94" i="11" s="1"/>
  <c r="AV93" i="11"/>
  <c r="AU93" i="11"/>
  <c r="AP93" i="11" s="1"/>
  <c r="AT93" i="11"/>
  <c r="AO93" i="11" s="1"/>
  <c r="S93" i="11"/>
  <c r="AV92" i="11"/>
  <c r="AU92" i="11"/>
  <c r="AP92" i="11" s="1"/>
  <c r="AS92" i="11"/>
  <c r="AN92" i="11" s="1"/>
  <c r="AR92" i="11"/>
  <c r="AM92" i="11" s="1"/>
  <c r="AQ92" i="11"/>
  <c r="AL92" i="11" s="1"/>
  <c r="S92" i="11"/>
  <c r="AT92" i="11" s="1"/>
  <c r="AO92" i="11" s="1"/>
  <c r="AV91" i="11"/>
  <c r="AU91" i="11"/>
  <c r="AP91" i="11" s="1"/>
  <c r="AS91" i="11"/>
  <c r="AN91" i="11" s="1"/>
  <c r="AQ91" i="11"/>
  <c r="AL91" i="11" s="1"/>
  <c r="S91" i="11"/>
  <c r="AT91" i="11" s="1"/>
  <c r="AO91" i="11" s="1"/>
  <c r="AV90" i="11"/>
  <c r="AU90" i="11"/>
  <c r="AP90" i="11" s="1"/>
  <c r="AS90" i="11"/>
  <c r="AN90" i="11" s="1"/>
  <c r="AR90" i="11"/>
  <c r="AM90" i="11" s="1"/>
  <c r="S90" i="11"/>
  <c r="AT90" i="11" s="1"/>
  <c r="AO90" i="11" s="1"/>
  <c r="AV89" i="11"/>
  <c r="AU89" i="11"/>
  <c r="AP89" i="11" s="1"/>
  <c r="AS89" i="11"/>
  <c r="AN89" i="11" s="1"/>
  <c r="AR89" i="11"/>
  <c r="AM89" i="11" s="1"/>
  <c r="AQ89" i="11"/>
  <c r="AL89" i="11" s="1"/>
  <c r="S89" i="11"/>
  <c r="AT89" i="11" s="1"/>
  <c r="AO89" i="11" s="1"/>
  <c r="AV88" i="11"/>
  <c r="AU88" i="11"/>
  <c r="AP88" i="11" s="1"/>
  <c r="AS88" i="11"/>
  <c r="AN88" i="11" s="1"/>
  <c r="AR88" i="11"/>
  <c r="AM88" i="11" s="1"/>
  <c r="S88" i="11"/>
  <c r="AT88" i="11" s="1"/>
  <c r="AO88" i="11" s="1"/>
  <c r="AV87" i="11"/>
  <c r="AU87" i="11"/>
  <c r="AP87" i="11" s="1"/>
  <c r="AS87" i="11"/>
  <c r="AN87" i="11" s="1"/>
  <c r="AR87" i="11"/>
  <c r="AM87" i="11" s="1"/>
  <c r="S87" i="11"/>
  <c r="AQ87" i="11" s="1"/>
  <c r="AL87" i="11" s="1"/>
  <c r="AV86" i="11"/>
  <c r="AU86" i="11"/>
  <c r="AP86" i="11" s="1"/>
  <c r="S86" i="11"/>
  <c r="AT86" i="11" s="1"/>
  <c r="AO86" i="11" s="1"/>
  <c r="AV85" i="11"/>
  <c r="AU85" i="11"/>
  <c r="AP85" i="11" s="1"/>
  <c r="AS85" i="11"/>
  <c r="AN85" i="11" s="1"/>
  <c r="AR85" i="11"/>
  <c r="AM85" i="11" s="1"/>
  <c r="S85" i="11"/>
  <c r="AT85" i="11" s="1"/>
  <c r="AO85" i="11" s="1"/>
  <c r="AV84" i="11"/>
  <c r="AU84" i="11"/>
  <c r="AP84" i="11" s="1"/>
  <c r="S84" i="11"/>
  <c r="AR84" i="11" s="1"/>
  <c r="AM84" i="11" s="1"/>
  <c r="AV83" i="11"/>
  <c r="AU83" i="11"/>
  <c r="AP83" i="11" s="1"/>
  <c r="S83" i="11"/>
  <c r="AT83" i="11" s="1"/>
  <c r="AO83" i="11" s="1"/>
  <c r="AV82" i="11"/>
  <c r="AU82" i="11"/>
  <c r="AP82" i="11" s="1"/>
  <c r="AS82" i="11"/>
  <c r="AN82" i="11" s="1"/>
  <c r="AR82" i="11"/>
  <c r="AM82" i="11" s="1"/>
  <c r="AQ82" i="11"/>
  <c r="AL82" i="11" s="1"/>
  <c r="S82" i="11"/>
  <c r="AT82" i="11" s="1"/>
  <c r="AO82" i="11" s="1"/>
  <c r="AV81" i="11"/>
  <c r="AU81" i="11"/>
  <c r="AP81" i="11" s="1"/>
  <c r="S81" i="11"/>
  <c r="AV80" i="11"/>
  <c r="AU80" i="11"/>
  <c r="AP80" i="11" s="1"/>
  <c r="S80" i="11"/>
  <c r="AV79" i="11"/>
  <c r="AU79" i="11"/>
  <c r="AP79" i="11" s="1"/>
  <c r="AS79" i="11"/>
  <c r="AN79" i="11" s="1"/>
  <c r="AR79" i="11"/>
  <c r="AM79" i="11" s="1"/>
  <c r="AQ79" i="11"/>
  <c r="AL79" i="11" s="1"/>
  <c r="S79" i="11"/>
  <c r="AT79" i="11" s="1"/>
  <c r="AO79" i="11" s="1"/>
  <c r="AV78" i="11"/>
  <c r="AU78" i="11"/>
  <c r="AP78" i="11" s="1"/>
  <c r="AS78" i="11"/>
  <c r="AN78" i="11" s="1"/>
  <c r="AQ78" i="11"/>
  <c r="AL78" i="11" s="1"/>
  <c r="S78" i="11"/>
  <c r="AV77" i="11"/>
  <c r="AU77" i="11"/>
  <c r="AP77" i="11" s="1"/>
  <c r="S77" i="11"/>
  <c r="AV76" i="11"/>
  <c r="AU76" i="11"/>
  <c r="AP76" i="11" s="1"/>
  <c r="AS76" i="11"/>
  <c r="AN76" i="11" s="1"/>
  <c r="AR76" i="11"/>
  <c r="AM76" i="11" s="1"/>
  <c r="AQ76" i="11"/>
  <c r="AL76" i="11" s="1"/>
  <c r="AO76" i="11"/>
  <c r="S76" i="11"/>
  <c r="AT76" i="11" s="1"/>
  <c r="AV75" i="11"/>
  <c r="AU75" i="11"/>
  <c r="AP75" i="11" s="1"/>
  <c r="S75" i="11"/>
  <c r="AR75" i="11" s="1"/>
  <c r="AM75" i="11" s="1"/>
  <c r="AV74" i="11"/>
  <c r="AU74" i="11"/>
  <c r="AP74" i="11" s="1"/>
  <c r="AS74" i="11"/>
  <c r="AN74" i="11" s="1"/>
  <c r="AR74" i="11"/>
  <c r="AM74" i="11" s="1"/>
  <c r="S74" i="11"/>
  <c r="AT74" i="11" s="1"/>
  <c r="AO74" i="11" s="1"/>
  <c r="AV73" i="11"/>
  <c r="AU73" i="11"/>
  <c r="AP73" i="11" s="1"/>
  <c r="AS73" i="11"/>
  <c r="AN73" i="11" s="1"/>
  <c r="AR73" i="11"/>
  <c r="AQ73" i="11"/>
  <c r="AL73" i="11" s="1"/>
  <c r="AM73" i="11"/>
  <c r="S73" i="11"/>
  <c r="AT73" i="11" s="1"/>
  <c r="AO73" i="11" s="1"/>
  <c r="AV72" i="11"/>
  <c r="AU72" i="11"/>
  <c r="AP72" i="11" s="1"/>
  <c r="AS72" i="11"/>
  <c r="AN72" i="11" s="1"/>
  <c r="AR72" i="11"/>
  <c r="AM72" i="11" s="1"/>
  <c r="AQ72" i="11"/>
  <c r="AL72" i="11" s="1"/>
  <c r="S72" i="11"/>
  <c r="AT72" i="11" s="1"/>
  <c r="AO72" i="11" s="1"/>
  <c r="AV71" i="11"/>
  <c r="AU71" i="11"/>
  <c r="AP71" i="11" s="1"/>
  <c r="AS71" i="11"/>
  <c r="AN71" i="11" s="1"/>
  <c r="AR71" i="11"/>
  <c r="AM71" i="11" s="1"/>
  <c r="S71" i="11"/>
  <c r="AQ71" i="11" s="1"/>
  <c r="AL71" i="11" s="1"/>
  <c r="AV70" i="11"/>
  <c r="AU70" i="11"/>
  <c r="AP70" i="11" s="1"/>
  <c r="S70" i="11"/>
  <c r="AV69" i="11"/>
  <c r="AU69" i="11"/>
  <c r="AP69" i="11" s="1"/>
  <c r="AS69" i="11"/>
  <c r="AN69" i="11" s="1"/>
  <c r="AR69" i="11"/>
  <c r="AM69" i="11" s="1"/>
  <c r="AQ69" i="11"/>
  <c r="AL69" i="11" s="1"/>
  <c r="S69" i="11"/>
  <c r="AT69" i="11" s="1"/>
  <c r="AO69" i="11" s="1"/>
  <c r="AV68" i="11"/>
  <c r="AU68" i="11"/>
  <c r="AP68" i="11" s="1"/>
  <c r="AR68" i="11"/>
  <c r="AM68" i="11" s="1"/>
  <c r="AQ68" i="11"/>
  <c r="AL68" i="11" s="1"/>
  <c r="S68" i="11"/>
  <c r="AV67" i="11"/>
  <c r="AU67" i="11"/>
  <c r="AP67" i="11" s="1"/>
  <c r="AT67" i="11"/>
  <c r="AO67" i="11"/>
  <c r="S67" i="11"/>
  <c r="AV66" i="11"/>
  <c r="AU66" i="11"/>
  <c r="AP66" i="11" s="1"/>
  <c r="AS66" i="11"/>
  <c r="AN66" i="11" s="1"/>
  <c r="AR66" i="11"/>
  <c r="AM66" i="11" s="1"/>
  <c r="AQ66" i="11"/>
  <c r="AL66" i="11" s="1"/>
  <c r="S66" i="11"/>
  <c r="AT66" i="11" s="1"/>
  <c r="AO66" i="11" s="1"/>
  <c r="AV65" i="11"/>
  <c r="AU65" i="11"/>
  <c r="AP65" i="11" s="1"/>
  <c r="AT65" i="11"/>
  <c r="AO65" i="11" s="1"/>
  <c r="AS65" i="11"/>
  <c r="AN65" i="11" s="1"/>
  <c r="S65" i="11"/>
  <c r="AV64" i="11"/>
  <c r="AU64" i="11"/>
  <c r="AP64" i="11" s="1"/>
  <c r="AS64" i="11"/>
  <c r="AN64" i="11" s="1"/>
  <c r="AR64" i="11"/>
  <c r="AM64" i="11" s="1"/>
  <c r="AQ64" i="11"/>
  <c r="AL64" i="11" s="1"/>
  <c r="S64" i="11"/>
  <c r="AT64" i="11" s="1"/>
  <c r="AO64" i="11" s="1"/>
  <c r="AV63" i="11"/>
  <c r="AU63" i="11"/>
  <c r="AP63" i="11" s="1"/>
  <c r="AT63" i="11"/>
  <c r="AS63" i="11"/>
  <c r="AN63" i="11" s="1"/>
  <c r="AO63" i="11"/>
  <c r="S63" i="11"/>
  <c r="AV62" i="11"/>
  <c r="AU62" i="11"/>
  <c r="AP62" i="11" s="1"/>
  <c r="AS62" i="11"/>
  <c r="AN62" i="11" s="1"/>
  <c r="AR62" i="11"/>
  <c r="AM62" i="11" s="1"/>
  <c r="AQ62" i="11"/>
  <c r="AL62" i="11" s="1"/>
  <c r="S62" i="11"/>
  <c r="AT62" i="11" s="1"/>
  <c r="AO62" i="11" s="1"/>
  <c r="AV61" i="11"/>
  <c r="AU61" i="11"/>
  <c r="AP61" i="11" s="1"/>
  <c r="AS61" i="11"/>
  <c r="AN61" i="11" s="1"/>
  <c r="S61" i="11"/>
  <c r="AT61" i="11" s="1"/>
  <c r="AO61" i="11" s="1"/>
  <c r="AV60" i="11"/>
  <c r="AU60" i="11"/>
  <c r="AP60" i="11" s="1"/>
  <c r="AS60" i="11"/>
  <c r="AN60" i="11" s="1"/>
  <c r="S60" i="11"/>
  <c r="AT60" i="11" s="1"/>
  <c r="AO60" i="11" s="1"/>
  <c r="AV59" i="11"/>
  <c r="AU59" i="11"/>
  <c r="AP59" i="11" s="1"/>
  <c r="AT59" i="11"/>
  <c r="AO59" i="11" s="1"/>
  <c r="S59" i="11"/>
  <c r="AV58" i="11"/>
  <c r="AU58" i="11"/>
  <c r="AP58" i="11" s="1"/>
  <c r="S58" i="11"/>
  <c r="AT58" i="11" s="1"/>
  <c r="AO58" i="11" s="1"/>
  <c r="AV57" i="11"/>
  <c r="AU57" i="11"/>
  <c r="AP57" i="11" s="1"/>
  <c r="S57" i="11"/>
  <c r="AV56" i="11"/>
  <c r="AU56" i="11"/>
  <c r="AP56" i="11" s="1"/>
  <c r="S56" i="11"/>
  <c r="AT56" i="11" s="1"/>
  <c r="AO56" i="11" s="1"/>
  <c r="AV55" i="11"/>
  <c r="AU55" i="11"/>
  <c r="AP55" i="11" s="1"/>
  <c r="S55" i="11"/>
  <c r="AT55" i="11" s="1"/>
  <c r="AO55" i="11" s="1"/>
  <c r="AV54" i="11"/>
  <c r="AU54" i="11"/>
  <c r="AP54" i="11" s="1"/>
  <c r="S54" i="11"/>
  <c r="AT54" i="11" s="1"/>
  <c r="AO54" i="11" s="1"/>
  <c r="AV53" i="11"/>
  <c r="AU53" i="11"/>
  <c r="AP53" i="11" s="1"/>
  <c r="S53" i="11"/>
  <c r="AT53" i="11" s="1"/>
  <c r="AO53" i="11" s="1"/>
  <c r="AV52" i="11"/>
  <c r="AU52" i="11"/>
  <c r="AP52" i="11" s="1"/>
  <c r="AR52" i="11"/>
  <c r="AM52" i="11" s="1"/>
  <c r="AQ52" i="11"/>
  <c r="AL52" i="11" s="1"/>
  <c r="S52" i="11"/>
  <c r="AT52" i="11" s="1"/>
  <c r="AO52" i="11" s="1"/>
  <c r="AV51" i="11"/>
  <c r="AU51" i="11"/>
  <c r="AP51" i="11" s="1"/>
  <c r="AS51" i="11"/>
  <c r="AN51" i="11" s="1"/>
  <c r="S51" i="11"/>
  <c r="AT51" i="11" s="1"/>
  <c r="AO51" i="11" s="1"/>
  <c r="AV50" i="11"/>
  <c r="AU50" i="11"/>
  <c r="AP50" i="11" s="1"/>
  <c r="AS50" i="11"/>
  <c r="AN50" i="11" s="1"/>
  <c r="AR50" i="11"/>
  <c r="AM50" i="11" s="1"/>
  <c r="AQ50" i="11"/>
  <c r="AL50" i="11" s="1"/>
  <c r="S50" i="11"/>
  <c r="AT50" i="11" s="1"/>
  <c r="AO50" i="11" s="1"/>
  <c r="AV49" i="11"/>
  <c r="AU49" i="11"/>
  <c r="AP49" i="11" s="1"/>
  <c r="AT49" i="11"/>
  <c r="AO49" i="11" s="1"/>
  <c r="AS49" i="11"/>
  <c r="AN49" i="11" s="1"/>
  <c r="AR49" i="11"/>
  <c r="AM49" i="11" s="1"/>
  <c r="S49" i="11"/>
  <c r="AQ49" i="11" s="1"/>
  <c r="AL49" i="11" s="1"/>
  <c r="AV48" i="11"/>
  <c r="AU48" i="11"/>
  <c r="AP48" i="11" s="1"/>
  <c r="AS48" i="11"/>
  <c r="AN48" i="11" s="1"/>
  <c r="S48" i="11"/>
  <c r="AT48" i="11" s="1"/>
  <c r="AO48" i="11" s="1"/>
  <c r="AV47" i="11"/>
  <c r="AU47" i="11"/>
  <c r="AP47" i="11" s="1"/>
  <c r="S47" i="11"/>
  <c r="AQ47" i="11" s="1"/>
  <c r="AL47" i="11" s="1"/>
  <c r="AV46" i="11"/>
  <c r="AU46" i="11"/>
  <c r="AP46" i="11" s="1"/>
  <c r="AQ46" i="11"/>
  <c r="AL46" i="11" s="1"/>
  <c r="S46" i="11"/>
  <c r="AT46" i="11" s="1"/>
  <c r="AO46" i="11" s="1"/>
  <c r="AV45" i="11"/>
  <c r="AU45" i="11"/>
  <c r="AP45" i="11" s="1"/>
  <c r="AS45" i="11"/>
  <c r="AN45" i="11" s="1"/>
  <c r="AR45" i="11"/>
  <c r="AM45" i="11" s="1"/>
  <c r="S45" i="11"/>
  <c r="AQ45" i="11" s="1"/>
  <c r="AL45" i="11" s="1"/>
  <c r="AV44" i="11"/>
  <c r="AU44" i="11"/>
  <c r="AS44" i="11"/>
  <c r="AN44" i="11" s="1"/>
  <c r="AR44" i="11"/>
  <c r="AM44" i="11" s="1"/>
  <c r="AQ44" i="11"/>
  <c r="AL44" i="11" s="1"/>
  <c r="AP44" i="11"/>
  <c r="S44" i="11"/>
  <c r="AT44" i="11" s="1"/>
  <c r="AO44" i="11" s="1"/>
  <c r="AV43" i="11"/>
  <c r="AU43" i="11"/>
  <c r="AP43" i="11" s="1"/>
  <c r="AS43" i="11"/>
  <c r="AN43" i="11" s="1"/>
  <c r="S43" i="11"/>
  <c r="AQ43" i="11" s="1"/>
  <c r="AL43" i="11" s="1"/>
  <c r="AV42" i="11"/>
  <c r="AU42" i="11"/>
  <c r="AP42" i="11" s="1"/>
  <c r="S42" i="11"/>
  <c r="AT42" i="11" s="1"/>
  <c r="AO42" i="11" s="1"/>
  <c r="AV41" i="11"/>
  <c r="AU41" i="11"/>
  <c r="AP41" i="11" s="1"/>
  <c r="S41" i="11"/>
  <c r="AQ41" i="11" s="1"/>
  <c r="AL41" i="11" s="1"/>
  <c r="AV40" i="11"/>
  <c r="AU40" i="11"/>
  <c r="AR40" i="11"/>
  <c r="AM40" i="11" s="1"/>
  <c r="AQ40" i="11"/>
  <c r="AL40" i="11" s="1"/>
  <c r="AP40" i="11"/>
  <c r="S40" i="11"/>
  <c r="AT40" i="11" s="1"/>
  <c r="AO40" i="11" s="1"/>
  <c r="AV39" i="11"/>
  <c r="AU39" i="11"/>
  <c r="AP39" i="11" s="1"/>
  <c r="AT39" i="11"/>
  <c r="AO39" i="11" s="1"/>
  <c r="AS39" i="11"/>
  <c r="AN39" i="11" s="1"/>
  <c r="AR39" i="11"/>
  <c r="AM39" i="11" s="1"/>
  <c r="S39" i="11"/>
  <c r="AQ39" i="11" s="1"/>
  <c r="AL39" i="11" s="1"/>
  <c r="AV38" i="11"/>
  <c r="AU38" i="11"/>
  <c r="AP38" i="11" s="1"/>
  <c r="AS38" i="11"/>
  <c r="AN38" i="11" s="1"/>
  <c r="AR38" i="11"/>
  <c r="AM38" i="11" s="1"/>
  <c r="S38" i="11"/>
  <c r="AT38" i="11" s="1"/>
  <c r="AO38" i="11" s="1"/>
  <c r="AV37" i="11"/>
  <c r="AU37" i="11"/>
  <c r="AP37" i="11" s="1"/>
  <c r="AT37" i="11"/>
  <c r="AO37" i="11" s="1"/>
  <c r="S37" i="11"/>
  <c r="AQ37" i="11" s="1"/>
  <c r="AL37" i="11" s="1"/>
  <c r="AV36" i="11"/>
  <c r="AU36" i="11"/>
  <c r="AP36" i="11" s="1"/>
  <c r="S36" i="11"/>
  <c r="AT36" i="11" s="1"/>
  <c r="AO36" i="11" s="1"/>
  <c r="AV35" i="11"/>
  <c r="AU35" i="11"/>
  <c r="AP35" i="11" s="1"/>
  <c r="AS35" i="11"/>
  <c r="AN35" i="11" s="1"/>
  <c r="AR35" i="11"/>
  <c r="AM35" i="11" s="1"/>
  <c r="S35" i="11"/>
  <c r="AQ35" i="11" s="1"/>
  <c r="AL35" i="11" s="1"/>
  <c r="AV34" i="11"/>
  <c r="AU34" i="11"/>
  <c r="AP34" i="11" s="1"/>
  <c r="AS34" i="11"/>
  <c r="AN34" i="11" s="1"/>
  <c r="S34" i="11"/>
  <c r="AR34" i="11" s="1"/>
  <c r="AM34" i="11" s="1"/>
  <c r="AV33" i="11"/>
  <c r="AU33" i="11"/>
  <c r="AP33" i="11" s="1"/>
  <c r="S33" i="11"/>
  <c r="AQ33" i="11" s="1"/>
  <c r="AL33" i="11" s="1"/>
  <c r="AV32" i="11"/>
  <c r="AU32" i="11"/>
  <c r="AP32" i="11" s="1"/>
  <c r="AS32" i="11"/>
  <c r="AN32" i="11" s="1"/>
  <c r="AQ32" i="11"/>
  <c r="AL32" i="11" s="1"/>
  <c r="S32" i="11"/>
  <c r="AT32" i="11" s="1"/>
  <c r="AO32" i="11" s="1"/>
  <c r="AV31" i="11"/>
  <c r="AU31" i="11"/>
  <c r="AP31" i="11" s="1"/>
  <c r="S31" i="11"/>
  <c r="AQ31" i="11" s="1"/>
  <c r="AL31" i="11" s="1"/>
  <c r="AV30" i="11"/>
  <c r="AU30" i="11"/>
  <c r="AP30" i="11" s="1"/>
  <c r="AR30" i="11"/>
  <c r="AM30" i="11" s="1"/>
  <c r="AQ30" i="11"/>
  <c r="AL30" i="11" s="1"/>
  <c r="S30" i="11"/>
  <c r="AT30" i="11" s="1"/>
  <c r="AO30" i="11" s="1"/>
  <c r="AV29" i="11"/>
  <c r="AU29" i="11"/>
  <c r="AP29" i="11" s="1"/>
  <c r="AR29" i="11"/>
  <c r="AM29" i="11" s="1"/>
  <c r="S29" i="11"/>
  <c r="AQ29" i="11" s="1"/>
  <c r="AL29" i="11" s="1"/>
  <c r="AV28" i="11"/>
  <c r="AU28" i="11"/>
  <c r="AP28" i="11" s="1"/>
  <c r="S28" i="11"/>
  <c r="AT28" i="11" s="1"/>
  <c r="AO28" i="11" s="1"/>
  <c r="AV27" i="11"/>
  <c r="AU27" i="11"/>
  <c r="AP27" i="11" s="1"/>
  <c r="AS27" i="11"/>
  <c r="AN27" i="11" s="1"/>
  <c r="AR27" i="11"/>
  <c r="AM27" i="11" s="1"/>
  <c r="S27" i="11"/>
  <c r="AQ27" i="11" s="1"/>
  <c r="AL27" i="11" s="1"/>
  <c r="AV26" i="11"/>
  <c r="AU26" i="11"/>
  <c r="AP26" i="11" s="1"/>
  <c r="AS26" i="11"/>
  <c r="AN26" i="11" s="1"/>
  <c r="S26" i="11"/>
  <c r="AR26" i="11" s="1"/>
  <c r="AM26" i="11" s="1"/>
  <c r="AV25" i="11"/>
  <c r="AU25" i="11"/>
  <c r="AP25" i="11" s="1"/>
  <c r="S25" i="11"/>
  <c r="AQ25" i="11" s="1"/>
  <c r="AL25" i="11" s="1"/>
  <c r="AV24" i="11"/>
  <c r="AU24" i="11"/>
  <c r="AP24" i="11" s="1"/>
  <c r="AT24" i="11"/>
  <c r="AO24" i="11" s="1"/>
  <c r="AS24" i="11"/>
  <c r="AN24" i="11" s="1"/>
  <c r="AQ24" i="11"/>
  <c r="AL24" i="11" s="1"/>
  <c r="S24" i="11"/>
  <c r="AR24" i="11" s="1"/>
  <c r="AM24" i="11" s="1"/>
  <c r="AV23" i="11"/>
  <c r="AU23" i="11"/>
  <c r="AP23" i="11" s="1"/>
  <c r="AT23" i="11"/>
  <c r="AO23" i="11" s="1"/>
  <c r="S23" i="11"/>
  <c r="AQ23" i="11" s="1"/>
  <c r="AL23" i="11" s="1"/>
  <c r="AV22" i="11"/>
  <c r="AU22" i="11"/>
  <c r="AP22" i="11" s="1"/>
  <c r="AR22" i="11"/>
  <c r="AM22" i="11" s="1"/>
  <c r="AQ22" i="11"/>
  <c r="AL22" i="11" s="1"/>
  <c r="S22" i="11"/>
  <c r="AT22" i="11" s="1"/>
  <c r="AO22" i="11" s="1"/>
  <c r="AV21" i="11"/>
  <c r="AU21" i="11"/>
  <c r="AP21" i="11" s="1"/>
  <c r="AR21" i="11"/>
  <c r="AM21" i="11" s="1"/>
  <c r="S21" i="11"/>
  <c r="AQ21" i="11" s="1"/>
  <c r="AL21" i="11" s="1"/>
  <c r="AV20" i="11"/>
  <c r="AU20" i="11"/>
  <c r="AP20" i="11" s="1"/>
  <c r="S20" i="11"/>
  <c r="AT20" i="11" s="1"/>
  <c r="AO20" i="11" s="1"/>
  <c r="AV19" i="11"/>
  <c r="AU19" i="11"/>
  <c r="AP19" i="11" s="1"/>
  <c r="AS19" i="11"/>
  <c r="AN19" i="11" s="1"/>
  <c r="AR19" i="11"/>
  <c r="AM19" i="11" s="1"/>
  <c r="S19" i="11"/>
  <c r="AQ19" i="11" s="1"/>
  <c r="AL19" i="11" s="1"/>
  <c r="AV18" i="11"/>
  <c r="AU18" i="11"/>
  <c r="AS18" i="11"/>
  <c r="AN18" i="11" s="1"/>
  <c r="AP18" i="11"/>
  <c r="S18" i="11"/>
  <c r="AR18" i="11" s="1"/>
  <c r="AM18" i="11" s="1"/>
  <c r="AV17" i="11"/>
  <c r="AU17" i="11"/>
  <c r="AP17" i="11" s="1"/>
  <c r="AQ17" i="11"/>
  <c r="AL17" i="11" s="1"/>
  <c r="S17" i="11"/>
  <c r="AT17" i="11" s="1"/>
  <c r="AO17" i="11" s="1"/>
  <c r="AV16" i="11"/>
  <c r="AU16" i="11"/>
  <c r="AP16" i="11" s="1"/>
  <c r="AT16" i="11"/>
  <c r="AO16" i="11" s="1"/>
  <c r="AR16" i="11"/>
  <c r="AM16" i="11" s="1"/>
  <c r="S16" i="11"/>
  <c r="AQ16" i="11" s="1"/>
  <c r="AL16" i="11" s="1"/>
  <c r="AV15" i="11"/>
  <c r="AU15" i="11"/>
  <c r="AP15" i="11" s="1"/>
  <c r="AQ15" i="11"/>
  <c r="AL15" i="11" s="1"/>
  <c r="S15" i="11"/>
  <c r="AT15" i="11" s="1"/>
  <c r="AO15" i="11" s="1"/>
  <c r="AV14" i="11"/>
  <c r="AU14" i="11"/>
  <c r="AP14" i="11" s="1"/>
  <c r="AT14" i="11"/>
  <c r="AO14" i="11" s="1"/>
  <c r="AR14" i="11"/>
  <c r="AM14" i="11" s="1"/>
  <c r="S14" i="11"/>
  <c r="AQ14" i="11" s="1"/>
  <c r="AL14" i="11" s="1"/>
  <c r="AV13" i="11"/>
  <c r="AU13" i="11"/>
  <c r="AP13" i="11" s="1"/>
  <c r="AR13" i="11"/>
  <c r="AQ13" i="11"/>
  <c r="AL13" i="11" s="1"/>
  <c r="AM13" i="11"/>
  <c r="S13" i="11"/>
  <c r="AT13" i="11" s="1"/>
  <c r="AO13" i="11" s="1"/>
  <c r="AV12" i="11"/>
  <c r="AU12" i="11"/>
  <c r="AP12" i="11" s="1"/>
  <c r="AT12" i="11"/>
  <c r="AO12" i="11" s="1"/>
  <c r="AR12" i="11"/>
  <c r="AM12" i="11" s="1"/>
  <c r="S12" i="11"/>
  <c r="AQ12" i="11" s="1"/>
  <c r="AL12" i="11" s="1"/>
  <c r="AV11" i="11"/>
  <c r="AU11" i="11"/>
  <c r="AP11" i="11" s="1"/>
  <c r="AR11" i="11"/>
  <c r="AM11" i="11" s="1"/>
  <c r="AQ11" i="11"/>
  <c r="AL11" i="11" s="1"/>
  <c r="S11" i="11"/>
  <c r="AT11" i="11" s="1"/>
  <c r="AO11" i="11" s="1"/>
  <c r="AV10" i="11"/>
  <c r="AU10" i="11"/>
  <c r="AP10" i="11" s="1"/>
  <c r="AT10" i="11"/>
  <c r="AO10" i="11" s="1"/>
  <c r="AR10" i="11"/>
  <c r="AM10" i="11" s="1"/>
  <c r="S10" i="11"/>
  <c r="AQ10" i="11" s="1"/>
  <c r="AL10" i="11" s="1"/>
  <c r="AV9" i="11"/>
  <c r="AU9" i="11"/>
  <c r="AP9" i="11" s="1"/>
  <c r="AR9" i="11"/>
  <c r="AM9" i="11" s="1"/>
  <c r="AQ9" i="11"/>
  <c r="AL9" i="11" s="1"/>
  <c r="S9" i="11"/>
  <c r="AT9" i="11" s="1"/>
  <c r="AO9" i="11" s="1"/>
  <c r="AV8" i="11"/>
  <c r="AU8" i="11"/>
  <c r="AP8" i="11" s="1"/>
  <c r="AT8" i="11"/>
  <c r="AO8" i="11" s="1"/>
  <c r="AR8" i="11"/>
  <c r="AM8" i="11" s="1"/>
  <c r="S8" i="11"/>
  <c r="AQ8" i="11" s="1"/>
  <c r="AL8" i="11" s="1"/>
  <c r="AV7" i="11"/>
  <c r="AU7" i="11"/>
  <c r="AP7" i="11" s="1"/>
  <c r="AR7" i="11"/>
  <c r="AM7" i="11" s="1"/>
  <c r="AQ7" i="11"/>
  <c r="AL7" i="11" s="1"/>
  <c r="S7" i="11"/>
  <c r="AT7" i="11" s="1"/>
  <c r="AO7" i="11" s="1"/>
  <c r="AV6" i="11"/>
  <c r="AU6" i="11"/>
  <c r="AP6" i="11" s="1"/>
  <c r="AT6" i="11"/>
  <c r="AO6" i="11" s="1"/>
  <c r="AR6" i="11"/>
  <c r="AM6" i="11" s="1"/>
  <c r="S6" i="11"/>
  <c r="AQ6" i="11" s="1"/>
  <c r="AL6" i="11" s="1"/>
  <c r="AV5" i="11"/>
  <c r="AU5" i="11"/>
  <c r="AP5" i="11" s="1"/>
  <c r="AR5" i="11"/>
  <c r="AM5" i="11" s="1"/>
  <c r="AQ5" i="11"/>
  <c r="AL5" i="11" s="1"/>
  <c r="S5" i="11"/>
  <c r="AT5" i="11" s="1"/>
  <c r="AO5" i="11" s="1"/>
  <c r="AV4" i="11"/>
  <c r="AU4" i="11"/>
  <c r="AP4" i="11" s="1"/>
  <c r="AT4" i="11"/>
  <c r="AO4" i="11" s="1"/>
  <c r="AR4" i="11"/>
  <c r="AM4" i="11" s="1"/>
  <c r="S4" i="11"/>
  <c r="AQ4" i="11" s="1"/>
  <c r="AL4" i="11" s="1"/>
  <c r="AV3" i="11"/>
  <c r="AU3" i="11"/>
  <c r="AP3" i="11" s="1"/>
  <c r="AR3" i="11"/>
  <c r="AM3" i="11" s="1"/>
  <c r="AQ3" i="11"/>
  <c r="AL3" i="11" s="1"/>
  <c r="S3" i="11"/>
  <c r="AT3" i="11" s="1"/>
  <c r="AO3" i="11" s="1"/>
  <c r="AV2" i="11"/>
  <c r="AU2" i="11"/>
  <c r="AP2" i="11" s="1"/>
  <c r="AT2" i="11"/>
  <c r="AO2" i="11" s="1"/>
  <c r="AR2" i="11"/>
  <c r="AM2" i="11" s="1"/>
  <c r="S2" i="11"/>
  <c r="AQ2" i="11" s="1"/>
  <c r="AL2" i="11" s="1"/>
  <c r="AT31" i="11" l="1"/>
  <c r="AO31" i="11" s="1"/>
  <c r="AS2" i="11"/>
  <c r="AN2" i="11" s="1"/>
  <c r="AS4" i="11"/>
  <c r="AN4" i="11" s="1"/>
  <c r="AS6" i="11"/>
  <c r="AN6" i="11" s="1"/>
  <c r="AS8" i="11"/>
  <c r="AN8" i="11" s="1"/>
  <c r="AS10" i="11"/>
  <c r="AN10" i="11" s="1"/>
  <c r="AS12" i="11"/>
  <c r="AN12" i="11" s="1"/>
  <c r="AS14" i="11"/>
  <c r="AN14" i="11" s="1"/>
  <c r="AS16" i="11"/>
  <c r="AN16" i="11" s="1"/>
  <c r="AT18" i="11"/>
  <c r="AO18" i="11" s="1"/>
  <c r="AS21" i="11"/>
  <c r="AN21" i="11" s="1"/>
  <c r="AT26" i="11"/>
  <c r="AO26" i="11" s="1"/>
  <c r="AS29" i="11"/>
  <c r="AN29" i="11" s="1"/>
  <c r="AR32" i="11"/>
  <c r="AM32" i="11" s="1"/>
  <c r="AT34" i="11"/>
  <c r="AO34" i="11" s="1"/>
  <c r="AT43" i="11"/>
  <c r="AO43" i="11" s="1"/>
  <c r="AR57" i="11"/>
  <c r="AM57" i="11" s="1"/>
  <c r="AQ57" i="11"/>
  <c r="AL57" i="11" s="1"/>
  <c r="AT78" i="11"/>
  <c r="AO78" i="11" s="1"/>
  <c r="AR78" i="11"/>
  <c r="AM78" i="11" s="1"/>
  <c r="AQ81" i="11"/>
  <c r="AL81" i="11" s="1"/>
  <c r="AS81" i="11"/>
  <c r="AN81" i="11" s="1"/>
  <c r="AQ54" i="11"/>
  <c r="AL54" i="11" s="1"/>
  <c r="AR61" i="11"/>
  <c r="AM61" i="11" s="1"/>
  <c r="AQ61" i="11"/>
  <c r="AL61" i="11" s="1"/>
  <c r="AS77" i="11"/>
  <c r="AN77" i="11" s="1"/>
  <c r="AR77" i="11"/>
  <c r="AM77" i="11" s="1"/>
  <c r="AQ77" i="11"/>
  <c r="AL77" i="11" s="1"/>
  <c r="AR97" i="11"/>
  <c r="AM97" i="11" s="1"/>
  <c r="AT21" i="11"/>
  <c r="AO21" i="11" s="1"/>
  <c r="AT29" i="11"/>
  <c r="AO29" i="11" s="1"/>
  <c r="AR59" i="11"/>
  <c r="AM59" i="11" s="1"/>
  <c r="AQ59" i="11"/>
  <c r="AL59" i="11" s="1"/>
  <c r="AR15" i="11"/>
  <c r="AM15" i="11" s="1"/>
  <c r="AR17" i="11"/>
  <c r="AM17" i="11" s="1"/>
  <c r="AT19" i="11"/>
  <c r="AO19" i="11" s="1"/>
  <c r="AQ20" i="11"/>
  <c r="AL20" i="11" s="1"/>
  <c r="AS22" i="11"/>
  <c r="AN22" i="11" s="1"/>
  <c r="AR25" i="11"/>
  <c r="AM25" i="11" s="1"/>
  <c r="AT27" i="11"/>
  <c r="AO27" i="11" s="1"/>
  <c r="AQ28" i="11"/>
  <c r="AL28" i="11" s="1"/>
  <c r="AS30" i="11"/>
  <c r="AN30" i="11" s="1"/>
  <c r="AR33" i="11"/>
  <c r="AM33" i="11" s="1"/>
  <c r="AT35" i="11"/>
  <c r="AO35" i="11" s="1"/>
  <c r="AQ36" i="11"/>
  <c r="AL36" i="11" s="1"/>
  <c r="AS40" i="11"/>
  <c r="AN40" i="11" s="1"/>
  <c r="AR41" i="11"/>
  <c r="AM41" i="11" s="1"/>
  <c r="AT45" i="11"/>
  <c r="AO45" i="11" s="1"/>
  <c r="AR46" i="11"/>
  <c r="AM46" i="11" s="1"/>
  <c r="AS52" i="11"/>
  <c r="AN52" i="11" s="1"/>
  <c r="AS53" i="11"/>
  <c r="AN53" i="11" s="1"/>
  <c r="AR54" i="11"/>
  <c r="AM54" i="11" s="1"/>
  <c r="AQ56" i="11"/>
  <c r="AL56" i="11" s="1"/>
  <c r="AR63" i="11"/>
  <c r="AM63" i="11" s="1"/>
  <c r="AQ63" i="11"/>
  <c r="AL63" i="11" s="1"/>
  <c r="AT70" i="11"/>
  <c r="AO70" i="11" s="1"/>
  <c r="AS70" i="11"/>
  <c r="AN70" i="11" s="1"/>
  <c r="AR70" i="11"/>
  <c r="AM70" i="11" s="1"/>
  <c r="AQ70" i="11"/>
  <c r="AL70" i="11" s="1"/>
  <c r="AQ75" i="11"/>
  <c r="AL75" i="11" s="1"/>
  <c r="AR81" i="11"/>
  <c r="AM81" i="11" s="1"/>
  <c r="AS3" i="11"/>
  <c r="AN3" i="11" s="1"/>
  <c r="AS5" i="11"/>
  <c r="AN5" i="11" s="1"/>
  <c r="AS7" i="11"/>
  <c r="AN7" i="11" s="1"/>
  <c r="AS9" i="11"/>
  <c r="AN9" i="11" s="1"/>
  <c r="AS11" i="11"/>
  <c r="AN11" i="11" s="1"/>
  <c r="AS13" i="11"/>
  <c r="AN13" i="11" s="1"/>
  <c r="AS15" i="11"/>
  <c r="AN15" i="11" s="1"/>
  <c r="AS17" i="11"/>
  <c r="AN17" i="11" s="1"/>
  <c r="AR20" i="11"/>
  <c r="AM20" i="11" s="1"/>
  <c r="AS25" i="11"/>
  <c r="AN25" i="11" s="1"/>
  <c r="AR28" i="11"/>
  <c r="AM28" i="11" s="1"/>
  <c r="AS33" i="11"/>
  <c r="AN33" i="11" s="1"/>
  <c r="AR36" i="11"/>
  <c r="AM36" i="11" s="1"/>
  <c r="AS41" i="11"/>
  <c r="AN41" i="11" s="1"/>
  <c r="AQ42" i="11"/>
  <c r="AL42" i="11" s="1"/>
  <c r="AS46" i="11"/>
  <c r="AN46" i="11" s="1"/>
  <c r="AR47" i="11"/>
  <c r="AM47" i="11" s="1"/>
  <c r="AS54" i="11"/>
  <c r="AN54" i="11" s="1"/>
  <c r="AS55" i="11"/>
  <c r="AN55" i="11" s="1"/>
  <c r="AR56" i="11"/>
  <c r="AM56" i="11" s="1"/>
  <c r="AQ58" i="11"/>
  <c r="AL58" i="11" s="1"/>
  <c r="AR65" i="11"/>
  <c r="AM65" i="11" s="1"/>
  <c r="AQ65" i="11"/>
  <c r="AL65" i="11" s="1"/>
  <c r="AS75" i="11"/>
  <c r="AN75" i="11" s="1"/>
  <c r="AT80" i="11"/>
  <c r="AO80" i="11" s="1"/>
  <c r="AS80" i="11"/>
  <c r="AN80" i="11" s="1"/>
  <c r="AR80" i="11"/>
  <c r="AM80" i="11" s="1"/>
  <c r="AQ80" i="11"/>
  <c r="AL80" i="11" s="1"/>
  <c r="AT81" i="11"/>
  <c r="AO81" i="11" s="1"/>
  <c r="AS93" i="11"/>
  <c r="AN93" i="11" s="1"/>
  <c r="AR93" i="11"/>
  <c r="AM93" i="11" s="1"/>
  <c r="AQ93" i="11"/>
  <c r="AL93" i="11" s="1"/>
  <c r="AT131" i="11"/>
  <c r="AO131" i="11" s="1"/>
  <c r="AS131" i="11"/>
  <c r="AN131" i="11" s="1"/>
  <c r="AQ131" i="11"/>
  <c r="AL131" i="11" s="1"/>
  <c r="AQ18" i="11"/>
  <c r="AL18" i="11" s="1"/>
  <c r="AS20" i="11"/>
  <c r="AN20" i="11" s="1"/>
  <c r="AR23" i="11"/>
  <c r="AM23" i="11" s="1"/>
  <c r="AT25" i="11"/>
  <c r="AO25" i="11" s="1"/>
  <c r="AQ26" i="11"/>
  <c r="AL26" i="11" s="1"/>
  <c r="AS28" i="11"/>
  <c r="AN28" i="11" s="1"/>
  <c r="AR31" i="11"/>
  <c r="AM31" i="11" s="1"/>
  <c r="AT33" i="11"/>
  <c r="AO33" i="11" s="1"/>
  <c r="AQ34" i="11"/>
  <c r="AL34" i="11" s="1"/>
  <c r="AS36" i="11"/>
  <c r="AN36" i="11" s="1"/>
  <c r="AR37" i="11"/>
  <c r="AM37" i="11" s="1"/>
  <c r="AT41" i="11"/>
  <c r="AO41" i="11" s="1"/>
  <c r="AR42" i="11"/>
  <c r="AM42" i="11" s="1"/>
  <c r="AS47" i="11"/>
  <c r="AN47" i="11" s="1"/>
  <c r="AQ48" i="11"/>
  <c r="AL48" i="11" s="1"/>
  <c r="AR51" i="11"/>
  <c r="AM51" i="11" s="1"/>
  <c r="AQ51" i="11"/>
  <c r="AL51" i="11" s="1"/>
  <c r="AS56" i="11"/>
  <c r="AN56" i="11" s="1"/>
  <c r="AS57" i="11"/>
  <c r="AN57" i="11" s="1"/>
  <c r="AR58" i="11"/>
  <c r="AM58" i="11" s="1"/>
  <c r="AQ60" i="11"/>
  <c r="AL60" i="11" s="1"/>
  <c r="AS67" i="11"/>
  <c r="AN67" i="11" s="1"/>
  <c r="AR67" i="11"/>
  <c r="AM67" i="11" s="1"/>
  <c r="AQ67" i="11"/>
  <c r="AL67" i="11" s="1"/>
  <c r="AT68" i="11"/>
  <c r="AO68" i="11" s="1"/>
  <c r="AS68" i="11"/>
  <c r="AN68" i="11" s="1"/>
  <c r="AT75" i="11"/>
  <c r="AO75" i="11" s="1"/>
  <c r="AT77" i="11"/>
  <c r="AO77" i="11" s="1"/>
  <c r="AT96" i="11"/>
  <c r="AO96" i="11" s="1"/>
  <c r="AS96" i="11"/>
  <c r="AN96" i="11" s="1"/>
  <c r="AR96" i="11"/>
  <c r="AM96" i="11" s="1"/>
  <c r="AQ96" i="11"/>
  <c r="AL96" i="11" s="1"/>
  <c r="AR100" i="11"/>
  <c r="AM100" i="11" s="1"/>
  <c r="AT100" i="11"/>
  <c r="AO100" i="11" s="1"/>
  <c r="AS100" i="11"/>
  <c r="AN100" i="11" s="1"/>
  <c r="AQ100" i="11"/>
  <c r="AL100" i="11" s="1"/>
  <c r="AT110" i="11"/>
  <c r="AO110" i="11" s="1"/>
  <c r="AQ110" i="11"/>
  <c r="AL110" i="11" s="1"/>
  <c r="AS110" i="11"/>
  <c r="AN110" i="11" s="1"/>
  <c r="AR110" i="11"/>
  <c r="AM110" i="11" s="1"/>
  <c r="AR131" i="11"/>
  <c r="AM131" i="11" s="1"/>
  <c r="AR55" i="11"/>
  <c r="AM55" i="11" s="1"/>
  <c r="AQ55" i="11"/>
  <c r="AL55" i="11" s="1"/>
  <c r="AQ97" i="11"/>
  <c r="AL97" i="11" s="1"/>
  <c r="AS97" i="11"/>
  <c r="AN97" i="11" s="1"/>
  <c r="AS23" i="11"/>
  <c r="AN23" i="11" s="1"/>
  <c r="AS31" i="11"/>
  <c r="AN31" i="11" s="1"/>
  <c r="AS37" i="11"/>
  <c r="AN37" i="11" s="1"/>
  <c r="AQ38" i="11"/>
  <c r="AL38" i="11" s="1"/>
  <c r="AS42" i="11"/>
  <c r="AN42" i="11" s="1"/>
  <c r="AR43" i="11"/>
  <c r="AM43" i="11" s="1"/>
  <c r="AT47" i="11"/>
  <c r="AO47" i="11" s="1"/>
  <c r="AR48" i="11"/>
  <c r="AM48" i="11" s="1"/>
  <c r="AR53" i="11"/>
  <c r="AM53" i="11" s="1"/>
  <c r="AQ53" i="11"/>
  <c r="AL53" i="11" s="1"/>
  <c r="AT57" i="11"/>
  <c r="AO57" i="11" s="1"/>
  <c r="AS58" i="11"/>
  <c r="AN58" i="11" s="1"/>
  <c r="AS59" i="11"/>
  <c r="AN59" i="11" s="1"/>
  <c r="AR60" i="11"/>
  <c r="AM60" i="11" s="1"/>
  <c r="AT84" i="11"/>
  <c r="AO84" i="11" s="1"/>
  <c r="AQ84" i="11"/>
  <c r="AL84" i="11" s="1"/>
  <c r="AS84" i="11"/>
  <c r="AN84" i="11" s="1"/>
  <c r="AT127" i="11"/>
  <c r="AO127" i="11" s="1"/>
  <c r="AR127" i="11"/>
  <c r="AM127" i="11" s="1"/>
  <c r="AQ127" i="11"/>
  <c r="AL127" i="11" s="1"/>
  <c r="AS127" i="11"/>
  <c r="AN127" i="11" s="1"/>
  <c r="AT160" i="11"/>
  <c r="AO160" i="11" s="1"/>
  <c r="AS160" i="11"/>
  <c r="AN160" i="11" s="1"/>
  <c r="AQ160" i="11"/>
  <c r="AL160" i="11" s="1"/>
  <c r="AR160" i="11"/>
  <c r="AM160" i="11" s="1"/>
  <c r="AT71" i="11"/>
  <c r="AO71" i="11" s="1"/>
  <c r="AQ85" i="11"/>
  <c r="AL85" i="11" s="1"/>
  <c r="AT87" i="11"/>
  <c r="AO87" i="11" s="1"/>
  <c r="AQ88" i="11"/>
  <c r="AL88" i="11" s="1"/>
  <c r="AR91" i="11"/>
  <c r="AM91" i="11" s="1"/>
  <c r="AR94" i="11"/>
  <c r="AM94" i="11" s="1"/>
  <c r="AT104" i="11"/>
  <c r="AO104" i="11" s="1"/>
  <c r="AT125" i="11"/>
  <c r="AO125" i="11" s="1"/>
  <c r="AS125" i="11"/>
  <c r="AN125" i="11" s="1"/>
  <c r="AQ125" i="11"/>
  <c r="AL125" i="11" s="1"/>
  <c r="AR125" i="11"/>
  <c r="AM125" i="11" s="1"/>
  <c r="AT135" i="11"/>
  <c r="AO135" i="11" s="1"/>
  <c r="AQ135" i="11"/>
  <c r="AL135" i="11" s="1"/>
  <c r="AQ166" i="11"/>
  <c r="AL166" i="11" s="1"/>
  <c r="AS166" i="11"/>
  <c r="AN166" i="11" s="1"/>
  <c r="AT166" i="11"/>
  <c r="AO166" i="11" s="1"/>
  <c r="AR166" i="11"/>
  <c r="AM166" i="11" s="1"/>
  <c r="AR168" i="11"/>
  <c r="AM168" i="11" s="1"/>
  <c r="AQ168" i="11"/>
  <c r="AL168" i="11" s="1"/>
  <c r="AT168" i="11"/>
  <c r="AO168" i="11" s="1"/>
  <c r="AR199" i="11"/>
  <c r="AM199" i="11" s="1"/>
  <c r="AT199" i="11"/>
  <c r="AO199" i="11" s="1"/>
  <c r="AS199" i="11"/>
  <c r="AN199" i="11" s="1"/>
  <c r="AQ199" i="11"/>
  <c r="AL199" i="11" s="1"/>
  <c r="AQ83" i="11"/>
  <c r="AL83" i="11" s="1"/>
  <c r="AQ86" i="11"/>
  <c r="AL86" i="11" s="1"/>
  <c r="AT108" i="11"/>
  <c r="AO108" i="11" s="1"/>
  <c r="AS108" i="11"/>
  <c r="AN108" i="11" s="1"/>
  <c r="AR108" i="11"/>
  <c r="AM108" i="11" s="1"/>
  <c r="AQ108" i="11"/>
  <c r="AL108" i="11" s="1"/>
  <c r="AR128" i="11"/>
  <c r="AM128" i="11" s="1"/>
  <c r="AQ128" i="11"/>
  <c r="AL128" i="11" s="1"/>
  <c r="AT128" i="11"/>
  <c r="AO128" i="11" s="1"/>
  <c r="AT187" i="11"/>
  <c r="AO187" i="11" s="1"/>
  <c r="AR187" i="11"/>
  <c r="AM187" i="11" s="1"/>
  <c r="AS187" i="11"/>
  <c r="AN187" i="11" s="1"/>
  <c r="AQ187" i="11"/>
  <c r="AL187" i="11" s="1"/>
  <c r="AR83" i="11"/>
  <c r="AM83" i="11" s="1"/>
  <c r="AR86" i="11"/>
  <c r="AM86" i="11" s="1"/>
  <c r="AR98" i="11"/>
  <c r="AM98" i="11" s="1"/>
  <c r="AT98" i="11"/>
  <c r="AO98" i="11" s="1"/>
  <c r="AQ101" i="11"/>
  <c r="AL101" i="11" s="1"/>
  <c r="AT145" i="11"/>
  <c r="AO145" i="11" s="1"/>
  <c r="AS145" i="11"/>
  <c r="AN145" i="11" s="1"/>
  <c r="AR145" i="11"/>
  <c r="AM145" i="11" s="1"/>
  <c r="AQ145" i="11"/>
  <c r="AL145" i="11" s="1"/>
  <c r="AQ74" i="11"/>
  <c r="AL74" i="11" s="1"/>
  <c r="AS83" i="11"/>
  <c r="AN83" i="11" s="1"/>
  <c r="AS86" i="11"/>
  <c r="AN86" i="11" s="1"/>
  <c r="AQ90" i="11"/>
  <c r="AL90" i="11" s="1"/>
  <c r="AR101" i="11"/>
  <c r="AM101" i="11" s="1"/>
  <c r="AS128" i="11"/>
  <c r="AN128" i="11" s="1"/>
  <c r="AS158" i="11"/>
  <c r="AN158" i="11" s="1"/>
  <c r="AR158" i="11"/>
  <c r="AM158" i="11" s="1"/>
  <c r="AT158" i="11"/>
  <c r="AO158" i="11" s="1"/>
  <c r="AQ158" i="11"/>
  <c r="AL158" i="11" s="1"/>
  <c r="AS168" i="11"/>
  <c r="AN168" i="11" s="1"/>
  <c r="AS191" i="11"/>
  <c r="AN191" i="11" s="1"/>
  <c r="AQ191" i="11"/>
  <c r="AL191" i="11" s="1"/>
  <c r="AT191" i="11"/>
  <c r="AO191" i="11" s="1"/>
  <c r="AR191" i="11"/>
  <c r="AM191" i="11" s="1"/>
  <c r="AS126" i="11"/>
  <c r="AN126" i="11" s="1"/>
  <c r="AR126" i="11"/>
  <c r="AM126" i="11" s="1"/>
  <c r="AT126" i="11"/>
  <c r="AO126" i="11" s="1"/>
  <c r="AQ126" i="11"/>
  <c r="AL126" i="11" s="1"/>
  <c r="AR178" i="11"/>
  <c r="AM178" i="11" s="1"/>
  <c r="AT178" i="11"/>
  <c r="AO178" i="11" s="1"/>
  <c r="AQ178" i="11"/>
  <c r="AL178" i="11" s="1"/>
  <c r="AS183" i="11"/>
  <c r="AN183" i="11" s="1"/>
  <c r="AQ183" i="11"/>
  <c r="AL183" i="11" s="1"/>
  <c r="AT183" i="11"/>
  <c r="AO183" i="11" s="1"/>
  <c r="AR183" i="11"/>
  <c r="AM183" i="11" s="1"/>
  <c r="AS186" i="11"/>
  <c r="AN186" i="11" s="1"/>
  <c r="AQ186" i="11"/>
  <c r="AL186" i="11" s="1"/>
  <c r="AT186" i="11"/>
  <c r="AO186" i="11" s="1"/>
  <c r="AR186" i="11"/>
  <c r="AM186" i="11" s="1"/>
  <c r="AR116" i="11"/>
  <c r="AM116" i="11" s="1"/>
  <c r="AT142" i="11"/>
  <c r="AO142" i="11" s="1"/>
  <c r="AT148" i="11"/>
  <c r="AO148" i="11" s="1"/>
  <c r="AR148" i="11"/>
  <c r="AM148" i="11" s="1"/>
  <c r="AT203" i="11"/>
  <c r="AO203" i="11" s="1"/>
  <c r="AS203" i="11"/>
  <c r="AN203" i="11" s="1"/>
  <c r="AR203" i="11"/>
  <c r="AM203" i="11" s="1"/>
  <c r="AQ203" i="11"/>
  <c r="AL203" i="11" s="1"/>
  <c r="AR144" i="11"/>
  <c r="AM144" i="11" s="1"/>
  <c r="AT144" i="11"/>
  <c r="AO144" i="11" s="1"/>
  <c r="AT152" i="11"/>
  <c r="AO152" i="11" s="1"/>
  <c r="AS152" i="11"/>
  <c r="AN152" i="11" s="1"/>
  <c r="AR152" i="11"/>
  <c r="AM152" i="11" s="1"/>
  <c r="AQ152" i="11"/>
  <c r="AL152" i="11" s="1"/>
  <c r="AR185" i="11"/>
  <c r="AM185" i="11" s="1"/>
  <c r="AT185" i="11"/>
  <c r="AO185" i="11" s="1"/>
  <c r="AS185" i="11"/>
  <c r="AN185" i="11" s="1"/>
  <c r="AQ185" i="11"/>
  <c r="AL185" i="11" s="1"/>
  <c r="AT217" i="11"/>
  <c r="AO217" i="11" s="1"/>
  <c r="AR217" i="11"/>
  <c r="AM217" i="11" s="1"/>
  <c r="AQ217" i="11"/>
  <c r="AL217" i="11" s="1"/>
  <c r="AS217" i="11"/>
  <c r="AN217" i="11" s="1"/>
  <c r="AS119" i="11"/>
  <c r="AN119" i="11" s="1"/>
  <c r="AR119" i="11"/>
  <c r="AM119" i="11" s="1"/>
  <c r="AT119" i="11"/>
  <c r="AO119" i="11" s="1"/>
  <c r="AT129" i="11"/>
  <c r="AO129" i="11" s="1"/>
  <c r="AS129" i="11"/>
  <c r="AN129" i="11" s="1"/>
  <c r="AQ129" i="11"/>
  <c r="AL129" i="11" s="1"/>
  <c r="AS130" i="11"/>
  <c r="AN130" i="11" s="1"/>
  <c r="AR130" i="11"/>
  <c r="AM130" i="11" s="1"/>
  <c r="AT138" i="11"/>
  <c r="AO138" i="11" s="1"/>
  <c r="AS138" i="11"/>
  <c r="AN138" i="11" s="1"/>
  <c r="AS150" i="11"/>
  <c r="AN150" i="11" s="1"/>
  <c r="AT150" i="11"/>
  <c r="AO150" i="11" s="1"/>
  <c r="AR150" i="11"/>
  <c r="AM150" i="11" s="1"/>
  <c r="AR151" i="11"/>
  <c r="AM151" i="11" s="1"/>
  <c r="AQ151" i="11"/>
  <c r="AL151" i="11" s="1"/>
  <c r="AT151" i="11"/>
  <c r="AO151" i="11" s="1"/>
  <c r="AQ164" i="11"/>
  <c r="AL164" i="11" s="1"/>
  <c r="AS164" i="11"/>
  <c r="AN164" i="11" s="1"/>
  <c r="AS180" i="11"/>
  <c r="AN180" i="11" s="1"/>
  <c r="AQ180" i="11"/>
  <c r="AL180" i="11" s="1"/>
  <c r="AT180" i="11"/>
  <c r="AO180" i="11" s="1"/>
  <c r="AR180" i="11"/>
  <c r="AM180" i="11" s="1"/>
  <c r="AS200" i="11"/>
  <c r="AN200" i="11" s="1"/>
  <c r="AQ200" i="11"/>
  <c r="AL200" i="11" s="1"/>
  <c r="AT200" i="11"/>
  <c r="AO200" i="11" s="1"/>
  <c r="AR200" i="11"/>
  <c r="AM200" i="11" s="1"/>
  <c r="AS146" i="11"/>
  <c r="AN146" i="11" s="1"/>
  <c r="AS197" i="11"/>
  <c r="AN197" i="11" s="1"/>
  <c r="AQ197" i="11"/>
  <c r="AL197" i="11" s="1"/>
  <c r="AT197" i="11"/>
  <c r="AO197" i="11" s="1"/>
  <c r="AR197" i="11"/>
  <c r="AM197" i="11" s="1"/>
  <c r="AT134" i="11"/>
  <c r="AO134" i="11" s="1"/>
  <c r="AS134" i="11"/>
  <c r="AN134" i="11" s="1"/>
  <c r="AR134" i="11"/>
  <c r="AM134" i="11" s="1"/>
  <c r="AR136" i="11"/>
  <c r="AM136" i="11" s="1"/>
  <c r="AQ136" i="11"/>
  <c r="AL136" i="11" s="1"/>
  <c r="AT137" i="11"/>
  <c r="AO137" i="11" s="1"/>
  <c r="AS137" i="11"/>
  <c r="AN137" i="11" s="1"/>
  <c r="AR137" i="11"/>
  <c r="AM137" i="11" s="1"/>
  <c r="AQ137" i="11"/>
  <c r="AL137" i="11" s="1"/>
  <c r="AT141" i="11"/>
  <c r="AO141" i="11" s="1"/>
  <c r="AS141" i="11"/>
  <c r="AN141" i="11" s="1"/>
  <c r="AR141" i="11"/>
  <c r="AM141" i="11" s="1"/>
  <c r="AQ144" i="11"/>
  <c r="AL144" i="11" s="1"/>
  <c r="AR156" i="11"/>
  <c r="AM156" i="11" s="1"/>
  <c r="AQ156" i="11"/>
  <c r="AL156" i="11" s="1"/>
  <c r="AT156" i="11"/>
  <c r="AO156" i="11" s="1"/>
  <c r="AS162" i="11"/>
  <c r="AN162" i="11" s="1"/>
  <c r="AR162" i="11"/>
  <c r="AM162" i="11" s="1"/>
  <c r="AT162" i="11"/>
  <c r="AO162" i="11" s="1"/>
  <c r="AT163" i="11"/>
  <c r="AO163" i="11" s="1"/>
  <c r="AS163" i="11"/>
  <c r="AN163" i="11" s="1"/>
  <c r="AR163" i="11"/>
  <c r="AM163" i="11" s="1"/>
  <c r="AQ163" i="11"/>
  <c r="AL163" i="11" s="1"/>
  <c r="AR164" i="11"/>
  <c r="AM164" i="11" s="1"/>
  <c r="AT189" i="11"/>
  <c r="AO189" i="11" s="1"/>
  <c r="AS189" i="11"/>
  <c r="AN189" i="11" s="1"/>
  <c r="AR189" i="11"/>
  <c r="AM189" i="11" s="1"/>
  <c r="AQ189" i="11"/>
  <c r="AL189" i="11" s="1"/>
  <c r="AS114" i="11"/>
  <c r="AN114" i="11" s="1"/>
  <c r="AT123" i="11"/>
  <c r="AO123" i="11" s="1"/>
  <c r="AS123" i="11"/>
  <c r="AN123" i="11" s="1"/>
  <c r="S132" i="11"/>
  <c r="AT133" i="11"/>
  <c r="AO133" i="11" s="1"/>
  <c r="AS133" i="11"/>
  <c r="AN133" i="11" s="1"/>
  <c r="AR133" i="11"/>
  <c r="AM133" i="11" s="1"/>
  <c r="AQ133" i="11"/>
  <c r="AL133" i="11" s="1"/>
  <c r="AR142" i="11"/>
  <c r="AM142" i="11" s="1"/>
  <c r="AS144" i="11"/>
  <c r="AN144" i="11" s="1"/>
  <c r="AQ149" i="11"/>
  <c r="AL149" i="11" s="1"/>
  <c r="AT149" i="11"/>
  <c r="AO149" i="11" s="1"/>
  <c r="AS149" i="11"/>
  <c r="AN149" i="11" s="1"/>
  <c r="AR149" i="11"/>
  <c r="AM149" i="11" s="1"/>
  <c r="AT155" i="11"/>
  <c r="AO155" i="11" s="1"/>
  <c r="AS155" i="11"/>
  <c r="AN155" i="11" s="1"/>
  <c r="AQ155" i="11"/>
  <c r="AL155" i="11" s="1"/>
  <c r="AT164" i="11"/>
  <c r="AO164" i="11" s="1"/>
  <c r="AR196" i="11"/>
  <c r="AM196" i="11" s="1"/>
  <c r="AT196" i="11"/>
  <c r="AO196" i="11" s="1"/>
  <c r="AS196" i="11"/>
  <c r="AN196" i="11" s="1"/>
  <c r="AQ196" i="11"/>
  <c r="AL196" i="11" s="1"/>
  <c r="S153" i="11"/>
  <c r="AR175" i="11"/>
  <c r="AM175" i="11" s="1"/>
  <c r="AT175" i="11"/>
  <c r="AO175" i="11" s="1"/>
  <c r="AS175" i="11"/>
  <c r="AN175" i="11" s="1"/>
  <c r="AT201" i="11"/>
  <c r="AO201" i="11" s="1"/>
  <c r="AR201" i="11"/>
  <c r="AM201" i="11" s="1"/>
  <c r="AQ201" i="11"/>
  <c r="AL201" i="11" s="1"/>
  <c r="AT207" i="11"/>
  <c r="AO207" i="11" s="1"/>
  <c r="AS207" i="11"/>
  <c r="AN207" i="11" s="1"/>
  <c r="AR207" i="11"/>
  <c r="AM207" i="11" s="1"/>
  <c r="AQ207" i="11"/>
  <c r="AL207" i="11" s="1"/>
  <c r="AT208" i="11"/>
  <c r="AO208" i="11" s="1"/>
  <c r="AS208" i="11"/>
  <c r="AN208" i="11" s="1"/>
  <c r="AR208" i="11"/>
  <c r="AM208" i="11" s="1"/>
  <c r="AQ208" i="11"/>
  <c r="AL208" i="11" s="1"/>
  <c r="AT209" i="11"/>
  <c r="AO209" i="11" s="1"/>
  <c r="AS209" i="11"/>
  <c r="AN209" i="11" s="1"/>
  <c r="AR209" i="11"/>
  <c r="AM209" i="11" s="1"/>
  <c r="AQ209" i="11"/>
  <c r="AL209" i="11" s="1"/>
  <c r="AT210" i="11"/>
  <c r="AO210" i="11" s="1"/>
  <c r="AS210" i="11"/>
  <c r="AN210" i="11" s="1"/>
  <c r="AR210" i="11"/>
  <c r="AM210" i="11" s="1"/>
  <c r="AQ210" i="11"/>
  <c r="AL210" i="11" s="1"/>
  <c r="AT211" i="11"/>
  <c r="AO211" i="11" s="1"/>
  <c r="AS211" i="11"/>
  <c r="AN211" i="11" s="1"/>
  <c r="AR211" i="11"/>
  <c r="AM211" i="11" s="1"/>
  <c r="AQ211" i="11"/>
  <c r="AL211" i="11" s="1"/>
  <c r="AT212" i="11"/>
  <c r="AO212" i="11" s="1"/>
  <c r="AS212" i="11"/>
  <c r="AN212" i="11" s="1"/>
  <c r="AR212" i="11"/>
  <c r="AM212" i="11" s="1"/>
  <c r="AQ212" i="11"/>
  <c r="AL212" i="11" s="1"/>
  <c r="AT213" i="11"/>
  <c r="AO213" i="11" s="1"/>
  <c r="AS213" i="11"/>
  <c r="AN213" i="11" s="1"/>
  <c r="AR213" i="11"/>
  <c r="AM213" i="11" s="1"/>
  <c r="AQ213" i="11"/>
  <c r="AL213" i="11" s="1"/>
  <c r="AT214" i="11"/>
  <c r="AO214" i="11" s="1"/>
  <c r="AS214" i="11"/>
  <c r="AN214" i="11" s="1"/>
  <c r="AR214" i="11"/>
  <c r="AM214" i="11" s="1"/>
  <c r="AQ214" i="11"/>
  <c r="AL214" i="11" s="1"/>
  <c r="AT215" i="11"/>
  <c r="AO215" i="11" s="1"/>
  <c r="AS215" i="11"/>
  <c r="AN215" i="11" s="1"/>
  <c r="AR215" i="11"/>
  <c r="AM215" i="11" s="1"/>
  <c r="AQ215" i="11"/>
  <c r="AL215" i="11" s="1"/>
  <c r="AR165" i="11"/>
  <c r="AM165" i="11" s="1"/>
  <c r="AS201" i="11"/>
  <c r="AN201" i="11" s="1"/>
  <c r="AQ118" i="11"/>
  <c r="AL118" i="11" s="1"/>
  <c r="AQ122" i="11"/>
  <c r="AL122" i="11" s="1"/>
  <c r="AQ143" i="11"/>
  <c r="AL143" i="11" s="1"/>
  <c r="S157" i="11"/>
  <c r="AQ159" i="11"/>
  <c r="AL159" i="11" s="1"/>
  <c r="AS165" i="11"/>
  <c r="AN165" i="11" s="1"/>
  <c r="AR176" i="11"/>
  <c r="AM176" i="11" s="1"/>
  <c r="AT176" i="11"/>
  <c r="AO176" i="11" s="1"/>
  <c r="AS176" i="11"/>
  <c r="AN176" i="11" s="1"/>
  <c r="AQ140" i="11"/>
  <c r="AL140" i="11" s="1"/>
  <c r="AR143" i="11"/>
  <c r="AM143" i="11" s="1"/>
  <c r="AQ154" i="11"/>
  <c r="AL154" i="11" s="1"/>
  <c r="AR159" i="11"/>
  <c r="AM159" i="11" s="1"/>
  <c r="AT165" i="11"/>
  <c r="AO165" i="11" s="1"/>
  <c r="AR167" i="11"/>
  <c r="AM167" i="11" s="1"/>
  <c r="AR179" i="11"/>
  <c r="AM179" i="11" s="1"/>
  <c r="AT179" i="11"/>
  <c r="AO179" i="11" s="1"/>
  <c r="AS179" i="11"/>
  <c r="AN179" i="11" s="1"/>
  <c r="S193" i="11"/>
  <c r="AT194" i="11"/>
  <c r="AO194" i="11" s="1"/>
  <c r="AR194" i="11"/>
  <c r="AM194" i="11" s="1"/>
  <c r="AQ194" i="11"/>
  <c r="AL194" i="11" s="1"/>
  <c r="AS205" i="11"/>
  <c r="AN205" i="11" s="1"/>
  <c r="AR205" i="11"/>
  <c r="AM205" i="11" s="1"/>
  <c r="AQ205" i="11"/>
  <c r="AL205" i="11" s="1"/>
  <c r="AQ124" i="11"/>
  <c r="AL124" i="11" s="1"/>
  <c r="AR140" i="11"/>
  <c r="AM140" i="11" s="1"/>
  <c r="AS143" i="11"/>
  <c r="AN143" i="11" s="1"/>
  <c r="AR147" i="11"/>
  <c r="AM147" i="11" s="1"/>
  <c r="AR154" i="11"/>
  <c r="AM154" i="11" s="1"/>
  <c r="AS159" i="11"/>
  <c r="AN159" i="11" s="1"/>
  <c r="AS167" i="11"/>
  <c r="AN167" i="11" s="1"/>
  <c r="AS169" i="11"/>
  <c r="AN169" i="11" s="1"/>
  <c r="AR169" i="11"/>
  <c r="AM169" i="11" s="1"/>
  <c r="AQ169" i="11"/>
  <c r="AL169" i="11" s="1"/>
  <c r="AT169" i="11"/>
  <c r="AO169" i="11" s="1"/>
  <c r="AR174" i="11"/>
  <c r="AM174" i="11" s="1"/>
  <c r="AT174" i="11"/>
  <c r="AO174" i="11" s="1"/>
  <c r="AS174" i="11"/>
  <c r="AN174" i="11" s="1"/>
  <c r="S192" i="11"/>
  <c r="AT219" i="11"/>
  <c r="AO219" i="11" s="1"/>
  <c r="AR219" i="11"/>
  <c r="AM219" i="11" s="1"/>
  <c r="AQ219" i="11"/>
  <c r="AL219" i="11" s="1"/>
  <c r="AT154" i="11"/>
  <c r="AO154" i="11" s="1"/>
  <c r="S161" i="11"/>
  <c r="AR177" i="11"/>
  <c r="AM177" i="11" s="1"/>
  <c r="AT177" i="11"/>
  <c r="AO177" i="11" s="1"/>
  <c r="AS177" i="11"/>
  <c r="AN177" i="11" s="1"/>
  <c r="AT190" i="11"/>
  <c r="AO190" i="11" s="1"/>
  <c r="AS190" i="11"/>
  <c r="AN190" i="11" s="1"/>
  <c r="AR190" i="11"/>
  <c r="AM190" i="11" s="1"/>
  <c r="AQ190" i="11"/>
  <c r="AL190" i="11" s="1"/>
  <c r="AS204" i="11"/>
  <c r="AN204" i="11" s="1"/>
  <c r="AQ204" i="11"/>
  <c r="AL204" i="11" s="1"/>
  <c r="AT204" i="11"/>
  <c r="AO204" i="11" s="1"/>
  <c r="AT205" i="11"/>
  <c r="AO205" i="11" s="1"/>
  <c r="AT218" i="11"/>
  <c r="AO218" i="11" s="1"/>
  <c r="AR218" i="11"/>
  <c r="AM218" i="11" s="1"/>
  <c r="AQ218" i="11"/>
  <c r="AL218" i="11" s="1"/>
  <c r="AS219" i="11"/>
  <c r="AN219" i="11" s="1"/>
  <c r="AQ195" i="11"/>
  <c r="AL195" i="11" s="1"/>
  <c r="AS216" i="11"/>
  <c r="AN216" i="11" s="1"/>
  <c r="AR184" i="11"/>
  <c r="AM184" i="11" s="1"/>
  <c r="AR195" i="11"/>
  <c r="AM195" i="11" s="1"/>
  <c r="AQ198" i="11"/>
  <c r="AL198" i="11" s="1"/>
  <c r="AQ202" i="11"/>
  <c r="AL202" i="11" s="1"/>
  <c r="AQ206" i="11"/>
  <c r="AL206" i="11" s="1"/>
  <c r="AS184" i="11"/>
  <c r="AN184" i="11" s="1"/>
  <c r="AR188" i="11"/>
  <c r="AM188" i="11" s="1"/>
  <c r="AS195" i="11"/>
  <c r="AN195" i="11" s="1"/>
  <c r="AR198" i="11"/>
  <c r="AM198" i="11" s="1"/>
  <c r="AR202" i="11"/>
  <c r="AM202" i="11" s="1"/>
  <c r="AR206" i="11"/>
  <c r="AM206" i="11" s="1"/>
  <c r="AQ220" i="11"/>
  <c r="AL220" i="11" s="1"/>
  <c r="AS206" i="11"/>
  <c r="AN206" i="11" s="1"/>
  <c r="AR220" i="11"/>
  <c r="AM220" i="11" s="1"/>
  <c r="AS220" i="11"/>
  <c r="AN220" i="11" s="1"/>
  <c r="AR171" i="11"/>
  <c r="AM171" i="11" s="1"/>
  <c r="AR132" i="11" l="1"/>
  <c r="AM132" i="11" s="1"/>
  <c r="AQ132" i="11"/>
  <c r="AL132" i="11" s="1"/>
  <c r="AT132" i="11"/>
  <c r="AO132" i="11" s="1"/>
  <c r="AS132" i="11"/>
  <c r="AN132" i="11" s="1"/>
  <c r="AT192" i="11"/>
  <c r="AO192" i="11" s="1"/>
  <c r="AR192" i="11"/>
  <c r="AM192" i="11" s="1"/>
  <c r="AQ192" i="11"/>
  <c r="AL192" i="11" s="1"/>
  <c r="AS192" i="11"/>
  <c r="AN192" i="11" s="1"/>
  <c r="AQ161" i="11"/>
  <c r="AL161" i="11" s="1"/>
  <c r="AT161" i="11"/>
  <c r="AO161" i="11" s="1"/>
  <c r="AS161" i="11"/>
  <c r="AN161" i="11" s="1"/>
  <c r="AR161" i="11"/>
  <c r="AM161" i="11" s="1"/>
  <c r="AQ157" i="11"/>
  <c r="AL157" i="11" s="1"/>
  <c r="AT157" i="11"/>
  <c r="AO157" i="11" s="1"/>
  <c r="AS157" i="11"/>
  <c r="AN157" i="11" s="1"/>
  <c r="AR157" i="11"/>
  <c r="AM157" i="11" s="1"/>
  <c r="AQ153" i="11"/>
  <c r="AL153" i="11" s="1"/>
  <c r="AS153" i="11"/>
  <c r="AN153" i="11" s="1"/>
  <c r="AT153" i="11"/>
  <c r="AO153" i="11" s="1"/>
  <c r="AR153" i="11"/>
  <c r="AM153" i="11" s="1"/>
  <c r="AT193" i="11"/>
  <c r="AO193" i="11" s="1"/>
  <c r="AR193" i="11"/>
  <c r="AM193" i="11" s="1"/>
  <c r="AQ193" i="11"/>
  <c r="AL193" i="11" s="1"/>
  <c r="AS193" i="11"/>
  <c r="AN19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U.S. EPA User or Contractor</author>
  </authors>
  <commentList>
    <comment ref="AL1" authorId="0" shapeId="0" xr:uid="{7FB2299A-618A-4879-AAA8-DE18A0AC0073}">
      <text>
        <r>
          <rPr>
            <b/>
            <sz val="9"/>
            <color indexed="81"/>
            <rFont val="Tahoma"/>
            <family val="2"/>
          </rPr>
          <t>U.S. EPA User or Contractor: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Copy/paste-special "calculation" cells into "concentration cells.  Find/replace "y " and "FALSE" with nothing.  </t>
        </r>
      </text>
    </comment>
  </commentList>
</comments>
</file>

<file path=xl/sharedStrings.xml><?xml version="1.0" encoding="utf-8"?>
<sst xmlns="http://schemas.openxmlformats.org/spreadsheetml/2006/main" count="4332" uniqueCount="278">
  <si>
    <t>Date</t>
  </si>
  <si>
    <t>Mesocosm 1 Treat 1</t>
  </si>
  <si>
    <t>Mesocosm 2 Control 1</t>
  </si>
  <si>
    <t>Mesocosm 3 Control 2</t>
  </si>
  <si>
    <t>Mesocosm 4 Treat 2</t>
  </si>
  <si>
    <t>AVG</t>
  </si>
  <si>
    <t>Glucose</t>
  </si>
  <si>
    <t>Microcystis</t>
  </si>
  <si>
    <t>TIME (HH:MM:SS)</t>
  </si>
  <si>
    <t>COND µS/CM</t>
  </si>
  <si>
    <t>TDS MG/L</t>
  </si>
  <si>
    <t>ODO % SAT</t>
  </si>
  <si>
    <t>TURBIDITY FNU</t>
  </si>
  <si>
    <t>MEAN VALUE:</t>
  </si>
  <si>
    <t>T-test</t>
  </si>
  <si>
    <t>Control</t>
  </si>
  <si>
    <t>Week</t>
  </si>
  <si>
    <t>Planktothrix Treated vs. Control</t>
  </si>
  <si>
    <t>Microcystis Treated vs. Control</t>
  </si>
  <si>
    <t>Treatment</t>
  </si>
  <si>
    <t>Total Dissolved Solids (mg/L)</t>
  </si>
  <si>
    <t>Dissolved Oxygen (percent saturation)</t>
  </si>
  <si>
    <t>Conductivity (µS/CM)</t>
  </si>
  <si>
    <t>Turbidity (formazin nephelometric units)</t>
  </si>
  <si>
    <t>Site</t>
  </si>
  <si>
    <t>Date Sampled</t>
  </si>
  <si>
    <t>Time</t>
  </si>
  <si>
    <t>Date Analyzed</t>
  </si>
  <si>
    <r>
      <t>Microcystin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g/L)</t>
    </r>
  </si>
  <si>
    <t>&lt;0.05</t>
  </si>
  <si>
    <t>T1B</t>
  </si>
  <si>
    <t>C1A</t>
  </si>
  <si>
    <t>C1B</t>
  </si>
  <si>
    <t>T2A</t>
  </si>
  <si>
    <t>T2B</t>
  </si>
  <si>
    <t>C2A</t>
  </si>
  <si>
    <t>C2B</t>
  </si>
  <si>
    <t>T1A</t>
  </si>
  <si>
    <t>Test measurements (units)</t>
  </si>
  <si>
    <t>p-value</t>
  </si>
  <si>
    <t>TABLE</t>
  </si>
  <si>
    <t>Collection Date (CDATE)</t>
  </si>
  <si>
    <t>Collection Time (CTIME)</t>
  </si>
  <si>
    <t>site id (ID)</t>
  </si>
  <si>
    <t>long id (SUBID)</t>
  </si>
  <si>
    <t>CRoss id (POS)</t>
  </si>
  <si>
    <t>REP#</t>
  </si>
  <si>
    <t>MATRIX</t>
  </si>
  <si>
    <t>TYPE</t>
  </si>
  <si>
    <t>Analyte Name (ANALY)</t>
  </si>
  <si>
    <t>Autosampler-Cup Number (CUP)</t>
  </si>
  <si>
    <t>Analyte Detection Date (DDATE)</t>
  </si>
  <si>
    <t>Analyte Detection Time (DTIME)</t>
  </si>
  <si>
    <t>Dilution Factor</t>
  </si>
  <si>
    <t>METHOD</t>
  </si>
  <si>
    <t>Peak Area (PAREA)</t>
  </si>
  <si>
    <t>Peak Height (PHT)</t>
  </si>
  <si>
    <t>Peak Concentration (CONC)</t>
  </si>
  <si>
    <t>UNIT</t>
  </si>
  <si>
    <t>Peak Concentration (corrected for dilution factor)</t>
  </si>
  <si>
    <t>Calibration Equation (CALEQ)</t>
  </si>
  <si>
    <t>QC-Recover (QCREC)</t>
  </si>
  <si>
    <t>QC-Actual (QCACT)</t>
  </si>
  <si>
    <t>QC-Flag (QCFLAG)</t>
  </si>
  <si>
    <t>QC-Equation (QCEQ)</t>
  </si>
  <si>
    <t>Run file</t>
  </si>
  <si>
    <t>NOTES</t>
  </si>
  <si>
    <t>mm</t>
  </si>
  <si>
    <t>dd</t>
  </si>
  <si>
    <t>m/d/</t>
  </si>
  <si>
    <t>PasteAsValue</t>
  </si>
  <si>
    <t>TP-TN Cal Curve ID</t>
  </si>
  <si>
    <t>TP adjusted concentration &lt;150 ppb (ug P/L)</t>
  </si>
  <si>
    <t>TP adjusted concentration &lt;300 ppb (ug P/L)</t>
  </si>
  <si>
    <t>TP adjusted concentration &lt;500 ppb (ug P/L)</t>
  </si>
  <si>
    <t>TN adjusted concentration &lt;2800 ppb (ug P/L)</t>
  </si>
  <si>
    <t>TP-TN adjusted concentration full series (ug P/L)</t>
  </si>
  <si>
    <t>TP calculation &lt;150 ppb (ug P/L)</t>
  </si>
  <si>
    <t>TP calculation &lt;300 ppb (ug P/L)</t>
  </si>
  <si>
    <t>TP calculation &lt;500 ppb (ug P/L)</t>
  </si>
  <si>
    <t>TN calculation &lt;2800 ppb (ug P/L)</t>
  </si>
  <si>
    <t>TP-TN calculation full series (ug P/L)</t>
  </si>
  <si>
    <t>TP calibration eq &lt; 150 ppb</t>
  </si>
  <si>
    <t>TP calibration eq &lt;300 ppb</t>
  </si>
  <si>
    <t>TP calibration eq &lt;500 ppb</t>
  </si>
  <si>
    <t>TN calibration eq &lt;2800 ppb</t>
  </si>
  <si>
    <t>TP-TN calibration eq full series ppb</t>
  </si>
  <si>
    <t>Combined ID</t>
  </si>
  <si>
    <t>QAC</t>
  </si>
  <si>
    <t>STD</t>
  </si>
  <si>
    <t>H</t>
  </si>
  <si>
    <t>DI</t>
  </si>
  <si>
    <t>CAL</t>
  </si>
  <si>
    <t>TNH4</t>
  </si>
  <si>
    <t>N-1.1</t>
  </si>
  <si>
    <t>ug-N/L</t>
  </si>
  <si>
    <t>Conc = 0.00 * Area^2 + 0.00 * Area + 0.00</t>
  </si>
  <si>
    <t/>
  </si>
  <si>
    <t>TRUE</t>
  </si>
  <si>
    <t>OM_7-24-2024_12-06-20PM-adj (8500).OMN</t>
  </si>
  <si>
    <t>G</t>
  </si>
  <si>
    <t>Conc = 130 * Area^2 - 2.38 * Area + 0.00</t>
  </si>
  <si>
    <t>F</t>
  </si>
  <si>
    <t>Conc = 6.11 * Area^2 + 47.1 * Area + 0.00</t>
  </si>
  <si>
    <t>E</t>
  </si>
  <si>
    <t>Conc = 4.44 * Area^2 + 48.7 * Area + 0.00</t>
  </si>
  <si>
    <t>D</t>
  </si>
  <si>
    <t>Conc = - 0.359 * Area^2 + 54.8 * Area + 0.00</t>
  </si>
  <si>
    <t>C</t>
  </si>
  <si>
    <t>Conc = - 0.0121 * Area^2 + 53.0 * Area + 0.00</t>
  </si>
  <si>
    <t>B</t>
  </si>
  <si>
    <t>Conc = 0.0729 * Area^2 + 52.2 * Area + 0.00</t>
  </si>
  <si>
    <t>A</t>
  </si>
  <si>
    <t>Conc = 0.0704 * Area^2 + 52.3 * Area + 0.00</t>
  </si>
  <si>
    <t>BLK</t>
  </si>
  <si>
    <t>LAB</t>
  </si>
  <si>
    <t>nominal concentration</t>
  </si>
  <si>
    <t>SPK</t>
  </si>
  <si>
    <t>([spikedunkn]-[unkn])/[spike]*100</t>
  </si>
  <si>
    <t>22A</t>
  </si>
  <si>
    <t>PER</t>
  </si>
  <si>
    <t>[per]/[actual]*100</t>
  </si>
  <si>
    <t>CHK</t>
  </si>
  <si>
    <t>[chk]/[actual]*100</t>
  </si>
  <si>
    <t>T1ANF</t>
  </si>
  <si>
    <t>SW</t>
  </si>
  <si>
    <t>UKN</t>
  </si>
  <si>
    <t>T1BNF</t>
  </si>
  <si>
    <t>C1ANF</t>
  </si>
  <si>
    <t>C1BNF</t>
  </si>
  <si>
    <t>T2ANF</t>
  </si>
  <si>
    <t>T2BNF</t>
  </si>
  <si>
    <t>C2ANF</t>
  </si>
  <si>
    <t>C2BNF</t>
  </si>
  <si>
    <t>DUP</t>
  </si>
  <si>
    <t>((ABS(rep1-rep2))/((rep1+rep2)/2)*100</t>
  </si>
  <si>
    <t>T1AF</t>
  </si>
  <si>
    <t>FIL</t>
  </si>
  <si>
    <t>NH4</t>
  </si>
  <si>
    <t>T1BF</t>
  </si>
  <si>
    <t>C1AF</t>
  </si>
  <si>
    <t>C1BF</t>
  </si>
  <si>
    <t>T2AF</t>
  </si>
  <si>
    <t>T2BF</t>
  </si>
  <si>
    <t>C2AF</t>
  </si>
  <si>
    <t>C2BF</t>
  </si>
  <si>
    <t>FLD</t>
  </si>
  <si>
    <t>FALSE</t>
  </si>
  <si>
    <t>TRP</t>
  </si>
  <si>
    <t>P-1.0</t>
  </si>
  <si>
    <t>ug-P/L</t>
  </si>
  <si>
    <t>Conc = 0.00 * Area + 0.00</t>
  </si>
  <si>
    <t>Conc = 142 * Area + 0.00</t>
  </si>
  <si>
    <t>Conc = 173 * Area + 0.00</t>
  </si>
  <si>
    <t>Conc = 181 * Area + 0.00</t>
  </si>
  <si>
    <t>Conc = 180 * Area + 0.00</t>
  </si>
  <si>
    <t>Conc = 163 * Area + 0.00</t>
  </si>
  <si>
    <t>Conc = 176 * Area + 0.00</t>
  </si>
  <si>
    <t>Conc = 178 * Area + 0.00</t>
  </si>
  <si>
    <t>24A</t>
  </si>
  <si>
    <t>22B</t>
  </si>
  <si>
    <t>OM_7-24-2024_03-42-09PM-adj (8500).OMN</t>
  </si>
  <si>
    <t>DRP</t>
  </si>
  <si>
    <t>TNO2-3</t>
  </si>
  <si>
    <t>N-1.0</t>
  </si>
  <si>
    <t>Conc = 114 * Area - 1.37</t>
  </si>
  <si>
    <t>Conc = 116 * Area - 1.59</t>
  </si>
  <si>
    <t>Conc = 118 * Area - 1.76</t>
  </si>
  <si>
    <t>Conc = 118 * Area - 1.79</t>
  </si>
  <si>
    <t>Conc = 117 * Area - 1.59</t>
  </si>
  <si>
    <t>Conc = 117 * Area - 1.37</t>
  </si>
  <si>
    <t>Conc = 115 * Area + 1.74</t>
  </si>
  <si>
    <t>NO2</t>
  </si>
  <si>
    <t>NO2-3</t>
  </si>
  <si>
    <t>D.H</t>
  </si>
  <si>
    <t>TN</t>
  </si>
  <si>
    <t>N-1.2</t>
  </si>
  <si>
    <t>ug N/L</t>
  </si>
  <si>
    <t>OM_7-26-2024_10-17-23AMadj (8500).OMN</t>
  </si>
  <si>
    <t>D.G</t>
  </si>
  <si>
    <t>D.F</t>
  </si>
  <si>
    <t>Conc = - 66.8 * Area^2 + 260 * Area - 129</t>
  </si>
  <si>
    <t>D.E</t>
  </si>
  <si>
    <t>Conc = 46.7 * Area^2 - 34.6 * Area + 15.7</t>
  </si>
  <si>
    <t>D.D</t>
  </si>
  <si>
    <t>Conc = 3.56 * Area^2 + 141 * Area - 96.8</t>
  </si>
  <si>
    <t>D.C</t>
  </si>
  <si>
    <t>Conc = - 1.26 * Area^2 + 181 * Area - 138</t>
  </si>
  <si>
    <t>D.B</t>
  </si>
  <si>
    <t>Conc = 1.19 * Area^2 + 144 * Area - 82.2</t>
  </si>
  <si>
    <t>D.A</t>
  </si>
  <si>
    <t>Conc = 0.835 * Area^2 + 151 * Area - 95.1</t>
  </si>
  <si>
    <t>REC</t>
  </si>
  <si>
    <t>GUP</t>
  </si>
  <si>
    <t>[rec]/[actual]*100</t>
  </si>
  <si>
    <t>ATP</t>
  </si>
  <si>
    <t>NIC</t>
  </si>
  <si>
    <t>TDN</t>
  </si>
  <si>
    <t>TP</t>
  </si>
  <si>
    <t>P-1.5</t>
  </si>
  <si>
    <t>ug P/L</t>
  </si>
  <si>
    <t>OM_7-24-2024_05-18-09PM-adj (8500).omn</t>
  </si>
  <si>
    <t>Conc = - 80.0 * Area + 47.4</t>
  </si>
  <si>
    <t>Conc = 58.3 * Area - 22.7</t>
  </si>
  <si>
    <t>Conc = 120 * Area - 56.2</t>
  </si>
  <si>
    <t>Conc = 170 * Area - 84.7</t>
  </si>
  <si>
    <t>Conc = 189 * Area - 96.3</t>
  </si>
  <si>
    <t>Conc = 200 * Area - 103</t>
  </si>
  <si>
    <t>Conc = 206 * Area - 106</t>
  </si>
  <si>
    <t>Q.H</t>
  </si>
  <si>
    <t>Conc = 205 * Area - 99.7</t>
  </si>
  <si>
    <t>Q.G</t>
  </si>
  <si>
    <t>Conc = 206 * Area - 109</t>
  </si>
  <si>
    <t>Q.F</t>
  </si>
  <si>
    <t>Conc = 205 * Area - 106</t>
  </si>
  <si>
    <t>Q.E</t>
  </si>
  <si>
    <t>Q.D</t>
  </si>
  <si>
    <t>Q.C</t>
  </si>
  <si>
    <t>Conc = 203 * Area - 106</t>
  </si>
  <si>
    <t>Q.B</t>
  </si>
  <si>
    <t>Conc = 204 * Area - 106</t>
  </si>
  <si>
    <t>Q.A</t>
  </si>
  <si>
    <t>Conc = 197 * Area - 93.9</t>
  </si>
  <si>
    <t>TDP</t>
  </si>
  <si>
    <t>Mean and STD</t>
  </si>
  <si>
    <t>ND</t>
  </si>
  <si>
    <t>Mean</t>
  </si>
  <si>
    <t>Treated</t>
  </si>
  <si>
    <t>&lt;0.001</t>
  </si>
  <si>
    <t>Analyte</t>
  </si>
  <si>
    <t>NM</t>
  </si>
  <si>
    <t>Unit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</si>
  <si>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g-N/L</t>
    </r>
  </si>
  <si>
    <t>µg-N/L</t>
  </si>
  <si>
    <t>µg-P/L</t>
  </si>
  <si>
    <t>µg N/L</t>
  </si>
  <si>
    <t>µg P/L</t>
  </si>
  <si>
    <t>Total Nitrate</t>
  </si>
  <si>
    <t>Nitrate</t>
  </si>
  <si>
    <t xml:space="preserve">Total Nitrogen </t>
  </si>
  <si>
    <t>Total Dissolved Nitrogen</t>
  </si>
  <si>
    <t xml:space="preserve">Total Phosphorus </t>
  </si>
  <si>
    <t xml:space="preserve">Total Dissolved Phosphorus </t>
  </si>
  <si>
    <t>Total Reactive Phosphorus</t>
  </si>
  <si>
    <t>Dissolved Reactive Phosphorus</t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</si>
  <si>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g-N/L</t>
    </r>
  </si>
  <si>
    <t>mg P/L</t>
  </si>
  <si>
    <t>Treated Mesocosm 1</t>
  </si>
  <si>
    <t>Treated Mesocosm 4</t>
  </si>
  <si>
    <t>Control Mesocosm 3</t>
  </si>
  <si>
    <t>Control Mesocosm 2</t>
  </si>
  <si>
    <t xml:space="preserve">Planktothrix </t>
  </si>
  <si>
    <t xml:space="preserve">Sum </t>
  </si>
  <si>
    <t>WEEK</t>
  </si>
  <si>
    <t>Sum</t>
  </si>
  <si>
    <t>Percent reduction</t>
  </si>
  <si>
    <t>%</t>
  </si>
  <si>
    <t>AVG Planktothrix x 10^2 Treated</t>
  </si>
  <si>
    <t>AVG Planktothrix x 10^2 Control</t>
  </si>
  <si>
    <t>AVG  Microcystis x 10^2 Treated</t>
  </si>
  <si>
    <t>AVG Microcystis x 10^2 Control</t>
  </si>
  <si>
    <t xml:space="preserve">Total Nitrate </t>
  </si>
  <si>
    <t xml:space="preserve">Nitrate </t>
  </si>
  <si>
    <t xml:space="preserve">Total Ammonium </t>
  </si>
  <si>
    <t xml:space="preserve">Ammonium </t>
  </si>
  <si>
    <t>BD</t>
  </si>
  <si>
    <t>Ammonium</t>
  </si>
  <si>
    <t>2-sided</t>
  </si>
  <si>
    <t>Enviroscience</t>
  </si>
  <si>
    <t xml:space="preserve"> H2O Blank</t>
  </si>
  <si>
    <t xml:space="preserve">T1A </t>
  </si>
  <si>
    <t>SD</t>
  </si>
  <si>
    <r>
      <t>Microcystin 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Calibri"/>
        <family val="2"/>
        <scheme val="minor"/>
      </rPr>
      <t>g/L)</t>
    </r>
  </si>
  <si>
    <t>Table</t>
  </si>
  <si>
    <t>AVG all</t>
  </si>
  <si>
    <t xml:space="preserve"> </t>
  </si>
  <si>
    <t>BSA Environmental</t>
  </si>
  <si>
    <t xml:space="preserve">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</si>
</sst>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"/>
    <numFmt numFmtId="165" formatCode="yyyymmdd"/>
    <numFmt numFmtId="166" formatCode="[$-409]h:mm:ss\ AM/PM;@"/>
    <numFmt numFmtId="167" formatCode="[$-F400]h:mm:ss\ AM/PM"/>
    <numFmt numFmtId="168" formatCode="0.000"/>
    <numFmt numFmtId="169" formatCode="0.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6" fontId="0" fillId="0" borderId="0" xfId="0" applyNumberFormat="1"/>
    <xf numFmtId="0" fontId="1" fillId="0" borderId="0" xfId="0" applyFont="1"/>
    <xf numFmtId="22" fontId="1" fillId="0" borderId="0" xfId="0" applyNumberFormat="1" applyFont="1"/>
    <xf numFmtId="19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0" fillId="0" borderId="2" xfId="0" applyNumberFormat="1" applyBorder="1" applyAlignment="1">
      <alignment horizontal="center" wrapText="1"/>
    </xf>
    <xf numFmtId="166" fontId="8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167" fontId="0" fillId="0" borderId="3" xfId="0" applyNumberForma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8" fontId="0" fillId="0" borderId="3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69" fontId="0" fillId="3" borderId="3" xfId="0" applyNumberFormat="1" applyFill="1" applyBorder="1" applyAlignment="1">
      <alignment horizontal="center" wrapText="1"/>
    </xf>
    <xf numFmtId="168" fontId="0" fillId="3" borderId="3" xfId="0" applyNumberFormat="1" applyFill="1" applyBorder="1" applyAlignment="1">
      <alignment horizontal="center" wrapText="1"/>
    </xf>
    <xf numFmtId="2" fontId="0" fillId="3" borderId="3" xfId="0" applyNumberForma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0" fillId="3" borderId="3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9" fontId="8" fillId="3" borderId="3" xfId="0" applyNumberFormat="1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9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" fontId="0" fillId="0" borderId="0" xfId="0" applyNumberFormat="1"/>
    <xf numFmtId="0" fontId="3" fillId="0" borderId="0" xfId="0" applyFont="1"/>
    <xf numFmtId="169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8" fontId="3" fillId="0" borderId="0" xfId="0" applyNumberFormat="1" applyFont="1"/>
    <xf numFmtId="2" fontId="3" fillId="0" borderId="0" xfId="0" applyNumberFormat="1" applyFont="1"/>
    <xf numFmtId="169" fontId="3" fillId="0" borderId="0" xfId="0" applyNumberFormat="1" applyFont="1" applyAlignment="1">
      <alignment horizontal="right"/>
    </xf>
    <xf numFmtId="168" fontId="0" fillId="0" borderId="0" xfId="0" applyNumberFormat="1"/>
    <xf numFmtId="9" fontId="0" fillId="0" borderId="0" xfId="0" applyNumberFormat="1"/>
    <xf numFmtId="168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/>
    <xf numFmtId="164" fontId="1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0" fontId="17" fillId="0" borderId="0" xfId="0" applyFont="1"/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Glucose!$C$2</c:f>
              <c:strCache>
                <c:ptCount val="1"/>
                <c:pt idx="0">
                  <c:v>Glucose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Glucose!$B$3:$B$17</c:f>
              <c:numCache>
                <c:formatCode>m/d/yyyy</c:formatCode>
                <c:ptCount val="15"/>
                <c:pt idx="0" formatCode="d\-mmm">
                  <c:v>45455</c:v>
                </c:pt>
                <c:pt idx="1">
                  <c:v>45457</c:v>
                </c:pt>
                <c:pt idx="2">
                  <c:v>45463</c:v>
                </c:pt>
                <c:pt idx="3" formatCode="d\-mmm">
                  <c:v>45464</c:v>
                </c:pt>
                <c:pt idx="4">
                  <c:v>45467</c:v>
                </c:pt>
                <c:pt idx="5" formatCode="d\-mmm">
                  <c:v>45471</c:v>
                </c:pt>
                <c:pt idx="6" formatCode="d\-mmm">
                  <c:v>45474</c:v>
                </c:pt>
                <c:pt idx="7">
                  <c:v>45476</c:v>
                </c:pt>
                <c:pt idx="8">
                  <c:v>45477</c:v>
                </c:pt>
                <c:pt idx="9">
                  <c:v>45479</c:v>
                </c:pt>
                <c:pt idx="10">
                  <c:v>45481</c:v>
                </c:pt>
                <c:pt idx="11">
                  <c:v>45483</c:v>
                </c:pt>
                <c:pt idx="12">
                  <c:v>45488</c:v>
                </c:pt>
                <c:pt idx="13">
                  <c:v>45491</c:v>
                </c:pt>
                <c:pt idx="14">
                  <c:v>45497</c:v>
                </c:pt>
              </c:numCache>
            </c:numRef>
          </c:xVal>
          <c:yVal>
            <c:numRef>
              <c:f>Glucose!$C$3:$C$17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25</c:v>
                </c:pt>
                <c:pt idx="12">
                  <c:v>0</c:v>
                </c:pt>
                <c:pt idx="13">
                  <c:v>150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4-43D6-B54A-B489B2C3D9C9}"/>
            </c:ext>
          </c:extLst>
        </c:ser>
        <c:ser>
          <c:idx val="1"/>
          <c:order val="1"/>
          <c:tx>
            <c:strRef>
              <c:f>Glucose!$D$2</c:f>
              <c:strCache>
                <c:ptCount val="1"/>
                <c:pt idx="0">
                  <c:v>Microcystis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xVal>
            <c:numRef>
              <c:f>Glucose!$B$3:$B$17</c:f>
              <c:numCache>
                <c:formatCode>m/d/yyyy</c:formatCode>
                <c:ptCount val="15"/>
                <c:pt idx="0" formatCode="d\-mmm">
                  <c:v>45455</c:v>
                </c:pt>
                <c:pt idx="1">
                  <c:v>45457</c:v>
                </c:pt>
                <c:pt idx="2">
                  <c:v>45463</c:v>
                </c:pt>
                <c:pt idx="3" formatCode="d\-mmm">
                  <c:v>45464</c:v>
                </c:pt>
                <c:pt idx="4">
                  <c:v>45467</c:v>
                </c:pt>
                <c:pt idx="5" formatCode="d\-mmm">
                  <c:v>45471</c:v>
                </c:pt>
                <c:pt idx="6" formatCode="d\-mmm">
                  <c:v>45474</c:v>
                </c:pt>
                <c:pt idx="7">
                  <c:v>45476</c:v>
                </c:pt>
                <c:pt idx="8">
                  <c:v>45477</c:v>
                </c:pt>
                <c:pt idx="9">
                  <c:v>45479</c:v>
                </c:pt>
                <c:pt idx="10">
                  <c:v>45481</c:v>
                </c:pt>
                <c:pt idx="11">
                  <c:v>45483</c:v>
                </c:pt>
                <c:pt idx="12">
                  <c:v>45488</c:v>
                </c:pt>
                <c:pt idx="13">
                  <c:v>45491</c:v>
                </c:pt>
                <c:pt idx="14">
                  <c:v>45497</c:v>
                </c:pt>
              </c:numCache>
            </c:numRef>
          </c:xVal>
          <c:yVal>
            <c:numRef>
              <c:f>Glucose!$D$3:$D$17</c:f>
              <c:numCache>
                <c:formatCode>0</c:formatCode>
                <c:ptCount val="1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77</c:v>
                </c:pt>
                <c:pt idx="4">
                  <c:v>34.5</c:v>
                </c:pt>
                <c:pt idx="5">
                  <c:v>163</c:v>
                </c:pt>
                <c:pt idx="6">
                  <c:v>253</c:v>
                </c:pt>
                <c:pt idx="7">
                  <c:v>253</c:v>
                </c:pt>
                <c:pt idx="8">
                  <c:v>253</c:v>
                </c:pt>
                <c:pt idx="9">
                  <c:v>253</c:v>
                </c:pt>
                <c:pt idx="10">
                  <c:v>253</c:v>
                </c:pt>
                <c:pt idx="11">
                  <c:v>248</c:v>
                </c:pt>
                <c:pt idx="12">
                  <c:v>248</c:v>
                </c:pt>
                <c:pt idx="13">
                  <c:v>248</c:v>
                </c:pt>
                <c:pt idx="14">
                  <c:v>133.5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4-43D6-B54A-B489B2C3D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861088"/>
        <c:axId val="1862882208"/>
      </c:scatterChart>
      <c:valAx>
        <c:axId val="186286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882208"/>
        <c:crosses val="autoZero"/>
        <c:crossBetween val="midCat"/>
      </c:valAx>
      <c:valAx>
        <c:axId val="18628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Glucose mg/100 ml (black dots) Microcystis cells x 102/ml (gray dots)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861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1</xdr:row>
      <xdr:rowOff>149225</xdr:rowOff>
    </xdr:from>
    <xdr:to>
      <xdr:col>13</xdr:col>
      <xdr:colOff>231775</xdr:colOff>
      <xdr:row>16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7B30A9-2DBE-487B-1F01-4C9A2072F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0.70695</cdr:x>
      <cdr:y>0.81482</cdr:y>
    </cdr:from>
    <cdr:to>
      <cdr:x>0.70833</cdr:x>
      <cdr:y>0.8912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C10A926-2EB4-CAFD-6A99-AFE13704E6C6}"/>
            </a:ext>
          </a:extLst>
        </cdr:cNvPr>
        <cdr:cNvCxnSpPr/>
      </cdr:nvCxnSpPr>
      <cdr:spPr>
        <a:xfrm xmlns:a="http://schemas.openxmlformats.org/drawingml/2006/main" flipH="1" flipV="1">
          <a:off x="3232170" y="2235213"/>
          <a:ext cx="6310" cy="20952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0.55834</cdr:x>
      <cdr:y>0.8125</cdr:y>
    </cdr:from>
    <cdr:to>
      <cdr:x>0.55973</cdr:x>
      <cdr:y>0.88889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BA325CCA-D374-B0D6-6E60-3A77F9BA2691}"/>
            </a:ext>
          </a:extLst>
        </cdr:cNvPr>
        <cdr:cNvCxnSpPr/>
      </cdr:nvCxnSpPr>
      <cdr:spPr>
        <a:xfrm xmlns:a="http://schemas.openxmlformats.org/drawingml/2006/main" flipH="1" flipV="1">
          <a:off x="2552710" y="2228861"/>
          <a:ext cx="6355" cy="20955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35</xdr:row>
      <xdr:rowOff>0</xdr:rowOff>
    </xdr:from>
    <xdr:to>
      <xdr:col>40</xdr:col>
      <xdr:colOff>241300</xdr:colOff>
      <xdr:row>52</xdr:row>
      <xdr:rowOff>148590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B7DBB2-7592-9236-B181-36754B27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1850" y="6889750"/>
          <a:ext cx="5943600" cy="3495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epa-my.sharepoint.com/personal/burkes_andrea_epa_gov/Documents/Desktop/Nutrient%20Data/2024_ESF-EFWS_NutrientData_Updated10012024_AKB.xlsx" TargetMode="External"/><Relationship Id="rId1" Type="http://schemas.openxmlformats.org/officeDocument/2006/relationships/externalLinkPath" Target="/personal/burkes_andrea_epa_gov/Documents/Desktop/Nutrient%20Data/2024_ESF-EFWS_NutrientData_Updated10012024_AK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Data"/>
      <sheetName val="TPCalibEq150"/>
      <sheetName val="TPCalibEq300"/>
      <sheetName val="TPCalibEq500"/>
      <sheetName val="TPCalibEqFull"/>
      <sheetName val="TNCalibEq2500"/>
      <sheetName val="TNCalibEqFull"/>
      <sheetName val="METADATA"/>
      <sheetName val="IDs"/>
      <sheetName val="QCEQUATIONS"/>
      <sheetName val="QCACTUAL"/>
      <sheetName val="QC Pivot"/>
      <sheetName val="ChangeLog"/>
    </sheetNames>
    <sheetDataSet>
      <sheetData sheetId="0"/>
      <sheetData sheetId="1">
        <row r="2">
          <cell r="AZ2">
            <v>45302</v>
          </cell>
          <cell r="BA2">
            <v>151.03673269999996</v>
          </cell>
          <cell r="BB2" t="str">
            <v>y=61.583x2+107.68x-49.277</v>
          </cell>
        </row>
        <row r="3">
          <cell r="AZ3">
            <v>45315</v>
          </cell>
          <cell r="BA3">
            <v>153.54137552</v>
          </cell>
          <cell r="BB3" t="str">
            <v>y=242.08x2-93.203x+9.321</v>
          </cell>
        </row>
        <row r="4">
          <cell r="AZ4">
            <v>45324</v>
          </cell>
          <cell r="BA4">
            <v>150.3267788</v>
          </cell>
          <cell r="BB4" t="str">
            <v>y=-20.197x2+242.82x-100.24</v>
          </cell>
        </row>
        <row r="5">
          <cell r="AZ5">
            <v>45328</v>
          </cell>
          <cell r="BA5">
            <v>150.67419699999999</v>
          </cell>
          <cell r="BB5" t="str">
            <v>y=207.57x2-104.38x+10.789</v>
          </cell>
        </row>
        <row r="6">
          <cell r="AZ6">
            <v>45343</v>
          </cell>
          <cell r="BA6">
            <v>150.18030304000001</v>
          </cell>
          <cell r="BB6" t="str">
            <v>y=-0.0496x2+240.19x-92.361</v>
          </cell>
        </row>
        <row r="7">
          <cell r="AZ7">
            <v>45348</v>
          </cell>
          <cell r="BA7">
            <v>150.10934048000001</v>
          </cell>
          <cell r="BB7" t="str">
            <v>y=-5.7397x2+236.51x-89.653</v>
          </cell>
        </row>
        <row r="8">
          <cell r="AZ8">
            <v>45356</v>
          </cell>
          <cell r="BA8">
            <v>150.402437093</v>
          </cell>
          <cell r="BB8" t="str">
            <v>y=-32.323x2+306.07x-122.62</v>
          </cell>
        </row>
        <row r="9">
          <cell r="AZ9">
            <v>45357</v>
          </cell>
          <cell r="BA9">
            <v>150.0985786</v>
          </cell>
          <cell r="BB9" t="str">
            <v>y=-47.334x2+303.08x-128</v>
          </cell>
        </row>
        <row r="10">
          <cell r="AZ10">
            <v>45364</v>
          </cell>
          <cell r="BA10">
            <v>150.94691337600003</v>
          </cell>
          <cell r="BB10" t="str">
            <v>y=-22.886x2+273.42x-93.195</v>
          </cell>
        </row>
        <row r="11">
          <cell r="AZ11">
            <v>45371</v>
          </cell>
          <cell r="BA11">
            <v>152.13874550000003</v>
          </cell>
          <cell r="BB11" t="str">
            <v>y=212.78x2-11.91x-22.743</v>
          </cell>
        </row>
        <row r="12">
          <cell r="AZ12">
            <v>45378</v>
          </cell>
          <cell r="BA12">
            <v>150.28523510000002</v>
          </cell>
          <cell r="BB12" t="str">
            <v>y=-11.569x2+240.54x-102.46</v>
          </cell>
        </row>
        <row r="13">
          <cell r="AZ13">
            <v>45385</v>
          </cell>
          <cell r="BA13">
            <v>150.08305257480001</v>
          </cell>
          <cell r="BB13" t="str">
            <v>y=-7.1107x2+271.97x-87.375</v>
          </cell>
        </row>
        <row r="14">
          <cell r="AZ14">
            <v>45392</v>
          </cell>
          <cell r="BA14">
            <v>144.57918208000009</v>
          </cell>
          <cell r="BB14" t="str">
            <v>y=626.88x2-589.24x+150.96</v>
          </cell>
        </row>
        <row r="15">
          <cell r="AZ15">
            <v>45399</v>
          </cell>
          <cell r="BA15">
            <v>148.55743599999997</v>
          </cell>
          <cell r="BB15" t="str">
            <v>y=164.54x2-82.767x+17.117</v>
          </cell>
        </row>
        <row r="16">
          <cell r="AZ16">
            <v>45407</v>
          </cell>
          <cell r="BA16">
            <v>150.19610216000001</v>
          </cell>
          <cell r="BB16" t="str">
            <v>y=-3.3416x2+226.27x-88.087</v>
          </cell>
        </row>
        <row r="17">
          <cell r="AZ17">
            <v>45413</v>
          </cell>
          <cell r="BA17">
            <v>156.34865000000002</v>
          </cell>
          <cell r="BB17" t="str">
            <v>y=-138.74x2+438.74x-156.88</v>
          </cell>
        </row>
        <row r="18">
          <cell r="AZ18">
            <v>45420</v>
          </cell>
          <cell r="BA18">
            <v>149.69564615600001</v>
          </cell>
          <cell r="BB18" t="str">
            <v>y=40.444x2+218.49x-81.746</v>
          </cell>
        </row>
        <row r="19">
          <cell r="AZ19">
            <v>45427</v>
          </cell>
          <cell r="BA19">
            <v>150.49465045950001</v>
          </cell>
          <cell r="BB19" t="str">
            <v>y=-4.4205x2+274.09x-87.015</v>
          </cell>
        </row>
        <row r="20">
          <cell r="AZ20" t="str">
            <v>5/23/2024A</v>
          </cell>
          <cell r="BA20">
            <v>148.83793600000001</v>
          </cell>
          <cell r="BB20" t="str">
            <v>y=273.26x2-182.7x+35.465</v>
          </cell>
        </row>
        <row r="21">
          <cell r="AZ21" t="str">
            <v>5/23/2024B</v>
          </cell>
          <cell r="BA21">
            <v>148.82882500000002</v>
          </cell>
          <cell r="BB21" t="str">
            <v>y=287.13x2-196.94x+39.055</v>
          </cell>
        </row>
        <row r="22">
          <cell r="AZ22">
            <v>45441</v>
          </cell>
          <cell r="BA22">
            <v>150.48461400000002</v>
          </cell>
          <cell r="BB22" t="str">
            <v>y=-60.54x2+313.05x-107.73</v>
          </cell>
        </row>
        <row r="23">
          <cell r="AZ23">
            <v>45453</v>
          </cell>
          <cell r="BA23">
            <v>150.53624500000001</v>
          </cell>
          <cell r="BB23" t="str">
            <v>y=37.178x2+177.21x-76.523</v>
          </cell>
        </row>
        <row r="24">
          <cell r="AZ24">
            <v>45455</v>
          </cell>
          <cell r="BA24">
            <v>150.09849191999999</v>
          </cell>
          <cell r="BB24" t="str">
            <v>y=55.92x2+192.7x-53.811</v>
          </cell>
        </row>
        <row r="25">
          <cell r="AZ25">
            <v>45470</v>
          </cell>
          <cell r="BA25">
            <v>150.30643679999994</v>
          </cell>
          <cell r="BB25" t="str">
            <v>y=-78.497x2+312.95x-107.09</v>
          </cell>
        </row>
        <row r="26">
          <cell r="AZ26">
            <v>45483</v>
          </cell>
          <cell r="BA26">
            <v>169.96708611</v>
          </cell>
          <cell r="BB26" t="str">
            <v>y=-143.89x2+430.55x-136.53</v>
          </cell>
        </row>
        <row r="27">
          <cell r="AZ27">
            <v>45490</v>
          </cell>
          <cell r="BA27">
            <v>150.17759200000003</v>
          </cell>
          <cell r="BB27" t="str">
            <v>y=-107.02x2+365.56x-111.35</v>
          </cell>
        </row>
        <row r="28">
          <cell r="AZ28">
            <v>45497</v>
          </cell>
          <cell r="BA28">
            <v>150.97121759999996</v>
          </cell>
          <cell r="BB28" t="str">
            <v>y=-48.316x2+258.18x-118.22</v>
          </cell>
        </row>
        <row r="29">
          <cell r="AZ29">
            <v>45503</v>
          </cell>
          <cell r="BA29">
            <v>148.20577975999998</v>
          </cell>
          <cell r="BB29" t="str">
            <v>y=411.46x2-283.23x+53.803</v>
          </cell>
        </row>
      </sheetData>
      <sheetData sheetId="2">
        <row r="2">
          <cell r="AZ2">
            <v>45302</v>
          </cell>
          <cell r="BA2">
            <v>300.85389572999998</v>
          </cell>
          <cell r="BB2" t="str">
            <v>y=4.1213x2+190.98x-74.82</v>
          </cell>
        </row>
        <row r="3">
          <cell r="AZ3">
            <v>45315</v>
          </cell>
          <cell r="BA3">
            <v>305.0997936</v>
          </cell>
          <cell r="BB3" t="str">
            <v>y=85.901x2+80.552x-29.61</v>
          </cell>
        </row>
        <row r="4">
          <cell r="AZ4">
            <v>45324</v>
          </cell>
          <cell r="BA4">
            <v>299.81990320000006</v>
          </cell>
          <cell r="BB4" t="str">
            <v>y=-3.958x2+218.05x-92.06</v>
          </cell>
        </row>
        <row r="5">
          <cell r="AZ5">
            <v>45328</v>
          </cell>
          <cell r="BA5">
            <v>302.63571290000004</v>
          </cell>
          <cell r="BB5" t="str">
            <v>y=29.489x2+153.28x-71.41</v>
          </cell>
        </row>
        <row r="6">
          <cell r="AZ6">
            <v>45343</v>
          </cell>
          <cell r="BA6">
            <v>300.05317959999996</v>
          </cell>
          <cell r="BB6" t="str">
            <v>y=-6.9597x2+249.64x-95.173</v>
          </cell>
        </row>
        <row r="7">
          <cell r="AZ7">
            <v>45348</v>
          </cell>
          <cell r="BA7">
            <v>299.98520401999997</v>
          </cell>
          <cell r="BB7" t="str">
            <v>y=-3.6878x2+233.67x-88.807</v>
          </cell>
        </row>
        <row r="8">
          <cell r="AZ8">
            <v>45356</v>
          </cell>
          <cell r="BA8">
            <v>299.97561000000002</v>
          </cell>
          <cell r="BB8" t="str">
            <v>y=-25.804x2+296.98x-119.79</v>
          </cell>
        </row>
        <row r="9">
          <cell r="AZ9">
            <v>45357</v>
          </cell>
          <cell r="BA9">
            <v>299.74216330000002</v>
          </cell>
          <cell r="BB9" t="str">
            <v>y=-13.647x2+251.31x-110.42</v>
          </cell>
        </row>
        <row r="10">
          <cell r="AZ10">
            <v>45364</v>
          </cell>
          <cell r="BA10">
            <v>299.65978560000002</v>
          </cell>
          <cell r="BB10" t="str">
            <v>y=12.416x2+227.75x-80.521</v>
          </cell>
        </row>
        <row r="11">
          <cell r="AZ11">
            <v>45371</v>
          </cell>
          <cell r="BA11">
            <v>301.32530673999997</v>
          </cell>
          <cell r="BB11" t="str">
            <v>y=-1.2414x2+267.21x-104.6</v>
          </cell>
        </row>
        <row r="12">
          <cell r="AZ12">
            <v>45378</v>
          </cell>
          <cell r="BA12">
            <v>299.97657227999997</v>
          </cell>
          <cell r="BB12" t="str">
            <v>y=-8.7853x2+236.35x-101.08</v>
          </cell>
        </row>
        <row r="13">
          <cell r="AZ13">
            <v>45385</v>
          </cell>
          <cell r="BA13">
            <v>301.99268270000005</v>
          </cell>
          <cell r="BB13" t="str">
            <v>y=-39.493x2+294.97x-102.52</v>
          </cell>
        </row>
        <row r="14">
          <cell r="AZ14">
            <v>45392</v>
          </cell>
          <cell r="BA14">
            <v>303.67122739999996</v>
          </cell>
          <cell r="BB14" t="str">
            <v>y=75.626x2+103.41x-45.093</v>
          </cell>
        </row>
        <row r="15">
          <cell r="AZ15">
            <v>45399</v>
          </cell>
          <cell r="BA15">
            <v>301.50304360000001</v>
          </cell>
          <cell r="BB15" t="str">
            <v>y=51.391x2+82.559x-29.849</v>
          </cell>
        </row>
        <row r="16">
          <cell r="AZ16">
            <v>45407</v>
          </cell>
          <cell r="BA16">
            <v>302.17369035000007</v>
          </cell>
          <cell r="BB16" t="str">
            <v>y=-12.54x2+239.37x-92.097</v>
          </cell>
        </row>
        <row r="17">
          <cell r="AZ17">
            <v>45413</v>
          </cell>
          <cell r="BA17">
            <v>299.34294720000003</v>
          </cell>
          <cell r="BB17" t="str">
            <v>y=-23.103x2+269.18x-102.85</v>
          </cell>
        </row>
        <row r="18">
          <cell r="AZ18">
            <v>45420</v>
          </cell>
          <cell r="BA18">
            <v>300.31077199999999</v>
          </cell>
          <cell r="BB18" t="str">
            <v>y=-22.33x2+296.09x-102.71</v>
          </cell>
        </row>
        <row r="19">
          <cell r="AZ19">
            <v>45427</v>
          </cell>
          <cell r="BA19">
            <v>300.05046369999991</v>
          </cell>
          <cell r="BB19" t="str">
            <v>y=-12.907x2+283.96x-89.48</v>
          </cell>
        </row>
        <row r="20">
          <cell r="AZ20" t="str">
            <v>5/23/2024A</v>
          </cell>
          <cell r="BA20">
            <v>302.35667140000004</v>
          </cell>
          <cell r="BB20" t="str">
            <v>y=38.666x2+143.74x-62.037</v>
          </cell>
        </row>
        <row r="21">
          <cell r="AZ21" t="str">
            <v>5/23/2024B</v>
          </cell>
          <cell r="BA21">
            <v>284.04235624</v>
          </cell>
          <cell r="BB21" t="str">
            <v>y=30.578x2+159.36x-67.623</v>
          </cell>
        </row>
        <row r="22">
          <cell r="AZ22">
            <v>45441</v>
          </cell>
          <cell r="BA22">
            <v>298.98150140000007</v>
          </cell>
          <cell r="BB22" t="str">
            <v>y=20.694x2+202.8x-75.787</v>
          </cell>
        </row>
        <row r="23">
          <cell r="AZ23">
            <v>45453</v>
          </cell>
          <cell r="BA23">
            <v>300.37811247000002</v>
          </cell>
          <cell r="BB23" t="str">
            <v>y=-4.3257x2+235.75x-94.523</v>
          </cell>
        </row>
        <row r="24">
          <cell r="AZ24">
            <v>45455</v>
          </cell>
          <cell r="BA24">
            <v>300.33269759999996</v>
          </cell>
          <cell r="BB24" t="str">
            <v>y=11.384x2+240.7x-64.416</v>
          </cell>
        </row>
        <row r="25">
          <cell r="AZ25">
            <v>45470</v>
          </cell>
          <cell r="BA25">
            <v>298.83921807999997</v>
          </cell>
          <cell r="BB25" t="str">
            <v>y=2.0107x2+192.37x-69.923</v>
          </cell>
        </row>
        <row r="26">
          <cell r="AZ26">
            <v>45483</v>
          </cell>
          <cell r="BA26">
            <v>298.26393209999998</v>
          </cell>
          <cell r="BB26" t="str">
            <v>y=20.969x2+211.92x-75.06</v>
          </cell>
        </row>
        <row r="27">
          <cell r="AZ27">
            <v>45490</v>
          </cell>
          <cell r="BA27">
            <v>297.6133107</v>
          </cell>
          <cell r="BB27" t="str">
            <v>y=47.507x2+162.46x-56.022</v>
          </cell>
        </row>
        <row r="28">
          <cell r="AZ28">
            <v>45497</v>
          </cell>
          <cell r="BA28">
            <v>296.55265179999998</v>
          </cell>
          <cell r="BB28" t="str">
            <v>y=51.002x2+72.467x-44.141</v>
          </cell>
        </row>
        <row r="29">
          <cell r="AZ29">
            <v>45503</v>
          </cell>
          <cell r="BA29">
            <v>302.16900352000005</v>
          </cell>
          <cell r="BB29" t="str">
            <v>y=-0.805x2+233.77x-88.292</v>
          </cell>
        </row>
      </sheetData>
      <sheetData sheetId="3">
        <row r="2">
          <cell r="AZ2">
            <v>45302</v>
          </cell>
          <cell r="BA2">
            <v>511.57079999999996</v>
          </cell>
          <cell r="BB2" t="str">
            <v>y=10.545x2+175.85x-69.082</v>
          </cell>
        </row>
        <row r="3">
          <cell r="AZ3">
            <v>45315</v>
          </cell>
          <cell r="BA3">
            <v>510.14794749999999</v>
          </cell>
          <cell r="BB3" t="str">
            <v>y=14.579x2+199.95x-67.24</v>
          </cell>
        </row>
        <row r="4">
          <cell r="AZ4">
            <v>45324</v>
          </cell>
          <cell r="BA4">
            <v>501.04866854000005</v>
          </cell>
          <cell r="BB4" t="str">
            <v>y=1.2886x2+203.08x-89.998</v>
          </cell>
        </row>
        <row r="5">
          <cell r="AZ5">
            <v>45328</v>
          </cell>
          <cell r="BA5">
            <v>509.96079680999998</v>
          </cell>
          <cell r="BB5" t="str">
            <v>y=4.0241x2+203.82x-90.021</v>
          </cell>
        </row>
        <row r="6">
          <cell r="AZ6">
            <v>45343</v>
          </cell>
          <cell r="BA6">
            <v>491.15005960000008</v>
          </cell>
          <cell r="BB6" t="str">
            <v>y=-16.859x2+266.56x-98.612</v>
          </cell>
        </row>
        <row r="7">
          <cell r="AZ7">
            <v>45348</v>
          </cell>
          <cell r="BA7">
            <v>488.46044952</v>
          </cell>
          <cell r="BB7" t="str">
            <v>y=-3.8042x2+228.65x-84.489</v>
          </cell>
        </row>
        <row r="8">
          <cell r="AZ8">
            <v>45356</v>
          </cell>
          <cell r="BA8">
            <v>489.62000000000006</v>
          </cell>
          <cell r="BB8" t="str">
            <v>y=-9.6448x2+261.94x-104.95</v>
          </cell>
        </row>
        <row r="9">
          <cell r="AZ9">
            <v>45357</v>
          </cell>
          <cell r="BA9">
            <v>499.62037086000009</v>
          </cell>
          <cell r="BB9" t="str">
            <v>y=-5.1874x2+226.36x-95.491</v>
          </cell>
        </row>
        <row r="10">
          <cell r="AZ10">
            <v>45364</v>
          </cell>
          <cell r="BA10">
            <v>491.91681631999995</v>
          </cell>
          <cell r="BB10" t="str">
            <v>y=-5.8058x2+261.33x-92.486</v>
          </cell>
        </row>
        <row r="11">
          <cell r="AZ11">
            <v>45371</v>
          </cell>
          <cell r="BA11">
            <v>536.11255512000002</v>
          </cell>
          <cell r="BB11" t="str">
            <v>y=4.6872x2+253.12x-95.618</v>
          </cell>
        </row>
        <row r="12">
          <cell r="AZ12">
            <v>45378</v>
          </cell>
          <cell r="BA12">
            <v>495.30761039999999</v>
          </cell>
          <cell r="BB12" t="str">
            <v>y=-9.864x2+238.78x-101.44</v>
          </cell>
        </row>
        <row r="13">
          <cell r="AZ13">
            <v>45385</v>
          </cell>
          <cell r="BA13">
            <v>520.42569377999996</v>
          </cell>
          <cell r="BB13" t="str">
            <v>y=5.8722x2+216.82x-75.587</v>
          </cell>
        </row>
        <row r="14">
          <cell r="AZ14">
            <v>45392</v>
          </cell>
          <cell r="BA14">
            <v>501.04561537000006</v>
          </cell>
          <cell r="BB14" t="str">
            <v>y=-0.8887x2+246.51x-92.726</v>
          </cell>
        </row>
        <row r="15">
          <cell r="AZ15">
            <v>45399</v>
          </cell>
          <cell r="BA15">
            <v>535.30901979999999</v>
          </cell>
          <cell r="BB15" t="str">
            <v>y=37.558x2+132.68x-60.275</v>
          </cell>
        </row>
        <row r="16">
          <cell r="AZ16">
            <v>45407</v>
          </cell>
          <cell r="BA16">
            <v>491.43606060000008</v>
          </cell>
          <cell r="BB16" t="str">
            <v>y=-3.1565x2+217.87x-81.83</v>
          </cell>
        </row>
        <row r="17">
          <cell r="AZ17">
            <v>45413</v>
          </cell>
          <cell r="BA17">
            <v>505.19764075000001</v>
          </cell>
          <cell r="BB17" t="str">
            <v>y=-3.3925x2+219.48x-80.744</v>
          </cell>
        </row>
        <row r="18">
          <cell r="AZ18">
            <v>45420</v>
          </cell>
          <cell r="BA18">
            <v>491.97452979999991</v>
          </cell>
          <cell r="BB18" t="str">
            <v>y=-10.158x2+269.7x-90.158</v>
          </cell>
        </row>
        <row r="19">
          <cell r="AZ19">
            <v>45427</v>
          </cell>
          <cell r="BA19">
            <v>487.64270625</v>
          </cell>
          <cell r="BB19" t="str">
            <v>y=-9.2527x2+275.87x-86.223</v>
          </cell>
        </row>
        <row r="20">
          <cell r="AZ20" t="str">
            <v>5/23/2024A</v>
          </cell>
          <cell r="BA20">
            <v>515.31056799999999</v>
          </cell>
          <cell r="BB20" t="str">
            <v>y=5.1752x2+196.52x-75.519</v>
          </cell>
        </row>
        <row r="21">
          <cell r="AZ21" t="str">
            <v>5/23/2024B</v>
          </cell>
          <cell r="BA21">
            <v>515.23568434000003</v>
          </cell>
          <cell r="BB21" t="str">
            <v>y=5.0274x2+197.41x-74.672</v>
          </cell>
        </row>
        <row r="22">
          <cell r="AZ22">
            <v>45441</v>
          </cell>
          <cell r="BA22">
            <v>480.44639323000001</v>
          </cell>
          <cell r="BB22" t="str">
            <v>y=-1.3237x2+241.55x-89.297</v>
          </cell>
        </row>
        <row r="23">
          <cell r="AZ23">
            <v>45453</v>
          </cell>
          <cell r="BA23">
            <v>490.84554297000005</v>
          </cell>
          <cell r="BB23" t="str">
            <v>y=-5.8127x2+234.11x-92.79</v>
          </cell>
        </row>
        <row r="24">
          <cell r="AZ24">
            <v>45455</v>
          </cell>
          <cell r="BA24">
            <v>479.95729600000004</v>
          </cell>
          <cell r="BB24" t="str">
            <v>y=-2.8456x2+256.51x-70.592</v>
          </cell>
        </row>
        <row r="25">
          <cell r="AZ25">
            <v>45470</v>
          </cell>
          <cell r="BA25">
            <v>510.94627387999992</v>
          </cell>
          <cell r="BB25" t="str">
            <v>y=4.6287x2+192.45x-68.572</v>
          </cell>
        </row>
        <row r="26">
          <cell r="AZ26">
            <v>45483</v>
          </cell>
          <cell r="BA26">
            <v>478.90268749999996</v>
          </cell>
          <cell r="BB26" t="str">
            <v>y=35.891x2+162.45x-68.308</v>
          </cell>
        </row>
        <row r="27">
          <cell r="AZ27">
            <v>45490</v>
          </cell>
          <cell r="BA27">
            <v>495.7087712</v>
          </cell>
          <cell r="BB27" t="str">
            <v>y=15.763x2+208.75x-73.434</v>
          </cell>
        </row>
        <row r="28">
          <cell r="AZ28">
            <v>45497</v>
          </cell>
          <cell r="BA28">
            <v>503.39834920000004</v>
          </cell>
          <cell r="BB28" t="str">
            <v>y=35.548x2+104.83x-59.737</v>
          </cell>
        </row>
        <row r="29">
          <cell r="AZ29">
            <v>45503</v>
          </cell>
          <cell r="BA29">
            <v>473.71987120000011</v>
          </cell>
          <cell r="BB29" t="str">
            <v>y=32.238x2+178.05x-67.637</v>
          </cell>
        </row>
      </sheetData>
      <sheetData sheetId="4">
        <row r="2">
          <cell r="AZ2">
            <v>45302</v>
          </cell>
          <cell r="BA2">
            <v>2025.7174080000002</v>
          </cell>
          <cell r="BB2" t="str">
            <v>y=-2.0672x2+221.74x-92.456</v>
          </cell>
        </row>
        <row r="3">
          <cell r="AZ3">
            <v>45315</v>
          </cell>
          <cell r="BA3">
            <v>2011.4995797199997</v>
          </cell>
          <cell r="BB3" t="str">
            <v>y=-0.1387x2+244.68x-87.336</v>
          </cell>
        </row>
        <row r="4">
          <cell r="AZ4">
            <v>45324</v>
          </cell>
          <cell r="BA4">
            <v>2004.4023199999999</v>
          </cell>
          <cell r="BB4" t="str">
            <v>y=-0.367x2+208.79x-87.073</v>
          </cell>
        </row>
        <row r="5">
          <cell r="AZ5">
            <v>45328</v>
          </cell>
          <cell r="BA5">
            <v>1996.5314700000001</v>
          </cell>
          <cell r="BB5" t="str">
            <v>y=0.047x2+210.4x-91.035</v>
          </cell>
        </row>
        <row r="6">
          <cell r="AZ6">
            <v>45343</v>
          </cell>
          <cell r="BA6">
            <v>1989.1150950000001</v>
          </cell>
          <cell r="BB6" t="str">
            <v>y=-0.9905x2+214.22x-73.446</v>
          </cell>
        </row>
        <row r="7">
          <cell r="AZ7">
            <v>45348</v>
          </cell>
          <cell r="BA7">
            <v>1996.9072260000003</v>
          </cell>
          <cell r="BB7" t="str">
            <v>y=-0.8974x2+214.31x-76.08</v>
          </cell>
        </row>
        <row r="8">
          <cell r="AZ8">
            <v>45356</v>
          </cell>
          <cell r="BA8">
            <v>1992.9198459199999</v>
          </cell>
          <cell r="BB8" t="str">
            <v>y=-0.2083x2+226.95x-86.314</v>
          </cell>
        </row>
        <row r="9">
          <cell r="AZ9">
            <v>45357</v>
          </cell>
          <cell r="BA9">
            <v>2004.3256739999999</v>
          </cell>
          <cell r="BB9" t="str">
            <v>y=-0.8214x2+211.61x-88.115</v>
          </cell>
        </row>
        <row r="10">
          <cell r="AZ10">
            <v>45364</v>
          </cell>
          <cell r="BA10">
            <v>2005.75258336</v>
          </cell>
          <cell r="BB10" t="str">
            <v>y=-1.0914x2+248.5x-87.356</v>
          </cell>
        </row>
        <row r="11">
          <cell r="AZ11">
            <v>45371</v>
          </cell>
          <cell r="BA11">
            <v>2007.82751375</v>
          </cell>
          <cell r="BB11" t="str">
            <v>y=-1.2505x2+262.79x-99.281</v>
          </cell>
        </row>
        <row r="12">
          <cell r="AZ12">
            <v>45378</v>
          </cell>
          <cell r="BA12">
            <v>2008.20876</v>
          </cell>
          <cell r="BB12" t="str">
            <v>y=-0.814x2+209.99x-87.645</v>
          </cell>
        </row>
        <row r="13">
          <cell r="AZ13">
            <v>45385</v>
          </cell>
          <cell r="BA13">
            <v>2050.6785115800003</v>
          </cell>
          <cell r="BB13" t="str">
            <v>y=7.8502x2+195.39x-89.098</v>
          </cell>
        </row>
        <row r="14">
          <cell r="AZ14">
            <v>45392</v>
          </cell>
          <cell r="BA14">
            <v>2022.2121358399997</v>
          </cell>
          <cell r="BB14" t="str">
            <v>y=-2.6719x2+262.18x-103.84</v>
          </cell>
        </row>
        <row r="15">
          <cell r="AZ15">
            <v>45399</v>
          </cell>
          <cell r="BA15">
            <v>2016.078626</v>
          </cell>
          <cell r="BB15" t="str">
            <v>y=1.8694x2+241.23x-114.5</v>
          </cell>
        </row>
        <row r="16">
          <cell r="AZ16">
            <v>45407</v>
          </cell>
          <cell r="BA16">
            <v>1990.5253640000003</v>
          </cell>
          <cell r="BB16" t="str">
            <v>y=-0.2804x2+203.18x-72.481</v>
          </cell>
        </row>
        <row r="17">
          <cell r="AZ17">
            <v>45413</v>
          </cell>
          <cell r="BA17">
            <v>2006.8728760000001</v>
          </cell>
          <cell r="BB17" t="str">
            <v>y=-0.6181x2+210.59x-76.838</v>
          </cell>
        </row>
        <row r="18">
          <cell r="AZ18">
            <v>45420</v>
          </cell>
          <cell r="BA18">
            <v>2013.0445561600002</v>
          </cell>
          <cell r="BB18" t="str">
            <v>y=-0.6001x2+245.41x-81.3</v>
          </cell>
        </row>
        <row r="19">
          <cell r="AZ19">
            <v>45427</v>
          </cell>
          <cell r="BA19">
            <v>2005.8114</v>
          </cell>
          <cell r="BB19" t="str">
            <v>y=-1.6216x2+259.29x-80.993</v>
          </cell>
        </row>
        <row r="20">
          <cell r="AZ20" t="str">
            <v>5/23/2024A</v>
          </cell>
          <cell r="BA20">
            <v>1981.0378451199999</v>
          </cell>
          <cell r="BB20" t="str">
            <v>y=0.8633x2+198.38x-71.846</v>
          </cell>
        </row>
        <row r="21">
          <cell r="AZ21" t="str">
            <v>5/23/2024B</v>
          </cell>
          <cell r="BA21">
            <v>1982.0242062499999</v>
          </cell>
          <cell r="BB21" t="str">
            <v>y=0.9425x2+199.17x-71.244</v>
          </cell>
        </row>
        <row r="22">
          <cell r="AZ22">
            <v>45441</v>
          </cell>
          <cell r="BA22">
            <v>1992.0156521199997</v>
          </cell>
          <cell r="BB22" t="str">
            <v>y=0.1927x2+238.45x-87.413</v>
          </cell>
        </row>
        <row r="23">
          <cell r="AZ23">
            <v>45453</v>
          </cell>
          <cell r="BA23">
            <v>1977.1997579999997</v>
          </cell>
          <cell r="BB23" t="str">
            <v>y=-0.3842x2+207.17x-76.025</v>
          </cell>
        </row>
        <row r="24">
          <cell r="AZ24">
            <v>45455</v>
          </cell>
          <cell r="BA24">
            <v>2005.20250448</v>
          </cell>
          <cell r="BB24" t="str">
            <v>y=0.9547x2+242.31x-66.577</v>
          </cell>
        </row>
        <row r="25">
          <cell r="AZ25">
            <v>45470</v>
          </cell>
          <cell r="BA25">
            <v>1994.8229009999998</v>
          </cell>
          <cell r="BB25" t="str">
            <v>y=-0.4299x2+209.42x-76.465</v>
          </cell>
        </row>
        <row r="26">
          <cell r="AZ26">
            <v>45483</v>
          </cell>
          <cell r="BA26">
            <v>1999.6709593599996</v>
          </cell>
          <cell r="BB26" t="str">
            <v>y=-1.1864x2+259.52x-110.93</v>
          </cell>
        </row>
        <row r="27">
          <cell r="AZ27">
            <v>45490</v>
          </cell>
          <cell r="BA27">
            <v>1989.5703340800001</v>
          </cell>
          <cell r="BB27" t="str">
            <v>y=0.7542x2+243.14x-85.562</v>
          </cell>
        </row>
        <row r="28">
          <cell r="AZ28">
            <v>45497</v>
          </cell>
          <cell r="BA28">
            <v>1994.7624492800001</v>
          </cell>
          <cell r="BB28" t="str">
            <v>y=1.0953x2+204.93x-109.69</v>
          </cell>
        </row>
        <row r="29">
          <cell r="AZ29">
            <v>45503</v>
          </cell>
          <cell r="BA29">
            <v>2001.4337359999995</v>
          </cell>
          <cell r="BB29" t="str">
            <v>y=0.3164x2+253.25x-96.491</v>
          </cell>
        </row>
      </sheetData>
      <sheetData sheetId="5">
        <row r="2">
          <cell r="AZ2">
            <v>45302</v>
          </cell>
          <cell r="BA2">
            <v>2498.1456720000001</v>
          </cell>
          <cell r="BB2" t="str">
            <v>y=0.0783x2+201.2x-90.043</v>
          </cell>
        </row>
        <row r="3">
          <cell r="AZ3">
            <v>45317</v>
          </cell>
          <cell r="BA3">
            <v>2501.8902089999997</v>
          </cell>
          <cell r="BB3" t="str">
            <v>y=0.7761x2+177.38x-73.882</v>
          </cell>
        </row>
        <row r="4">
          <cell r="AZ4">
            <v>45327</v>
          </cell>
          <cell r="BA4">
            <v>2513.1401499999997</v>
          </cell>
          <cell r="BB4" t="str">
            <v>y=-0.2954x2+177.56x-168.07</v>
          </cell>
        </row>
        <row r="5">
          <cell r="AZ5">
            <v>45329</v>
          </cell>
          <cell r="BA5">
            <v>2502.0640480000002</v>
          </cell>
          <cell r="BB5" t="str">
            <v>y=0.0488x2+227.13x-93.56</v>
          </cell>
        </row>
        <row r="6">
          <cell r="AZ6">
            <v>45344</v>
          </cell>
          <cell r="BA6">
            <v>2499.3534559999998</v>
          </cell>
          <cell r="BB6" t="str">
            <v>y=0.0244x2+196.96x-104.77</v>
          </cell>
        </row>
        <row r="7">
          <cell r="AZ7">
            <v>45348</v>
          </cell>
          <cell r="BA7">
            <v>2497.4080399999998</v>
          </cell>
          <cell r="BB7" t="str">
            <v>y=1.679x2+182.5x-68.65</v>
          </cell>
        </row>
        <row r="8">
          <cell r="AZ8">
            <v>45356</v>
          </cell>
          <cell r="BA8">
            <v>2507.6539640000001</v>
          </cell>
          <cell r="BB8" t="str">
            <v>y=1.3404x2+197.37x-76.771</v>
          </cell>
        </row>
        <row r="9">
          <cell r="AZ9">
            <v>45357</v>
          </cell>
          <cell r="BA9">
            <v>2501.5844379999999</v>
          </cell>
          <cell r="BB9" t="str">
            <v>y=-0.4842x2+203.47x-80.779</v>
          </cell>
        </row>
        <row r="10">
          <cell r="AZ10">
            <v>45365</v>
          </cell>
          <cell r="BA10">
            <v>2499.8447999999999</v>
          </cell>
          <cell r="BB10" t="str">
            <v>y=-1.0425x2+252.14x-101.67</v>
          </cell>
        </row>
        <row r="11">
          <cell r="AZ11">
            <v>45371</v>
          </cell>
          <cell r="BA11">
            <v>2500.4282549999998</v>
          </cell>
          <cell r="BB11" t="str">
            <v>y=-0.4345x2+197.42x-159.76</v>
          </cell>
        </row>
        <row r="12">
          <cell r="AZ12">
            <v>45378</v>
          </cell>
          <cell r="BA12">
            <v>2497.9624519999998</v>
          </cell>
          <cell r="BB12" t="str">
            <v>y=-0.2603x2+185.13x-149.45</v>
          </cell>
        </row>
        <row r="13">
          <cell r="AZ13">
            <v>45385</v>
          </cell>
          <cell r="BA13">
            <v>2501.6783700000001</v>
          </cell>
          <cell r="BB13" t="str">
            <v>y=-0.903x2+202.73x-141.8</v>
          </cell>
        </row>
        <row r="14">
          <cell r="AZ14">
            <v>45393</v>
          </cell>
          <cell r="BA14">
            <v>2506.0376160000001</v>
          </cell>
          <cell r="BB14" t="str">
            <v>y=-1.1376x2+218.89x-109.37</v>
          </cell>
        </row>
        <row r="15">
          <cell r="AZ15">
            <v>45397</v>
          </cell>
          <cell r="BA15">
            <v>2499.9303999999997</v>
          </cell>
          <cell r="BB15" t="str">
            <v>y=1.0484x2+169.72x-81.636</v>
          </cell>
        </row>
        <row r="16">
          <cell r="AZ16">
            <v>45400</v>
          </cell>
          <cell r="BA16">
            <v>2506.4416879999999</v>
          </cell>
          <cell r="BB16" t="str">
            <v>y=0.0712x2+180.04x-82.69</v>
          </cell>
        </row>
        <row r="17">
          <cell r="AZ17">
            <v>45407</v>
          </cell>
          <cell r="BA17">
            <v>2511.6720800000007</v>
          </cell>
          <cell r="BB17" t="str">
            <v>y=2.458x2+177.8x-70.99</v>
          </cell>
        </row>
        <row r="18">
          <cell r="AZ18">
            <v>45414</v>
          </cell>
          <cell r="BA18">
            <v>2500.5256250000002</v>
          </cell>
          <cell r="BB18" t="str">
            <v>y=-1.1239x2+220.31x-77.74</v>
          </cell>
        </row>
        <row r="19">
          <cell r="AZ19">
            <v>45421</v>
          </cell>
          <cell r="BA19">
            <v>2500.3070000000002</v>
          </cell>
          <cell r="BB19" t="str">
            <v>y=-0.0585x2+184x-64.227</v>
          </cell>
        </row>
        <row r="20">
          <cell r="AZ20">
            <v>45428</v>
          </cell>
          <cell r="BA20">
            <v>2496.4720000000002</v>
          </cell>
          <cell r="BB20" t="str">
            <v>y=1.2065x2+197.81x-50.984</v>
          </cell>
        </row>
        <row r="21">
          <cell r="AZ21" t="str">
            <v>5/23/2024A</v>
          </cell>
          <cell r="BA21">
            <v>2507.6875</v>
          </cell>
          <cell r="BB21" t="str">
            <v>y=0.3732x2+204.27x-104</v>
          </cell>
        </row>
        <row r="22">
          <cell r="AZ22">
            <v>45442</v>
          </cell>
          <cell r="BA22">
            <v>2495.1994159999999</v>
          </cell>
          <cell r="BB22" t="str">
            <v>y=0.4879x2+163.02x-95.429</v>
          </cell>
        </row>
        <row r="23">
          <cell r="AZ23">
            <v>45450</v>
          </cell>
          <cell r="BA23">
            <v>2502.4275000000002</v>
          </cell>
          <cell r="BB23" t="str">
            <v>y=-0.2121x2+176.75x-101.1</v>
          </cell>
        </row>
        <row r="24">
          <cell r="AZ24">
            <v>45456</v>
          </cell>
          <cell r="BA24">
            <v>2501.0452559999999</v>
          </cell>
          <cell r="BB24" t="str">
            <v>y=-0.7656x2+178.94x-119.6</v>
          </cell>
        </row>
        <row r="25">
          <cell r="AZ25">
            <v>45470</v>
          </cell>
          <cell r="BA25">
            <v>2499.2440560000005</v>
          </cell>
          <cell r="BB25" t="str">
            <v>y=-0.2261x2+178.57x-94.067</v>
          </cell>
        </row>
        <row r="26">
          <cell r="AZ26">
            <v>45484</v>
          </cell>
          <cell r="BA26">
            <v>2500.959464</v>
          </cell>
          <cell r="BB26" t="str">
            <v>y=1.0826x2+169.97x-130.91</v>
          </cell>
        </row>
        <row r="27">
          <cell r="AZ27">
            <v>45492</v>
          </cell>
          <cell r="BA27">
            <v>2508.4356000000002</v>
          </cell>
          <cell r="BB27" t="str">
            <v>y=1.4811x2+167.24x-123.22</v>
          </cell>
        </row>
        <row r="28">
          <cell r="AZ28">
            <v>45499</v>
          </cell>
          <cell r="BA28">
            <v>2504.7821749999998</v>
          </cell>
          <cell r="BB28" t="str">
            <v>y=-1.2417x2+180.63x-137.56</v>
          </cell>
        </row>
        <row r="29">
          <cell r="AZ29">
            <v>45504</v>
          </cell>
          <cell r="BA29">
            <v>2515.2484000000004</v>
          </cell>
          <cell r="BB29" t="str">
            <v>y=0.7584x2+189.78x-185</v>
          </cell>
        </row>
      </sheetData>
      <sheetData sheetId="6">
        <row r="2">
          <cell r="AZ2">
            <v>45302</v>
          </cell>
          <cell r="BA2">
            <v>4999.4982879999998</v>
          </cell>
          <cell r="BB2" t="str">
            <v>y=-0.224x2+204.7x-93.89</v>
          </cell>
        </row>
        <row r="3">
          <cell r="AZ3">
            <v>45317</v>
          </cell>
          <cell r="BA3">
            <v>5033.1315450000002</v>
          </cell>
          <cell r="BB3" t="str">
            <v>y=-0.0655x2+192.46x-96.646</v>
          </cell>
        </row>
        <row r="4">
          <cell r="AZ4">
            <v>45327</v>
          </cell>
          <cell r="BA4">
            <v>5031.0741709999993</v>
          </cell>
          <cell r="BB4" t="str">
            <v>y=0.1651x2+175.19x-169.81</v>
          </cell>
        </row>
        <row r="5">
          <cell r="AZ5">
            <v>45329</v>
          </cell>
          <cell r="BA5">
            <v>5294.0461600000008</v>
          </cell>
          <cell r="BB5" t="str">
            <v>y=-0.266x2+235.12x-106.11</v>
          </cell>
        </row>
        <row r="6">
          <cell r="AZ6">
            <v>45344</v>
          </cell>
          <cell r="BA6">
            <v>5025.2357620000002</v>
          </cell>
          <cell r="BB6" t="str">
            <v>y=-0.2878x2+204.58x-118.25</v>
          </cell>
        </row>
        <row r="7">
          <cell r="AZ7">
            <v>45348</v>
          </cell>
          <cell r="BA7">
            <v>5024.8753729999999</v>
          </cell>
          <cell r="BB7" t="str">
            <v>y=0.1597x2+203.32x-94.56</v>
          </cell>
        </row>
        <row r="8">
          <cell r="AZ8">
            <v>45356</v>
          </cell>
          <cell r="BA8">
            <v>5034.4895999999999</v>
          </cell>
          <cell r="BB8" t="str">
            <v>y=-0.2529x2+220.26x-106.08</v>
          </cell>
        </row>
        <row r="9">
          <cell r="AZ9">
            <v>45357</v>
          </cell>
          <cell r="BA9">
            <v>4894.2253579999997</v>
          </cell>
          <cell r="BB9" t="str">
            <v>y=-0.1978x2+190.65x-55.12</v>
          </cell>
        </row>
        <row r="10">
          <cell r="AZ10">
            <v>45365</v>
          </cell>
          <cell r="BA10">
            <v>5006.5294000000004</v>
          </cell>
          <cell r="BB10" t="str">
            <v>y=-0.385x2+246.75x-97.606</v>
          </cell>
        </row>
        <row r="11">
          <cell r="AZ11">
            <v>45371</v>
          </cell>
          <cell r="BA11">
            <v>5037.6707999999999</v>
          </cell>
          <cell r="BB11" t="str">
            <v>y=-0.7988x2+208.87x-184.43</v>
          </cell>
        </row>
        <row r="12">
          <cell r="AZ12">
            <v>45378</v>
          </cell>
          <cell r="BA12">
            <v>5014.5086080000001</v>
          </cell>
          <cell r="BB12" t="str">
            <v>y=0.3508x2+178.58x-141.95</v>
          </cell>
        </row>
        <row r="13">
          <cell r="AZ13">
            <v>45385</v>
          </cell>
          <cell r="BA13">
            <v>4955.2350320000005</v>
          </cell>
          <cell r="BB13" t="str">
            <v>y=0.2822x2+182.61x-108.94</v>
          </cell>
        </row>
        <row r="14">
          <cell r="AZ14">
            <v>45393</v>
          </cell>
          <cell r="BA14">
            <v>5018.061702</v>
          </cell>
          <cell r="BB14" t="str">
            <v>y=-0.3289x2+212.39x-105.15</v>
          </cell>
        </row>
        <row r="15">
          <cell r="AZ15">
            <v>45397</v>
          </cell>
          <cell r="BA15">
            <v>5043.0800399999998</v>
          </cell>
          <cell r="BB15" t="str">
            <v>y=-0.071x2+190.16x-114</v>
          </cell>
        </row>
        <row r="16">
          <cell r="AZ16">
            <v>45400</v>
          </cell>
          <cell r="BA16">
            <v>5029.0056199999999</v>
          </cell>
          <cell r="BB16" t="str">
            <v>y=-0.0445x2+185.52x-94.059</v>
          </cell>
        </row>
        <row r="17">
          <cell r="AZ17">
            <v>45407</v>
          </cell>
          <cell r="BA17">
            <v>5028.1167839999998</v>
          </cell>
          <cell r="BB17" t="str">
            <v>y=-0.9746x2+220.81x-122.01</v>
          </cell>
        </row>
        <row r="18">
          <cell r="AZ18">
            <v>45414</v>
          </cell>
          <cell r="BA18">
            <v>4984.1376719999998</v>
          </cell>
          <cell r="BB18" t="str">
            <v>y=0.7862x2+196.83x-52.176</v>
          </cell>
        </row>
        <row r="19">
          <cell r="AZ19">
            <v>45421</v>
          </cell>
          <cell r="BA19">
            <v>5406.4489999999996</v>
          </cell>
          <cell r="BB19" t="str">
            <v>y=0.0575x2+185.69x-69.727</v>
          </cell>
        </row>
        <row r="20">
          <cell r="AZ20">
            <v>45428</v>
          </cell>
          <cell r="BA20">
            <v>5019.7829839999995</v>
          </cell>
          <cell r="BB20" t="str">
            <v>y=0.2914x2+210.51x-65.71</v>
          </cell>
        </row>
        <row r="21">
          <cell r="AZ21" t="str">
            <v>5/23/2024A</v>
          </cell>
          <cell r="BA21">
            <v>4999.3879479999996</v>
          </cell>
          <cell r="BB21" t="str">
            <v>y=-0.4767x2+203.02x-102.51</v>
          </cell>
        </row>
        <row r="22">
          <cell r="AZ22">
            <v>45442</v>
          </cell>
          <cell r="BA22">
            <v>5043.188905</v>
          </cell>
          <cell r="BB22" t="str">
            <v>y=-0.4655x2+182.84x-131.27</v>
          </cell>
        </row>
        <row r="23">
          <cell r="AZ23">
            <v>45450</v>
          </cell>
          <cell r="BA23">
            <v>4957.1198939999995</v>
          </cell>
          <cell r="BB23" t="str">
            <v>y=0.3726x2+164.82x-80.121</v>
          </cell>
        </row>
        <row r="24">
          <cell r="AZ24">
            <v>45456</v>
          </cell>
          <cell r="BA24">
            <v>5005.3918000000012</v>
          </cell>
          <cell r="BB24" t="str">
            <v>y=0.5008x2+161.36x-95.221</v>
          </cell>
        </row>
        <row r="25">
          <cell r="AZ25">
            <v>45470</v>
          </cell>
          <cell r="BA25">
            <v>5010.9959280000003</v>
          </cell>
          <cell r="BB25" t="str">
            <v>y=-0.1273x2+178.61x-95.875</v>
          </cell>
        </row>
        <row r="26">
          <cell r="AZ26">
            <v>45484</v>
          </cell>
          <cell r="BA26">
            <v>5009.9948800000002</v>
          </cell>
          <cell r="BB26" t="str">
            <v>y=-0.322x2+190.08x-162.91</v>
          </cell>
        </row>
        <row r="27">
          <cell r="AZ27">
            <v>45492</v>
          </cell>
          <cell r="BA27">
            <v>5434.1688119999999</v>
          </cell>
          <cell r="BB27" t="str">
            <v>y=-0.553x2+197.57x-171.1</v>
          </cell>
        </row>
        <row r="28">
          <cell r="AZ28">
            <v>45499</v>
          </cell>
          <cell r="BA28">
            <v>5016.2728200000001</v>
          </cell>
          <cell r="BB28" t="str">
            <v>y=0.822x2+151.75x-95.73</v>
          </cell>
        </row>
        <row r="29">
          <cell r="AZ29">
            <v>45504</v>
          </cell>
          <cell r="BA29">
            <v>5002.1466499999997</v>
          </cell>
          <cell r="BB29" t="str">
            <v>y=-0.2326x2+202.66x-205</v>
          </cell>
        </row>
      </sheetData>
      <sheetData sheetId="7"/>
      <sheetData sheetId="8"/>
      <sheetData sheetId="9">
        <row r="2">
          <cell r="A2" t="str">
            <v>CHK</v>
          </cell>
        </row>
      </sheetData>
      <sheetData sheetId="10">
        <row r="2">
          <cell r="C2" t="str">
            <v>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AF8B-D20B-4747-8DFE-FEA0FDDC1BDF}">
  <dimension ref="A2:J17"/>
  <sheetViews>
    <sheetView workbookViewId="0">
      <selection activeCell="O15" sqref="O15"/>
    </sheetView>
  </sheetViews>
  <sheetFormatPr defaultRowHeight="14.5" x14ac:dyDescent="0.35"/>
  <cols>
    <col min="1" max="1" width="21.7265625" style="2" customWidth="1"/>
    <col min="2" max="5" width="12.6328125" customWidth="1"/>
    <col min="15" max="15" width="14.90625" customWidth="1"/>
    <col min="22" max="22" width="14.453125" customWidth="1"/>
  </cols>
  <sheetData>
    <row r="2" spans="2:10" x14ac:dyDescent="0.35">
      <c r="B2" s="2" t="s">
        <v>0</v>
      </c>
      <c r="C2" s="2" t="s">
        <v>6</v>
      </c>
      <c r="D2" t="s">
        <v>7</v>
      </c>
      <c r="E2" s="2" t="s">
        <v>0</v>
      </c>
    </row>
    <row r="3" spans="2:10" x14ac:dyDescent="0.35">
      <c r="B3" s="4">
        <v>45455</v>
      </c>
      <c r="C3" s="2">
        <v>0</v>
      </c>
      <c r="D3" s="52">
        <v>24</v>
      </c>
      <c r="E3" s="4">
        <v>45455</v>
      </c>
      <c r="I3" s="4">
        <v>45455</v>
      </c>
      <c r="J3" s="52">
        <v>24</v>
      </c>
    </row>
    <row r="4" spans="2:10" x14ac:dyDescent="0.35">
      <c r="B4" s="3">
        <v>45457</v>
      </c>
      <c r="C4" s="2">
        <v>0</v>
      </c>
      <c r="D4" s="52">
        <v>24</v>
      </c>
      <c r="E4" s="4"/>
      <c r="I4" s="4">
        <v>45464</v>
      </c>
      <c r="J4" s="52">
        <v>77</v>
      </c>
    </row>
    <row r="5" spans="2:10" x14ac:dyDescent="0.35">
      <c r="B5" s="1">
        <v>45463</v>
      </c>
      <c r="C5" s="2">
        <v>0</v>
      </c>
      <c r="D5" s="52">
        <v>24</v>
      </c>
      <c r="E5" s="4"/>
      <c r="I5" s="4">
        <v>45467</v>
      </c>
      <c r="J5" s="52">
        <v>34.5</v>
      </c>
    </row>
    <row r="6" spans="2:10" x14ac:dyDescent="0.35">
      <c r="B6" s="4">
        <v>45464</v>
      </c>
      <c r="C6" s="2">
        <v>0</v>
      </c>
      <c r="D6" s="52">
        <v>77</v>
      </c>
      <c r="E6" s="4">
        <v>45464</v>
      </c>
      <c r="I6" s="4">
        <v>45471</v>
      </c>
      <c r="J6" s="52">
        <v>163</v>
      </c>
    </row>
    <row r="7" spans="2:10" x14ac:dyDescent="0.35">
      <c r="B7" s="1">
        <v>45467</v>
      </c>
      <c r="C7" s="2">
        <v>0</v>
      </c>
      <c r="D7" s="52">
        <v>34.5</v>
      </c>
      <c r="E7" s="4">
        <v>45467</v>
      </c>
      <c r="I7" s="4">
        <v>45474</v>
      </c>
      <c r="J7" s="52">
        <v>253</v>
      </c>
    </row>
    <row r="8" spans="2:10" x14ac:dyDescent="0.35">
      <c r="B8" s="4">
        <v>45471</v>
      </c>
      <c r="C8" s="2">
        <v>0</v>
      </c>
      <c r="D8" s="52">
        <v>163</v>
      </c>
      <c r="E8" s="4">
        <v>45471</v>
      </c>
      <c r="I8" s="4">
        <v>45483</v>
      </c>
      <c r="J8" s="52">
        <v>248</v>
      </c>
    </row>
    <row r="9" spans="2:10" x14ac:dyDescent="0.35">
      <c r="B9" s="4">
        <v>45474</v>
      </c>
      <c r="C9" s="2">
        <v>0</v>
      </c>
      <c r="D9" s="52">
        <v>253</v>
      </c>
      <c r="E9" s="4">
        <v>45474</v>
      </c>
      <c r="I9" s="4">
        <v>45497</v>
      </c>
      <c r="J9" s="52">
        <v>133.5</v>
      </c>
    </row>
    <row r="10" spans="2:10" x14ac:dyDescent="0.35">
      <c r="B10" s="1">
        <v>45476</v>
      </c>
      <c r="C10" s="2">
        <v>50</v>
      </c>
      <c r="D10" s="52">
        <v>253</v>
      </c>
      <c r="E10" s="4"/>
    </row>
    <row r="11" spans="2:10" x14ac:dyDescent="0.35">
      <c r="B11" s="1">
        <v>45477</v>
      </c>
      <c r="C11" s="2">
        <v>50</v>
      </c>
      <c r="D11" s="52">
        <v>253</v>
      </c>
      <c r="E11" s="4"/>
    </row>
    <row r="12" spans="2:10" x14ac:dyDescent="0.35">
      <c r="B12" s="1">
        <v>45479</v>
      </c>
      <c r="C12" s="2">
        <v>50</v>
      </c>
      <c r="D12" s="52">
        <v>253</v>
      </c>
      <c r="E12" s="4"/>
    </row>
    <row r="13" spans="2:10" x14ac:dyDescent="0.35">
      <c r="B13" s="1">
        <v>45481</v>
      </c>
      <c r="C13" s="2">
        <v>50</v>
      </c>
      <c r="D13" s="52">
        <v>253</v>
      </c>
    </row>
    <row r="14" spans="2:10" x14ac:dyDescent="0.35">
      <c r="B14" s="1">
        <v>45483</v>
      </c>
      <c r="C14" s="2">
        <v>25</v>
      </c>
      <c r="D14" s="52">
        <v>248</v>
      </c>
      <c r="E14" s="4">
        <v>45483</v>
      </c>
    </row>
    <row r="15" spans="2:10" x14ac:dyDescent="0.35">
      <c r="B15" s="1">
        <v>45488</v>
      </c>
      <c r="C15" s="2">
        <v>0</v>
      </c>
      <c r="D15" s="52">
        <v>248</v>
      </c>
    </row>
    <row r="16" spans="2:10" x14ac:dyDescent="0.35">
      <c r="B16" s="1">
        <v>45491</v>
      </c>
      <c r="C16" s="2">
        <v>150</v>
      </c>
      <c r="D16" s="52">
        <v>248</v>
      </c>
    </row>
    <row r="17" spans="2:5" x14ac:dyDescent="0.35">
      <c r="B17" s="1">
        <v>45497</v>
      </c>
      <c r="C17" s="2">
        <v>0</v>
      </c>
      <c r="D17" s="52">
        <v>133.5</v>
      </c>
      <c r="E17" s="4">
        <v>45497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32E4-D241-46CD-8185-5C650BA698DB}">
  <dimension ref="A1:K18"/>
  <sheetViews>
    <sheetView workbookViewId="0">
      <selection activeCell="H24" sqref="H24"/>
    </sheetView>
  </sheetViews>
  <sheetFormatPr defaultRowHeight="14.5" x14ac:dyDescent="0.35"/>
  <cols>
    <col min="1" max="1" width="21" customWidth="1"/>
    <col min="2" max="5" width="14.6328125" customWidth="1"/>
    <col min="6" max="6" width="21.54296875" customWidth="1"/>
    <col min="7" max="15" width="14.6328125" customWidth="1"/>
  </cols>
  <sheetData>
    <row r="1" spans="1:8" x14ac:dyDescent="0.35">
      <c r="A1" s="5" t="s">
        <v>8</v>
      </c>
      <c r="B1" s="6">
        <v>45495.588888888888</v>
      </c>
      <c r="C1" s="5" t="s">
        <v>9</v>
      </c>
      <c r="D1" s="5" t="s">
        <v>10</v>
      </c>
      <c r="E1" s="5" t="s">
        <v>11</v>
      </c>
      <c r="F1" s="5" t="s">
        <v>12</v>
      </c>
      <c r="G1" s="5"/>
    </row>
    <row r="2" spans="1:8" x14ac:dyDescent="0.35">
      <c r="A2" t="s">
        <v>1</v>
      </c>
    </row>
    <row r="3" spans="1:8" x14ac:dyDescent="0.35">
      <c r="A3" s="5" t="s">
        <v>13</v>
      </c>
      <c r="B3" s="5"/>
      <c r="C3" s="8">
        <v>268.0068182</v>
      </c>
      <c r="D3" s="8">
        <v>175.95454549999999</v>
      </c>
      <c r="E3" s="8">
        <v>77.731818180000005</v>
      </c>
      <c r="F3" s="8">
        <v>118.8686364</v>
      </c>
      <c r="G3" s="8"/>
    </row>
    <row r="4" spans="1:8" x14ac:dyDescent="0.35">
      <c r="A4" s="7" t="s">
        <v>4</v>
      </c>
      <c r="B4" s="5"/>
      <c r="C4" s="9"/>
      <c r="D4" s="9"/>
      <c r="E4" s="9"/>
    </row>
    <row r="5" spans="1:8" x14ac:dyDescent="0.35">
      <c r="A5" s="5" t="s">
        <v>13</v>
      </c>
      <c r="B5" s="5"/>
      <c r="C5" s="8">
        <v>237.56461540000001</v>
      </c>
      <c r="D5" s="8">
        <v>155.21538459999999</v>
      </c>
      <c r="E5" s="8">
        <v>80.126153849999994</v>
      </c>
      <c r="F5" s="8">
        <v>82.449538459999999</v>
      </c>
      <c r="G5" s="8"/>
    </row>
    <row r="6" spans="1:8" x14ac:dyDescent="0.35">
      <c r="A6" s="10" t="s">
        <v>5</v>
      </c>
      <c r="B6" s="10"/>
      <c r="C6" s="11">
        <v>252.78571679999999</v>
      </c>
      <c r="D6" s="11">
        <v>165.58496504999999</v>
      </c>
      <c r="E6" s="11">
        <v>78.928986014999992</v>
      </c>
      <c r="F6" s="11">
        <v>100.65908743</v>
      </c>
      <c r="G6" s="11"/>
    </row>
    <row r="7" spans="1:8" x14ac:dyDescent="0.35">
      <c r="A7" s="5"/>
      <c r="B7" s="5"/>
      <c r="C7" s="8"/>
      <c r="D7" s="8"/>
      <c r="E7" s="8"/>
      <c r="F7" s="8"/>
      <c r="G7" s="8"/>
    </row>
    <row r="8" spans="1:8" x14ac:dyDescent="0.35">
      <c r="A8" s="5"/>
      <c r="B8" s="5"/>
      <c r="C8" s="8"/>
      <c r="D8" s="8"/>
      <c r="E8" s="8"/>
      <c r="F8" s="8"/>
      <c r="G8" s="8"/>
    </row>
    <row r="9" spans="1:8" x14ac:dyDescent="0.35">
      <c r="A9" s="5"/>
      <c r="B9" s="5"/>
      <c r="C9" s="8"/>
      <c r="D9" s="8"/>
      <c r="E9" s="8"/>
      <c r="F9" s="8"/>
      <c r="G9" s="8"/>
    </row>
    <row r="10" spans="1:8" x14ac:dyDescent="0.35">
      <c r="A10" s="5"/>
      <c r="B10" s="5"/>
      <c r="C10" s="9"/>
      <c r="D10" s="9"/>
      <c r="E10" s="9"/>
      <c r="F10" s="9"/>
      <c r="G10" s="9"/>
    </row>
    <row r="11" spans="1:8" x14ac:dyDescent="0.35">
      <c r="A11" s="5" t="s">
        <v>8</v>
      </c>
      <c r="B11" s="6">
        <v>45495.588888888888</v>
      </c>
      <c r="C11" s="5" t="s">
        <v>9</v>
      </c>
      <c r="D11" s="5" t="s">
        <v>10</v>
      </c>
      <c r="E11" s="5" t="s">
        <v>11</v>
      </c>
      <c r="F11" s="5" t="s">
        <v>12</v>
      </c>
      <c r="G11" s="5"/>
    </row>
    <row r="12" spans="1:8" x14ac:dyDescent="0.35">
      <c r="A12" s="5" t="s">
        <v>2</v>
      </c>
    </row>
    <row r="13" spans="1:8" x14ac:dyDescent="0.35">
      <c r="A13" s="5" t="s">
        <v>13</v>
      </c>
      <c r="B13" s="5"/>
      <c r="C13" s="8">
        <v>206.34047620000001</v>
      </c>
      <c r="D13" s="8">
        <v>135.42857140000001</v>
      </c>
      <c r="E13" s="8">
        <v>92.371428570000006</v>
      </c>
      <c r="F13" s="8">
        <v>175.10142859999999</v>
      </c>
      <c r="G13" s="8"/>
    </row>
    <row r="14" spans="1:8" x14ac:dyDescent="0.35">
      <c r="A14" s="5" t="s">
        <v>3</v>
      </c>
      <c r="B14" s="5"/>
      <c r="C14" s="9"/>
      <c r="D14" s="9"/>
      <c r="E14" s="9"/>
      <c r="F14" s="9"/>
      <c r="G14" s="9"/>
      <c r="H14" s="9"/>
    </row>
    <row r="15" spans="1:8" x14ac:dyDescent="0.35">
      <c r="A15" s="5" t="s">
        <v>13</v>
      </c>
      <c r="B15" s="5"/>
      <c r="C15" s="8">
        <v>244.44444440000001</v>
      </c>
      <c r="D15" s="8">
        <v>158.33333329999999</v>
      </c>
      <c r="E15" s="8">
        <v>83.303174600000006</v>
      </c>
      <c r="F15" s="8">
        <v>95.015873020000001</v>
      </c>
      <c r="G15" s="8"/>
      <c r="H15" s="9"/>
    </row>
    <row r="16" spans="1:8" x14ac:dyDescent="0.35">
      <c r="A16" s="10" t="s">
        <v>5</v>
      </c>
      <c r="B16" s="10"/>
      <c r="C16" s="11">
        <v>225.39246030000001</v>
      </c>
      <c r="D16" s="11">
        <v>146.88095235</v>
      </c>
      <c r="E16" s="11">
        <v>87.837301585000006</v>
      </c>
      <c r="F16" s="11">
        <v>135.05865080999999</v>
      </c>
      <c r="G16" s="11"/>
      <c r="H16" s="9"/>
    </row>
    <row r="17" spans="1:11" x14ac:dyDescent="0.35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9"/>
    </row>
    <row r="18" spans="1:11" x14ac:dyDescent="0.35">
      <c r="C18" s="8"/>
      <c r="D18" s="8"/>
      <c r="E18" s="8"/>
      <c r="F18" s="8"/>
      <c r="G18" s="8"/>
      <c r="H18" s="8"/>
      <c r="I18" s="8"/>
      <c r="J18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BFEB0-4A6C-4E27-8168-70EB3FF8DA31}">
  <dimension ref="A4:D10"/>
  <sheetViews>
    <sheetView workbookViewId="0">
      <selection activeCell="H14" sqref="H14:H15"/>
    </sheetView>
  </sheetViews>
  <sheetFormatPr defaultRowHeight="14.5" x14ac:dyDescent="0.35"/>
  <cols>
    <col min="1" max="1" width="40.26953125" customWidth="1"/>
    <col min="2" max="12" width="14.6328125" customWidth="1"/>
  </cols>
  <sheetData>
    <row r="4" spans="1:4" x14ac:dyDescent="0.35">
      <c r="A4" t="s">
        <v>40</v>
      </c>
    </row>
    <row r="5" spans="1:4" ht="15.5" x14ac:dyDescent="0.35">
      <c r="A5" s="12"/>
      <c r="B5" s="15" t="s">
        <v>15</v>
      </c>
      <c r="C5" s="15" t="s">
        <v>19</v>
      </c>
      <c r="D5" s="28" t="s">
        <v>14</v>
      </c>
    </row>
    <row r="6" spans="1:4" ht="15.5" x14ac:dyDescent="0.35">
      <c r="A6" s="26" t="s">
        <v>38</v>
      </c>
      <c r="B6" s="27" t="s">
        <v>5</v>
      </c>
      <c r="C6" s="27" t="s">
        <v>5</v>
      </c>
      <c r="D6" s="16" t="s">
        <v>39</v>
      </c>
    </row>
    <row r="7" spans="1:4" ht="15.5" x14ac:dyDescent="0.35">
      <c r="A7" s="14" t="s">
        <v>20</v>
      </c>
      <c r="B7" s="17">
        <v>146.881</v>
      </c>
      <c r="C7" s="17">
        <v>165.58500000000001</v>
      </c>
      <c r="D7" s="18">
        <v>0.34970000000000001</v>
      </c>
    </row>
    <row r="8" spans="1:4" ht="15.5" x14ac:dyDescent="0.35">
      <c r="A8" s="14" t="s">
        <v>21</v>
      </c>
      <c r="B8" s="17">
        <v>87.837299999999999</v>
      </c>
      <c r="C8" s="17">
        <v>78.929000000000002</v>
      </c>
      <c r="D8" s="18">
        <v>0.19789999999999999</v>
      </c>
    </row>
    <row r="9" spans="1:4" ht="16.5" customHeight="1" x14ac:dyDescent="0.35">
      <c r="A9" s="14" t="s">
        <v>23</v>
      </c>
      <c r="B9" s="17">
        <v>135.05869999999999</v>
      </c>
      <c r="C9" s="17">
        <v>100.6591</v>
      </c>
      <c r="D9" s="18">
        <v>0.5161</v>
      </c>
    </row>
    <row r="10" spans="1:4" ht="15.5" x14ac:dyDescent="0.35">
      <c r="A10" s="13" t="s">
        <v>22</v>
      </c>
      <c r="B10" s="17">
        <v>225.39250000000001</v>
      </c>
      <c r="C10" s="17">
        <v>252.78569999999999</v>
      </c>
      <c r="D10" s="18">
        <v>0.378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C0E7-81A6-4BD8-836C-38A257136E74}">
  <dimension ref="A1:T43"/>
  <sheetViews>
    <sheetView topLeftCell="F1" workbookViewId="0">
      <selection activeCell="Q12" sqref="Q12"/>
    </sheetView>
  </sheetViews>
  <sheetFormatPr defaultRowHeight="14.5" x14ac:dyDescent="0.35"/>
  <cols>
    <col min="1" max="1" width="16.81640625" customWidth="1"/>
    <col min="2" max="4" width="20.6328125" customWidth="1"/>
    <col min="5" max="5" width="9.90625" customWidth="1"/>
    <col min="6" max="12" width="20.6328125" customWidth="1"/>
  </cols>
  <sheetData>
    <row r="1" spans="1:13" x14ac:dyDescent="0.35">
      <c r="B1" t="s">
        <v>247</v>
      </c>
      <c r="C1" t="s">
        <v>248</v>
      </c>
      <c r="F1" t="s">
        <v>250</v>
      </c>
      <c r="G1" t="s">
        <v>249</v>
      </c>
    </row>
    <row r="2" spans="1:13" x14ac:dyDescent="0.35">
      <c r="B2" t="s">
        <v>251</v>
      </c>
      <c r="C2" t="s">
        <v>251</v>
      </c>
      <c r="D2" t="s">
        <v>5</v>
      </c>
      <c r="F2" t="s">
        <v>251</v>
      </c>
      <c r="G2" t="s">
        <v>251</v>
      </c>
      <c r="H2" t="s">
        <v>5</v>
      </c>
      <c r="J2" s="56" t="s">
        <v>227</v>
      </c>
      <c r="K2" s="56" t="s">
        <v>15</v>
      </c>
      <c r="L2" t="s">
        <v>255</v>
      </c>
      <c r="M2" t="s">
        <v>256</v>
      </c>
    </row>
    <row r="3" spans="1:13" x14ac:dyDescent="0.35">
      <c r="A3" s="4">
        <v>45455</v>
      </c>
      <c r="B3">
        <v>5</v>
      </c>
      <c r="C3">
        <v>5</v>
      </c>
      <c r="D3" s="52">
        <v>5</v>
      </c>
      <c r="F3">
        <v>5</v>
      </c>
      <c r="G3">
        <v>5</v>
      </c>
      <c r="H3" s="52">
        <v>5</v>
      </c>
      <c r="J3" s="52">
        <v>5</v>
      </c>
      <c r="K3" s="52">
        <v>5</v>
      </c>
    </row>
    <row r="4" spans="1:13" x14ac:dyDescent="0.35">
      <c r="A4" s="4">
        <v>45464</v>
      </c>
      <c r="B4">
        <v>0</v>
      </c>
      <c r="C4">
        <v>5</v>
      </c>
      <c r="D4" s="52">
        <v>2.5</v>
      </c>
      <c r="F4">
        <v>12</v>
      </c>
      <c r="G4">
        <v>3</v>
      </c>
      <c r="H4" s="52">
        <v>7.5</v>
      </c>
      <c r="J4" s="52">
        <v>2.5</v>
      </c>
      <c r="K4" s="52">
        <v>7.5</v>
      </c>
      <c r="L4" s="69">
        <v>0.375</v>
      </c>
      <c r="M4" s="52"/>
    </row>
    <row r="5" spans="1:13" x14ac:dyDescent="0.35">
      <c r="A5" s="4">
        <v>45467</v>
      </c>
      <c r="B5">
        <v>0</v>
      </c>
      <c r="C5">
        <v>0</v>
      </c>
      <c r="D5" s="52">
        <v>0</v>
      </c>
      <c r="F5">
        <v>20</v>
      </c>
      <c r="G5">
        <v>15</v>
      </c>
      <c r="H5" s="52">
        <v>17.5</v>
      </c>
      <c r="J5" s="52">
        <v>1</v>
      </c>
      <c r="K5" s="52">
        <v>17.5</v>
      </c>
      <c r="L5" s="69">
        <v>0.05</v>
      </c>
    </row>
    <row r="6" spans="1:13" x14ac:dyDescent="0.35">
      <c r="A6" s="4">
        <v>45471</v>
      </c>
      <c r="B6">
        <v>1</v>
      </c>
      <c r="C6">
        <v>4</v>
      </c>
      <c r="D6" s="52">
        <v>2.5</v>
      </c>
      <c r="F6">
        <v>81</v>
      </c>
      <c r="G6">
        <v>149</v>
      </c>
      <c r="H6" s="52">
        <v>115</v>
      </c>
      <c r="J6" s="52">
        <v>2.5</v>
      </c>
      <c r="K6" s="52">
        <v>115</v>
      </c>
      <c r="L6" s="69">
        <v>0.03</v>
      </c>
    </row>
    <row r="7" spans="1:13" x14ac:dyDescent="0.35">
      <c r="A7" s="4">
        <v>45474</v>
      </c>
      <c r="B7">
        <v>0</v>
      </c>
      <c r="C7">
        <v>9</v>
      </c>
      <c r="D7" s="52">
        <v>4.5</v>
      </c>
      <c r="F7">
        <v>99</v>
      </c>
      <c r="G7">
        <v>364</v>
      </c>
      <c r="H7" s="52">
        <v>231.5</v>
      </c>
      <c r="J7" s="52">
        <v>4.5</v>
      </c>
      <c r="K7" s="52">
        <v>231.5</v>
      </c>
      <c r="L7" s="69">
        <v>0.02</v>
      </c>
    </row>
    <row r="8" spans="1:13" x14ac:dyDescent="0.35">
      <c r="A8" s="4">
        <v>45483</v>
      </c>
      <c r="B8">
        <v>9</v>
      </c>
      <c r="C8">
        <v>28</v>
      </c>
      <c r="D8" s="52">
        <v>18.5</v>
      </c>
      <c r="F8">
        <v>67</v>
      </c>
      <c r="G8">
        <v>927</v>
      </c>
      <c r="H8" s="52">
        <v>497</v>
      </c>
      <c r="J8" s="52">
        <v>18.5</v>
      </c>
      <c r="K8" s="52">
        <v>497</v>
      </c>
      <c r="L8" s="69">
        <v>0.04</v>
      </c>
    </row>
    <row r="9" spans="1:13" x14ac:dyDescent="0.35">
      <c r="A9" s="4">
        <v>45497</v>
      </c>
      <c r="B9">
        <v>0</v>
      </c>
      <c r="C9">
        <v>18</v>
      </c>
      <c r="D9" s="52">
        <v>9</v>
      </c>
      <c r="F9">
        <v>33</v>
      </c>
      <c r="G9">
        <v>712</v>
      </c>
      <c r="H9" s="52">
        <v>372.5</v>
      </c>
      <c r="J9" s="52">
        <v>9</v>
      </c>
      <c r="K9" s="52">
        <v>372.5</v>
      </c>
      <c r="L9" s="69">
        <v>0.02</v>
      </c>
    </row>
    <row r="10" spans="1:13" x14ac:dyDescent="0.35">
      <c r="I10" s="56" t="s">
        <v>254</v>
      </c>
      <c r="J10" s="55">
        <v>42</v>
      </c>
      <c r="K10" s="55">
        <v>1246</v>
      </c>
      <c r="L10" s="69">
        <f>AVERAGE(L4:L9)</f>
        <v>8.9166666666666672E-2</v>
      </c>
      <c r="M10" s="70">
        <v>0.91</v>
      </c>
    </row>
    <row r="14" spans="1:13" x14ac:dyDescent="0.35">
      <c r="B14" t="s">
        <v>247</v>
      </c>
      <c r="C14" t="s">
        <v>248</v>
      </c>
      <c r="F14" t="s">
        <v>250</v>
      </c>
      <c r="G14" t="s">
        <v>249</v>
      </c>
    </row>
    <row r="15" spans="1:13" x14ac:dyDescent="0.35">
      <c r="B15" t="s">
        <v>7</v>
      </c>
      <c r="C15" t="s">
        <v>7</v>
      </c>
      <c r="D15" t="s">
        <v>5</v>
      </c>
      <c r="F15" t="s">
        <v>7</v>
      </c>
      <c r="G15" t="s">
        <v>7</v>
      </c>
      <c r="H15" t="s">
        <v>5</v>
      </c>
      <c r="J15" s="56" t="s">
        <v>227</v>
      </c>
      <c r="K15" s="56" t="s">
        <v>15</v>
      </c>
      <c r="M15" t="s">
        <v>256</v>
      </c>
    </row>
    <row r="16" spans="1:13" x14ac:dyDescent="0.35">
      <c r="A16" s="4">
        <v>45455</v>
      </c>
      <c r="B16">
        <v>24</v>
      </c>
      <c r="C16">
        <v>24</v>
      </c>
      <c r="D16" s="52">
        <v>24</v>
      </c>
      <c r="F16">
        <v>24</v>
      </c>
      <c r="G16">
        <v>24</v>
      </c>
      <c r="H16" s="52">
        <v>24</v>
      </c>
      <c r="J16" s="52">
        <v>24</v>
      </c>
      <c r="K16" s="52">
        <v>24</v>
      </c>
    </row>
    <row r="17" spans="1:20" x14ac:dyDescent="0.35">
      <c r="A17" s="4">
        <v>45464</v>
      </c>
      <c r="B17">
        <v>46</v>
      </c>
      <c r="C17">
        <v>108</v>
      </c>
      <c r="D17" s="52">
        <v>77</v>
      </c>
      <c r="F17">
        <v>143</v>
      </c>
      <c r="G17">
        <v>169</v>
      </c>
      <c r="H17" s="52">
        <v>156</v>
      </c>
      <c r="J17" s="52">
        <v>77</v>
      </c>
      <c r="K17" s="52">
        <v>156</v>
      </c>
      <c r="L17" s="69">
        <v>0.49</v>
      </c>
    </row>
    <row r="18" spans="1:20" x14ac:dyDescent="0.35">
      <c r="A18" s="4">
        <v>45467</v>
      </c>
      <c r="B18">
        <v>49</v>
      </c>
      <c r="C18">
        <v>20</v>
      </c>
      <c r="D18" s="52">
        <v>34.5</v>
      </c>
      <c r="F18">
        <v>293</v>
      </c>
      <c r="G18">
        <v>174</v>
      </c>
      <c r="H18" s="52">
        <v>233.5</v>
      </c>
      <c r="J18" s="52">
        <v>34.5</v>
      </c>
      <c r="K18" s="52">
        <v>233.5</v>
      </c>
      <c r="L18" s="69">
        <v>0.15</v>
      </c>
    </row>
    <row r="19" spans="1:20" x14ac:dyDescent="0.35">
      <c r="A19" s="4">
        <v>45471</v>
      </c>
      <c r="B19">
        <v>74</v>
      </c>
      <c r="C19">
        <v>252</v>
      </c>
      <c r="D19" s="52">
        <v>163</v>
      </c>
      <c r="F19">
        <v>625</v>
      </c>
      <c r="G19">
        <v>152</v>
      </c>
      <c r="H19" s="52">
        <v>388.5</v>
      </c>
      <c r="J19" s="52">
        <v>163</v>
      </c>
      <c r="K19" s="52">
        <v>388.5</v>
      </c>
      <c r="L19" s="69">
        <v>0.42</v>
      </c>
    </row>
    <row r="20" spans="1:20" x14ac:dyDescent="0.35">
      <c r="A20" s="4">
        <v>45474</v>
      </c>
      <c r="B20">
        <v>139</v>
      </c>
      <c r="C20">
        <v>367</v>
      </c>
      <c r="D20" s="52">
        <v>253</v>
      </c>
      <c r="F20">
        <v>631</v>
      </c>
      <c r="G20">
        <v>221</v>
      </c>
      <c r="H20" s="52">
        <v>426</v>
      </c>
      <c r="J20" s="52">
        <v>253</v>
      </c>
      <c r="K20" s="52">
        <v>426</v>
      </c>
      <c r="L20" s="69">
        <v>0.59</v>
      </c>
    </row>
    <row r="21" spans="1:20" x14ac:dyDescent="0.35">
      <c r="A21" s="4">
        <v>45483</v>
      </c>
      <c r="B21">
        <v>107</v>
      </c>
      <c r="C21">
        <v>389</v>
      </c>
      <c r="D21" s="52">
        <v>248</v>
      </c>
      <c r="F21">
        <v>1118</v>
      </c>
      <c r="G21">
        <v>380</v>
      </c>
      <c r="H21" s="52">
        <v>749</v>
      </c>
      <c r="J21" s="52">
        <v>248</v>
      </c>
      <c r="K21" s="52">
        <v>749</v>
      </c>
      <c r="L21" s="69">
        <v>0.33</v>
      </c>
    </row>
    <row r="22" spans="1:20" x14ac:dyDescent="0.35">
      <c r="A22" s="4">
        <v>45497</v>
      </c>
      <c r="B22">
        <v>22</v>
      </c>
      <c r="C22">
        <v>245</v>
      </c>
      <c r="D22" s="52">
        <v>133.5</v>
      </c>
      <c r="F22">
        <v>2379</v>
      </c>
      <c r="G22">
        <v>140</v>
      </c>
      <c r="H22" s="52">
        <v>1259.5</v>
      </c>
      <c r="J22" s="52">
        <v>133.5</v>
      </c>
      <c r="K22" s="52">
        <v>1259.5</v>
      </c>
      <c r="L22" s="69">
        <v>0.11</v>
      </c>
    </row>
    <row r="23" spans="1:20" x14ac:dyDescent="0.35">
      <c r="I23" s="56" t="s">
        <v>252</v>
      </c>
      <c r="J23" s="53">
        <v>933</v>
      </c>
      <c r="K23" s="53">
        <v>3237</v>
      </c>
      <c r="L23" s="69">
        <f>AVERAGE(L17:L22)</f>
        <v>0.34833333333333333</v>
      </c>
      <c r="M23" s="70">
        <v>0.65</v>
      </c>
    </row>
    <row r="24" spans="1:20" x14ac:dyDescent="0.35">
      <c r="I24" s="53"/>
      <c r="T24" s="53"/>
    </row>
    <row r="25" spans="1:20" x14ac:dyDescent="0.35">
      <c r="I25" s="53"/>
      <c r="T25" s="53"/>
    </row>
    <row r="26" spans="1:20" x14ac:dyDescent="0.35">
      <c r="I26" s="53"/>
      <c r="T26" s="53"/>
    </row>
    <row r="27" spans="1:20" x14ac:dyDescent="0.35">
      <c r="D27" s="4">
        <v>45455</v>
      </c>
      <c r="E27" s="4">
        <v>45464</v>
      </c>
      <c r="F27" s="4">
        <v>45467</v>
      </c>
      <c r="G27" s="4">
        <v>45471</v>
      </c>
      <c r="H27" s="4">
        <v>45474</v>
      </c>
      <c r="I27" s="4">
        <v>45483</v>
      </c>
      <c r="J27" s="4">
        <v>45497</v>
      </c>
    </row>
    <row r="28" spans="1:20" x14ac:dyDescent="0.35">
      <c r="B28" t="s">
        <v>247</v>
      </c>
      <c r="C28" t="s">
        <v>251</v>
      </c>
      <c r="D28">
        <v>5</v>
      </c>
      <c r="E28">
        <v>0</v>
      </c>
      <c r="F28">
        <v>0</v>
      </c>
      <c r="G28">
        <v>1</v>
      </c>
      <c r="H28">
        <v>0</v>
      </c>
      <c r="I28">
        <v>9</v>
      </c>
      <c r="J28">
        <v>0</v>
      </c>
    </row>
    <row r="29" spans="1:20" x14ac:dyDescent="0.35">
      <c r="B29" t="s">
        <v>248</v>
      </c>
      <c r="C29" t="s">
        <v>251</v>
      </c>
      <c r="D29">
        <v>5</v>
      </c>
      <c r="E29">
        <v>5</v>
      </c>
      <c r="F29">
        <v>0</v>
      </c>
      <c r="G29">
        <v>4</v>
      </c>
      <c r="H29">
        <v>9</v>
      </c>
      <c r="I29">
        <v>28</v>
      </c>
      <c r="J29">
        <v>18</v>
      </c>
    </row>
    <row r="30" spans="1:20" x14ac:dyDescent="0.35">
      <c r="C30" t="s">
        <v>5</v>
      </c>
      <c r="D30" s="52">
        <v>5</v>
      </c>
      <c r="E30" s="52">
        <v>2.5</v>
      </c>
      <c r="F30" s="52">
        <v>0</v>
      </c>
      <c r="G30" s="52">
        <v>2.5</v>
      </c>
      <c r="H30" s="52">
        <v>4.5</v>
      </c>
      <c r="I30" s="52">
        <v>18.5</v>
      </c>
      <c r="J30" s="52">
        <v>9</v>
      </c>
    </row>
    <row r="32" spans="1:20" x14ac:dyDescent="0.35">
      <c r="B32" t="s">
        <v>250</v>
      </c>
      <c r="C32" t="s">
        <v>251</v>
      </c>
      <c r="D32">
        <v>5</v>
      </c>
      <c r="E32">
        <v>12</v>
      </c>
      <c r="F32">
        <v>20</v>
      </c>
      <c r="G32">
        <v>81</v>
      </c>
      <c r="H32">
        <v>99</v>
      </c>
      <c r="I32">
        <v>67</v>
      </c>
      <c r="J32">
        <v>33</v>
      </c>
    </row>
    <row r="33" spans="2:10" x14ac:dyDescent="0.35">
      <c r="B33" t="s">
        <v>249</v>
      </c>
      <c r="C33" t="s">
        <v>251</v>
      </c>
      <c r="D33">
        <v>5</v>
      </c>
      <c r="E33">
        <v>3</v>
      </c>
      <c r="F33">
        <v>15</v>
      </c>
      <c r="G33">
        <v>149</v>
      </c>
      <c r="H33">
        <v>364</v>
      </c>
      <c r="I33">
        <v>927</v>
      </c>
      <c r="J33">
        <v>712</v>
      </c>
    </row>
    <row r="34" spans="2:10" x14ac:dyDescent="0.35">
      <c r="C34" t="s">
        <v>5</v>
      </c>
      <c r="D34" s="52">
        <v>5</v>
      </c>
      <c r="E34" s="52">
        <v>7.5</v>
      </c>
      <c r="F34" s="52">
        <v>17.5</v>
      </c>
      <c r="G34" s="52">
        <v>115</v>
      </c>
      <c r="H34" s="52">
        <v>231.5</v>
      </c>
      <c r="I34" s="52">
        <v>497</v>
      </c>
      <c r="J34" s="52">
        <v>372.5</v>
      </c>
    </row>
    <row r="36" spans="2:10" x14ac:dyDescent="0.35">
      <c r="D36" s="4">
        <v>45455</v>
      </c>
      <c r="E36" s="4">
        <v>45464</v>
      </c>
      <c r="F36" s="4">
        <v>45467</v>
      </c>
      <c r="G36" s="4">
        <v>45471</v>
      </c>
      <c r="H36" s="4">
        <v>45474</v>
      </c>
      <c r="I36" s="4">
        <v>45483</v>
      </c>
      <c r="J36" s="4">
        <v>45497</v>
      </c>
    </row>
    <row r="37" spans="2:10" x14ac:dyDescent="0.35">
      <c r="B37" t="s">
        <v>247</v>
      </c>
      <c r="C37" t="s">
        <v>7</v>
      </c>
      <c r="D37">
        <v>24</v>
      </c>
      <c r="E37">
        <v>46</v>
      </c>
      <c r="F37">
        <v>49</v>
      </c>
      <c r="G37">
        <v>74</v>
      </c>
      <c r="H37">
        <v>139</v>
      </c>
      <c r="I37">
        <v>107</v>
      </c>
      <c r="J37">
        <v>22</v>
      </c>
    </row>
    <row r="38" spans="2:10" x14ac:dyDescent="0.35">
      <c r="B38" t="s">
        <v>248</v>
      </c>
      <c r="C38" t="s">
        <v>7</v>
      </c>
      <c r="D38">
        <v>24</v>
      </c>
      <c r="E38">
        <v>108</v>
      </c>
      <c r="F38">
        <v>20</v>
      </c>
      <c r="G38">
        <v>252</v>
      </c>
      <c r="H38">
        <v>367</v>
      </c>
      <c r="I38">
        <v>389</v>
      </c>
      <c r="J38">
        <v>245</v>
      </c>
    </row>
    <row r="39" spans="2:10" x14ac:dyDescent="0.35">
      <c r="C39" t="s">
        <v>5</v>
      </c>
      <c r="D39" s="52">
        <v>24</v>
      </c>
      <c r="E39" s="52">
        <v>77</v>
      </c>
      <c r="F39" s="52">
        <v>34.5</v>
      </c>
      <c r="G39" s="52">
        <v>163</v>
      </c>
      <c r="H39" s="52">
        <v>253</v>
      </c>
      <c r="I39" s="52">
        <v>248</v>
      </c>
      <c r="J39" s="52">
        <v>133.5</v>
      </c>
    </row>
    <row r="41" spans="2:10" x14ac:dyDescent="0.35">
      <c r="B41" t="s">
        <v>250</v>
      </c>
      <c r="C41" t="s">
        <v>7</v>
      </c>
      <c r="D41">
        <v>24</v>
      </c>
      <c r="E41">
        <v>143</v>
      </c>
      <c r="F41">
        <v>293</v>
      </c>
      <c r="G41">
        <v>625</v>
      </c>
      <c r="H41">
        <v>631</v>
      </c>
      <c r="I41">
        <v>1118</v>
      </c>
      <c r="J41">
        <v>2379</v>
      </c>
    </row>
    <row r="42" spans="2:10" x14ac:dyDescent="0.35">
      <c r="B42" t="s">
        <v>249</v>
      </c>
      <c r="C42" t="s">
        <v>7</v>
      </c>
      <c r="D42">
        <v>24</v>
      </c>
      <c r="E42">
        <v>169</v>
      </c>
      <c r="F42">
        <v>174</v>
      </c>
      <c r="G42">
        <v>152</v>
      </c>
      <c r="H42">
        <v>221</v>
      </c>
      <c r="I42">
        <v>380</v>
      </c>
      <c r="J42">
        <v>140</v>
      </c>
    </row>
    <row r="43" spans="2:10" x14ac:dyDescent="0.35">
      <c r="C43" t="s">
        <v>5</v>
      </c>
      <c r="D43" s="52">
        <v>24</v>
      </c>
      <c r="E43" s="52">
        <v>156</v>
      </c>
      <c r="F43" s="52">
        <v>233.5</v>
      </c>
      <c r="G43" s="52">
        <v>388.5</v>
      </c>
      <c r="H43" s="52">
        <v>426</v>
      </c>
      <c r="I43" s="52">
        <v>749</v>
      </c>
      <c r="J43" s="52">
        <v>1259.5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0117-6652-47FD-A12C-11CDF591E530}">
  <dimension ref="A2:I28"/>
  <sheetViews>
    <sheetView tabSelected="1" workbookViewId="0">
      <selection activeCell="L8" sqref="L8"/>
    </sheetView>
  </sheetViews>
  <sheetFormatPr defaultRowHeight="14.5" x14ac:dyDescent="0.35"/>
  <cols>
    <col min="1" max="1" width="28.81640625" customWidth="1"/>
    <col min="2" max="2" width="7.453125" customWidth="1"/>
    <col min="3" max="3" width="6.6328125" customWidth="1"/>
    <col min="4" max="4" width="7.26953125" customWidth="1"/>
    <col min="5" max="5" width="6.6328125" customWidth="1"/>
    <col min="6" max="6" width="6.81640625" customWidth="1"/>
    <col min="7" max="7" width="6.7265625" customWidth="1"/>
    <col min="8" max="8" width="6.81640625" customWidth="1"/>
    <col min="9" max="9" width="8.6328125" customWidth="1"/>
  </cols>
  <sheetData>
    <row r="2" spans="1:8" x14ac:dyDescent="0.35">
      <c r="B2" s="4">
        <v>45455</v>
      </c>
      <c r="C2" s="4">
        <v>45464</v>
      </c>
      <c r="D2" s="4">
        <v>45467</v>
      </c>
      <c r="E2" s="4">
        <v>45471</v>
      </c>
      <c r="F2" s="4">
        <v>45474</v>
      </c>
      <c r="G2" s="4">
        <v>45483</v>
      </c>
      <c r="H2" s="4">
        <v>45497</v>
      </c>
    </row>
    <row r="3" spans="1:8" x14ac:dyDescent="0.35">
      <c r="A3" t="s">
        <v>251</v>
      </c>
      <c r="B3">
        <v>5</v>
      </c>
      <c r="C3">
        <v>0</v>
      </c>
      <c r="D3">
        <v>0</v>
      </c>
      <c r="E3">
        <v>1</v>
      </c>
      <c r="F3">
        <v>0</v>
      </c>
      <c r="G3">
        <v>9</v>
      </c>
      <c r="H3">
        <v>0</v>
      </c>
    </row>
    <row r="4" spans="1:8" x14ac:dyDescent="0.35">
      <c r="A4" t="s">
        <v>251</v>
      </c>
      <c r="B4">
        <v>5</v>
      </c>
      <c r="C4">
        <v>5</v>
      </c>
      <c r="D4">
        <v>0</v>
      </c>
      <c r="E4">
        <v>4</v>
      </c>
      <c r="F4">
        <v>9</v>
      </c>
      <c r="G4">
        <v>28</v>
      </c>
      <c r="H4">
        <v>18</v>
      </c>
    </row>
    <row r="5" spans="1:8" x14ac:dyDescent="0.35">
      <c r="A5" t="s">
        <v>5</v>
      </c>
      <c r="B5" s="52">
        <v>5</v>
      </c>
      <c r="C5" s="52">
        <v>2.5</v>
      </c>
      <c r="D5" s="52">
        <v>0</v>
      </c>
      <c r="E5" s="52">
        <v>2.5</v>
      </c>
      <c r="F5" s="52">
        <v>4.5</v>
      </c>
      <c r="G5" s="52">
        <v>18.5</v>
      </c>
      <c r="H5" s="52">
        <v>9</v>
      </c>
    </row>
    <row r="7" spans="1:8" x14ac:dyDescent="0.35">
      <c r="A7" t="s">
        <v>251</v>
      </c>
      <c r="B7">
        <v>5</v>
      </c>
      <c r="C7">
        <v>12</v>
      </c>
      <c r="D7">
        <v>20</v>
      </c>
      <c r="E7">
        <v>81</v>
      </c>
      <c r="F7">
        <v>99</v>
      </c>
      <c r="G7">
        <v>67</v>
      </c>
      <c r="H7">
        <v>33</v>
      </c>
    </row>
    <row r="8" spans="1:8" x14ac:dyDescent="0.35">
      <c r="A8" t="s">
        <v>251</v>
      </c>
      <c r="B8">
        <v>5</v>
      </c>
      <c r="C8">
        <v>3</v>
      </c>
      <c r="D8">
        <v>15</v>
      </c>
      <c r="E8">
        <v>149</v>
      </c>
      <c r="F8">
        <v>364</v>
      </c>
      <c r="G8">
        <v>927</v>
      </c>
      <c r="H8">
        <v>712</v>
      </c>
    </row>
    <row r="9" spans="1:8" x14ac:dyDescent="0.35">
      <c r="A9" t="s">
        <v>5</v>
      </c>
      <c r="B9" s="52">
        <v>5</v>
      </c>
      <c r="C9" s="52">
        <v>7.5</v>
      </c>
      <c r="D9" s="52">
        <v>17.5</v>
      </c>
      <c r="E9" s="52">
        <v>115</v>
      </c>
      <c r="F9" s="52">
        <v>231.5</v>
      </c>
      <c r="G9" s="52">
        <v>497</v>
      </c>
      <c r="H9" s="52">
        <v>372.5</v>
      </c>
    </row>
    <row r="11" spans="1:8" x14ac:dyDescent="0.35">
      <c r="B11" s="4">
        <v>45455</v>
      </c>
      <c r="C11" s="4">
        <v>45464</v>
      </c>
      <c r="D11" s="4">
        <v>45467</v>
      </c>
      <c r="E11" s="4">
        <v>45471</v>
      </c>
      <c r="F11" s="4">
        <v>45474</v>
      </c>
      <c r="G11" s="4">
        <v>45483</v>
      </c>
      <c r="H11" s="4">
        <v>45497</v>
      </c>
    </row>
    <row r="12" spans="1:8" x14ac:dyDescent="0.35">
      <c r="A12" t="s">
        <v>7</v>
      </c>
      <c r="B12">
        <v>24</v>
      </c>
      <c r="C12">
        <v>46</v>
      </c>
      <c r="D12">
        <v>49</v>
      </c>
      <c r="E12">
        <v>74</v>
      </c>
      <c r="F12">
        <v>139</v>
      </c>
      <c r="G12">
        <v>107</v>
      </c>
      <c r="H12">
        <v>22</v>
      </c>
    </row>
    <row r="13" spans="1:8" x14ac:dyDescent="0.35">
      <c r="A13" t="s">
        <v>7</v>
      </c>
      <c r="B13">
        <v>24</v>
      </c>
      <c r="C13">
        <v>108</v>
      </c>
      <c r="D13">
        <v>20</v>
      </c>
      <c r="E13">
        <v>252</v>
      </c>
      <c r="F13">
        <v>367</v>
      </c>
      <c r="G13">
        <v>389</v>
      </c>
      <c r="H13">
        <v>245</v>
      </c>
    </row>
    <row r="14" spans="1:8" x14ac:dyDescent="0.35">
      <c r="A14" t="s">
        <v>5</v>
      </c>
      <c r="B14" s="52">
        <v>24</v>
      </c>
      <c r="C14" s="52">
        <v>77</v>
      </c>
      <c r="D14" s="52">
        <v>34.5</v>
      </c>
      <c r="E14" s="52">
        <v>163</v>
      </c>
      <c r="F14" s="52">
        <v>253</v>
      </c>
      <c r="G14" s="52">
        <v>248</v>
      </c>
      <c r="H14" s="52">
        <v>133.5</v>
      </c>
    </row>
    <row r="16" spans="1:8" x14ac:dyDescent="0.35">
      <c r="A16" t="s">
        <v>7</v>
      </c>
      <c r="B16">
        <v>24</v>
      </c>
      <c r="C16">
        <v>143</v>
      </c>
      <c r="D16">
        <v>293</v>
      </c>
      <c r="E16">
        <v>625</v>
      </c>
      <c r="F16">
        <v>631</v>
      </c>
      <c r="G16">
        <v>1118</v>
      </c>
      <c r="H16">
        <v>2379</v>
      </c>
    </row>
    <row r="17" spans="1:9" x14ac:dyDescent="0.35">
      <c r="A17" t="s">
        <v>7</v>
      </c>
      <c r="B17">
        <v>24</v>
      </c>
      <c r="C17">
        <v>169</v>
      </c>
      <c r="D17">
        <v>174</v>
      </c>
      <c r="E17">
        <v>152</v>
      </c>
      <c r="F17">
        <v>221</v>
      </c>
      <c r="G17">
        <v>380</v>
      </c>
      <c r="H17">
        <v>140</v>
      </c>
    </row>
    <row r="18" spans="1:9" x14ac:dyDescent="0.35">
      <c r="A18" t="s">
        <v>5</v>
      </c>
      <c r="B18" s="52">
        <v>24</v>
      </c>
      <c r="C18" s="52">
        <v>156</v>
      </c>
      <c r="D18" s="52">
        <v>233.5</v>
      </c>
      <c r="E18" s="52">
        <v>388.5</v>
      </c>
      <c r="F18" s="52">
        <v>426</v>
      </c>
      <c r="G18" s="52">
        <v>749</v>
      </c>
      <c r="H18" s="52">
        <v>1259.5</v>
      </c>
    </row>
    <row r="21" spans="1:9" x14ac:dyDescent="0.35">
      <c r="A21" s="56" t="s">
        <v>253</v>
      </c>
      <c r="B21" s="55">
        <v>0</v>
      </c>
      <c r="C21" s="55">
        <v>1</v>
      </c>
      <c r="D21" s="55">
        <v>2</v>
      </c>
      <c r="E21" s="55">
        <v>3</v>
      </c>
      <c r="F21" s="55">
        <v>4</v>
      </c>
      <c r="G21" s="55">
        <v>5</v>
      </c>
      <c r="H21" s="55">
        <v>6</v>
      </c>
      <c r="I21" s="27" t="s">
        <v>14</v>
      </c>
    </row>
    <row r="22" spans="1:9" x14ac:dyDescent="0.35">
      <c r="A22" s="53" t="s">
        <v>257</v>
      </c>
      <c r="B22" s="52">
        <v>5</v>
      </c>
      <c r="C22" s="52">
        <v>2.5</v>
      </c>
      <c r="D22" s="52">
        <v>0</v>
      </c>
      <c r="E22" s="52">
        <v>2.5</v>
      </c>
      <c r="F22" s="52">
        <v>4.5</v>
      </c>
      <c r="G22" s="52">
        <v>18.5</v>
      </c>
      <c r="H22" s="52">
        <v>9</v>
      </c>
      <c r="I22" s="27" t="s">
        <v>39</v>
      </c>
    </row>
    <row r="23" spans="1:9" x14ac:dyDescent="0.35">
      <c r="A23" s="53" t="s">
        <v>258</v>
      </c>
      <c r="B23" s="52">
        <v>5</v>
      </c>
      <c r="C23" s="52">
        <v>7.5</v>
      </c>
      <c r="D23" s="52">
        <v>17.5</v>
      </c>
      <c r="E23" s="52">
        <v>115</v>
      </c>
      <c r="F23" s="52">
        <v>231.5</v>
      </c>
      <c r="G23" s="52">
        <v>497</v>
      </c>
      <c r="H23" s="52">
        <v>372.5</v>
      </c>
      <c r="I23" s="27"/>
    </row>
    <row r="24" spans="1:9" x14ac:dyDescent="0.35">
      <c r="A24" s="53" t="s">
        <v>17</v>
      </c>
      <c r="I24" s="27">
        <v>0.03</v>
      </c>
    </row>
    <row r="25" spans="1:9" x14ac:dyDescent="0.35">
      <c r="A25" s="53"/>
      <c r="I25" s="27"/>
    </row>
    <row r="26" spans="1:9" x14ac:dyDescent="0.35">
      <c r="A26" s="53" t="s">
        <v>259</v>
      </c>
      <c r="B26" s="52">
        <v>24</v>
      </c>
      <c r="C26" s="52">
        <v>77</v>
      </c>
      <c r="D26" s="52">
        <v>34.5</v>
      </c>
      <c r="E26" s="52">
        <v>163</v>
      </c>
      <c r="F26" s="52">
        <v>253</v>
      </c>
      <c r="G26" s="52">
        <v>248</v>
      </c>
      <c r="H26" s="52">
        <v>133.5</v>
      </c>
      <c r="I26" s="27"/>
    </row>
    <row r="27" spans="1:9" x14ac:dyDescent="0.35">
      <c r="A27" s="53" t="s">
        <v>260</v>
      </c>
      <c r="B27" s="52">
        <v>24</v>
      </c>
      <c r="C27" s="52">
        <v>156</v>
      </c>
      <c r="D27" s="52">
        <v>233.5</v>
      </c>
      <c r="E27" s="52">
        <v>388.5</v>
      </c>
      <c r="F27" s="52">
        <v>426</v>
      </c>
      <c r="G27" s="52">
        <v>749</v>
      </c>
      <c r="H27" s="52">
        <v>1259.5</v>
      </c>
      <c r="I27" s="27"/>
    </row>
    <row r="28" spans="1:9" x14ac:dyDescent="0.35">
      <c r="A28" s="53" t="s">
        <v>18</v>
      </c>
      <c r="I28" s="27">
        <v>0.04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AE9D-6F3E-4A4C-96DD-05585DA9B138}">
  <dimension ref="A1:AJ80"/>
  <sheetViews>
    <sheetView topLeftCell="AC38" workbookViewId="0">
      <selection activeCell="AF31" sqref="AF31"/>
    </sheetView>
  </sheetViews>
  <sheetFormatPr defaultRowHeight="15.5" x14ac:dyDescent="0.35"/>
  <cols>
    <col min="1" max="1" width="23.453125" customWidth="1"/>
    <col min="2" max="15" width="12.6328125" customWidth="1"/>
    <col min="17" max="17" width="14.26953125" customWidth="1"/>
    <col min="18" max="19" width="11.26953125" customWidth="1"/>
    <col min="20" max="24" width="12.6328125" customWidth="1"/>
    <col min="26" max="26" width="13.1796875" customWidth="1"/>
    <col min="27" max="27" width="13.54296875" customWidth="1"/>
    <col min="30" max="31" width="14.6328125" customWidth="1"/>
    <col min="32" max="32" width="20.6328125" style="86" customWidth="1"/>
    <col min="33" max="33" width="10.6328125" style="2" customWidth="1"/>
    <col min="34" max="34" width="4.81640625" customWidth="1"/>
    <col min="35" max="35" width="20.6328125" style="2" customWidth="1"/>
    <col min="36" max="36" width="10.6328125" style="2" customWidth="1"/>
  </cols>
  <sheetData>
    <row r="1" spans="1:36" x14ac:dyDescent="0.35">
      <c r="A1" t="s">
        <v>276</v>
      </c>
    </row>
    <row r="2" spans="1:36" x14ac:dyDescent="0.35">
      <c r="B2" s="19" t="s">
        <v>24</v>
      </c>
      <c r="C2" s="20" t="s">
        <v>25</v>
      </c>
      <c r="D2" s="19" t="s">
        <v>26</v>
      </c>
      <c r="E2" s="20" t="s">
        <v>27</v>
      </c>
      <c r="F2" s="19" t="s">
        <v>28</v>
      </c>
      <c r="G2" s="74"/>
      <c r="H2" s="74" t="s">
        <v>268</v>
      </c>
      <c r="I2" s="1">
        <v>45674</v>
      </c>
      <c r="K2" s="19" t="s">
        <v>24</v>
      </c>
      <c r="L2" s="20" t="s">
        <v>25</v>
      </c>
      <c r="M2" s="19" t="s">
        <v>26</v>
      </c>
      <c r="N2" s="20" t="s">
        <v>27</v>
      </c>
      <c r="O2" s="19" t="s">
        <v>28</v>
      </c>
      <c r="Q2" s="74" t="s">
        <v>268</v>
      </c>
      <c r="R2" s="76" t="s">
        <v>0</v>
      </c>
      <c r="T2" s="19" t="s">
        <v>24</v>
      </c>
      <c r="U2" s="20" t="s">
        <v>25</v>
      </c>
      <c r="V2" s="19" t="s">
        <v>26</v>
      </c>
      <c r="W2" s="20" t="s">
        <v>27</v>
      </c>
      <c r="X2" s="19" t="s">
        <v>28</v>
      </c>
      <c r="Z2" s="74" t="s">
        <v>268</v>
      </c>
      <c r="AA2" s="76" t="s">
        <v>0</v>
      </c>
      <c r="AD2" t="s">
        <v>273</v>
      </c>
      <c r="AE2" s="87"/>
      <c r="AF2" s="83" t="s">
        <v>227</v>
      </c>
      <c r="AG2" s="85"/>
      <c r="AH2" s="87"/>
      <c r="AI2" s="83" t="s">
        <v>15</v>
      </c>
      <c r="AJ2" s="85"/>
    </row>
    <row r="3" spans="1:36" x14ac:dyDescent="0.35">
      <c r="B3" s="21" t="s">
        <v>269</v>
      </c>
      <c r="C3" s="22">
        <v>45457</v>
      </c>
      <c r="D3" s="23"/>
      <c r="E3" s="22">
        <v>45583</v>
      </c>
      <c r="F3" s="21" t="s">
        <v>29</v>
      </c>
      <c r="G3" s="75"/>
      <c r="H3" s="75" t="s">
        <v>270</v>
      </c>
      <c r="I3">
        <v>11.6</v>
      </c>
      <c r="K3" s="21" t="s">
        <v>37</v>
      </c>
      <c r="L3" s="22">
        <v>45457</v>
      </c>
      <c r="M3" s="23"/>
      <c r="N3" s="22">
        <v>45583</v>
      </c>
      <c r="O3" s="21">
        <v>11.6</v>
      </c>
      <c r="T3" s="21" t="s">
        <v>31</v>
      </c>
      <c r="U3" s="22">
        <v>45457</v>
      </c>
      <c r="V3" s="23"/>
      <c r="W3" s="22">
        <v>45583</v>
      </c>
      <c r="X3" s="21">
        <v>10.01</v>
      </c>
      <c r="AE3" s="88" t="s">
        <v>16</v>
      </c>
      <c r="AF3" s="84" t="s">
        <v>272</v>
      </c>
      <c r="AG3" s="83" t="s">
        <v>271</v>
      </c>
      <c r="AH3" s="87"/>
      <c r="AI3" s="84" t="s">
        <v>272</v>
      </c>
      <c r="AJ3" s="83" t="s">
        <v>271</v>
      </c>
    </row>
    <row r="4" spans="1:36" x14ac:dyDescent="0.35">
      <c r="B4" s="21" t="s">
        <v>30</v>
      </c>
      <c r="C4" s="22">
        <v>45457</v>
      </c>
      <c r="D4" s="23"/>
      <c r="E4" s="22">
        <v>45583</v>
      </c>
      <c r="F4" s="21">
        <v>9.7799999999999994</v>
      </c>
      <c r="G4" s="75"/>
      <c r="H4" s="75"/>
      <c r="K4" s="21" t="s">
        <v>30</v>
      </c>
      <c r="L4" s="22">
        <v>45457</v>
      </c>
      <c r="M4" s="23"/>
      <c r="N4" s="22">
        <v>45583</v>
      </c>
      <c r="O4" s="21">
        <v>9.7799999999999994</v>
      </c>
      <c r="T4" s="21" t="s">
        <v>32</v>
      </c>
      <c r="U4" s="22">
        <v>45457</v>
      </c>
      <c r="V4" s="23"/>
      <c r="W4" s="22">
        <v>45583</v>
      </c>
      <c r="X4" s="21">
        <v>9.3000000000000007</v>
      </c>
      <c r="AE4" s="89">
        <v>0</v>
      </c>
      <c r="AF4" s="83">
        <v>10.6</v>
      </c>
      <c r="AG4" s="75">
        <v>1</v>
      </c>
      <c r="AH4" s="81"/>
      <c r="AI4" s="82">
        <v>10.199999999999999</v>
      </c>
      <c r="AJ4" s="75">
        <v>1.4</v>
      </c>
    </row>
    <row r="5" spans="1:36" x14ac:dyDescent="0.35">
      <c r="B5" s="21"/>
      <c r="C5" s="22"/>
      <c r="D5" s="23"/>
      <c r="E5" s="22"/>
      <c r="F5" s="21"/>
      <c r="G5" s="75"/>
      <c r="H5" s="75"/>
      <c r="K5" s="21" t="s">
        <v>33</v>
      </c>
      <c r="L5" s="22">
        <v>45457</v>
      </c>
      <c r="M5" s="23"/>
      <c r="N5" s="22">
        <v>45583</v>
      </c>
      <c r="O5" s="21">
        <v>11.29</v>
      </c>
      <c r="T5" s="21" t="s">
        <v>35</v>
      </c>
      <c r="U5" s="22">
        <v>45457</v>
      </c>
      <c r="V5" s="23"/>
      <c r="W5" s="22">
        <v>45583</v>
      </c>
      <c r="X5" s="21">
        <v>9.2799999999999994</v>
      </c>
      <c r="AE5" s="89">
        <v>1</v>
      </c>
      <c r="AF5" s="83">
        <v>10.3</v>
      </c>
      <c r="AG5" s="75">
        <v>1.3</v>
      </c>
      <c r="AH5" s="81"/>
      <c r="AI5" s="82">
        <v>9.8000000000000007</v>
      </c>
      <c r="AJ5" s="75">
        <v>0.9</v>
      </c>
    </row>
    <row r="6" spans="1:36" x14ac:dyDescent="0.35">
      <c r="B6" s="21"/>
      <c r="C6" s="22"/>
      <c r="D6" s="23"/>
      <c r="E6" s="22"/>
      <c r="F6" s="21"/>
      <c r="G6" s="75"/>
      <c r="H6" s="75"/>
      <c r="K6" s="21" t="s">
        <v>34</v>
      </c>
      <c r="L6" s="22">
        <v>45457</v>
      </c>
      <c r="M6" s="23"/>
      <c r="N6" s="22">
        <v>45583</v>
      </c>
      <c r="O6" s="21">
        <v>9.7799999999999994</v>
      </c>
      <c r="T6" s="21" t="s">
        <v>36</v>
      </c>
      <c r="U6" s="22">
        <v>45457</v>
      </c>
      <c r="V6" s="23"/>
      <c r="W6" s="22">
        <v>45583</v>
      </c>
      <c r="X6" s="21">
        <v>12.18</v>
      </c>
      <c r="AE6" s="89">
        <v>2</v>
      </c>
      <c r="AF6" s="83">
        <v>4.5</v>
      </c>
      <c r="AG6" s="75">
        <v>1</v>
      </c>
      <c r="AH6" s="81"/>
      <c r="AI6" s="82">
        <v>13.5</v>
      </c>
      <c r="AJ6" s="75">
        <v>1.3</v>
      </c>
    </row>
    <row r="7" spans="1:36" x14ac:dyDescent="0.35">
      <c r="B7" s="21" t="s">
        <v>31</v>
      </c>
      <c r="C7" s="22">
        <v>45457</v>
      </c>
      <c r="D7" s="23"/>
      <c r="E7" s="22">
        <v>45583</v>
      </c>
      <c r="F7" s="21">
        <v>10.01</v>
      </c>
      <c r="G7" s="75"/>
      <c r="H7" s="75"/>
      <c r="K7" s="21" t="s">
        <v>5</v>
      </c>
      <c r="L7" s="22"/>
      <c r="M7" s="23"/>
      <c r="N7" s="22"/>
      <c r="O7" s="21">
        <v>10.61</v>
      </c>
      <c r="T7" s="21" t="s">
        <v>5</v>
      </c>
      <c r="U7" s="22"/>
      <c r="V7" s="23"/>
      <c r="W7" s="22"/>
      <c r="X7" s="21">
        <v>10.199999999999999</v>
      </c>
      <c r="AE7" s="89">
        <v>3</v>
      </c>
      <c r="AF7" s="83">
        <v>3.1</v>
      </c>
      <c r="AG7" s="75">
        <v>2</v>
      </c>
      <c r="AH7" s="81"/>
      <c r="AI7" s="82">
        <v>11</v>
      </c>
      <c r="AJ7" s="75">
        <v>1.4</v>
      </c>
    </row>
    <row r="8" spans="1:36" x14ac:dyDescent="0.35">
      <c r="B8" s="21" t="s">
        <v>32</v>
      </c>
      <c r="C8" s="22">
        <v>45457</v>
      </c>
      <c r="D8" s="23"/>
      <c r="E8" s="22">
        <v>45583</v>
      </c>
      <c r="F8" s="21">
        <v>9.3000000000000007</v>
      </c>
      <c r="G8" s="75"/>
      <c r="H8" s="75"/>
      <c r="K8" s="21" t="s">
        <v>271</v>
      </c>
      <c r="L8" s="22"/>
      <c r="M8" s="23"/>
      <c r="N8" s="22"/>
      <c r="O8" s="21">
        <v>1</v>
      </c>
      <c r="T8" s="21" t="s">
        <v>271</v>
      </c>
      <c r="U8" s="22"/>
      <c r="V8" s="23"/>
      <c r="W8" s="22"/>
      <c r="X8" s="21">
        <v>1.4</v>
      </c>
      <c r="AE8" s="89">
        <v>4</v>
      </c>
      <c r="AF8" s="83">
        <v>2.6</v>
      </c>
      <c r="AG8" s="75">
        <v>1.3</v>
      </c>
      <c r="AH8" s="81"/>
      <c r="AI8" s="82">
        <v>5.0999999999999996</v>
      </c>
      <c r="AJ8" s="75">
        <v>2.2999999999999998</v>
      </c>
    </row>
    <row r="9" spans="1:36" x14ac:dyDescent="0.35">
      <c r="B9" s="21"/>
      <c r="C9" s="22"/>
      <c r="D9" s="23"/>
      <c r="E9" s="22"/>
      <c r="F9" s="21"/>
      <c r="G9" s="75"/>
      <c r="H9" s="75"/>
      <c r="K9" s="21"/>
      <c r="L9" s="22"/>
      <c r="M9" s="23"/>
      <c r="N9" s="22"/>
      <c r="O9" s="21"/>
      <c r="T9" s="21"/>
      <c r="U9" s="22"/>
      <c r="V9" s="23"/>
      <c r="W9" s="22"/>
      <c r="X9" s="21"/>
    </row>
    <row r="10" spans="1:36" x14ac:dyDescent="0.35">
      <c r="B10" s="21"/>
      <c r="C10" s="22"/>
      <c r="D10" s="23"/>
      <c r="E10" s="22"/>
      <c r="F10" s="21"/>
      <c r="G10" s="75"/>
      <c r="H10" s="75"/>
      <c r="K10" s="77" t="s">
        <v>37</v>
      </c>
      <c r="L10" s="22">
        <v>45463</v>
      </c>
      <c r="M10" s="23"/>
      <c r="N10" s="22">
        <v>45583</v>
      </c>
      <c r="O10" s="21">
        <v>11.99</v>
      </c>
      <c r="T10" s="21" t="s">
        <v>31</v>
      </c>
      <c r="U10" s="22">
        <v>45463</v>
      </c>
      <c r="V10" s="23"/>
      <c r="W10" s="22">
        <v>45583</v>
      </c>
      <c r="X10" s="21">
        <v>10.75</v>
      </c>
    </row>
    <row r="11" spans="1:36" x14ac:dyDescent="0.35">
      <c r="B11" s="21" t="s">
        <v>33</v>
      </c>
      <c r="C11" s="22">
        <v>45457</v>
      </c>
      <c r="D11" s="23"/>
      <c r="E11" s="22">
        <v>45583</v>
      </c>
      <c r="F11" s="21">
        <v>11.29</v>
      </c>
      <c r="G11" s="75"/>
      <c r="H11" s="75"/>
      <c r="K11" s="77" t="s">
        <v>30</v>
      </c>
      <c r="L11" s="22">
        <v>45463</v>
      </c>
      <c r="M11" s="23"/>
      <c r="N11" s="22">
        <v>45583</v>
      </c>
      <c r="O11" s="21">
        <v>10.64</v>
      </c>
      <c r="T11" s="21" t="s">
        <v>32</v>
      </c>
      <c r="U11" s="22">
        <v>45463</v>
      </c>
      <c r="V11" s="23"/>
      <c r="W11" s="22">
        <v>45583</v>
      </c>
      <c r="X11" s="21">
        <v>10.67</v>
      </c>
    </row>
    <row r="12" spans="1:36" x14ac:dyDescent="0.35">
      <c r="B12" s="21" t="s">
        <v>34</v>
      </c>
      <c r="C12" s="22">
        <v>45457</v>
      </c>
      <c r="D12" s="23"/>
      <c r="E12" s="22">
        <v>45583</v>
      </c>
      <c r="F12" s="21">
        <v>9.7799999999999994</v>
      </c>
      <c r="G12" s="75"/>
      <c r="H12" s="75"/>
      <c r="K12" s="21" t="s">
        <v>33</v>
      </c>
      <c r="L12" s="22">
        <v>45463</v>
      </c>
      <c r="M12" s="23"/>
      <c r="N12" s="22">
        <v>45583</v>
      </c>
      <c r="O12">
        <v>9.19</v>
      </c>
      <c r="T12" s="21" t="s">
        <v>35</v>
      </c>
      <c r="U12" s="22">
        <v>45463</v>
      </c>
      <c r="V12" s="23"/>
      <c r="W12" s="22">
        <v>45583</v>
      </c>
      <c r="X12" s="21">
        <v>8.83</v>
      </c>
      <c r="AE12" s="90" t="s">
        <v>25</v>
      </c>
      <c r="AF12" s="86" t="s">
        <v>227</v>
      </c>
      <c r="AG12" s="2" t="s">
        <v>15</v>
      </c>
      <c r="AH12" s="78" t="s">
        <v>16</v>
      </c>
      <c r="AI12" s="27" t="s">
        <v>227</v>
      </c>
      <c r="AJ12" s="27" t="s">
        <v>15</v>
      </c>
    </row>
    <row r="13" spans="1:36" x14ac:dyDescent="0.35">
      <c r="B13" s="21"/>
      <c r="C13" s="22"/>
      <c r="D13" s="23"/>
      <c r="E13" s="22"/>
      <c r="F13" s="21"/>
      <c r="G13" s="75"/>
      <c r="H13" s="75"/>
      <c r="K13" s="21" t="s">
        <v>34</v>
      </c>
      <c r="L13" s="22">
        <v>45463</v>
      </c>
      <c r="M13" s="23"/>
      <c r="N13" s="22">
        <v>45583</v>
      </c>
      <c r="O13">
        <v>9.19</v>
      </c>
      <c r="T13" s="21" t="s">
        <v>36</v>
      </c>
      <c r="U13" s="22">
        <v>45463</v>
      </c>
      <c r="V13" s="23"/>
      <c r="W13" s="22">
        <v>45583</v>
      </c>
      <c r="X13" s="21">
        <v>9.07</v>
      </c>
      <c r="AE13" s="79">
        <v>45457</v>
      </c>
      <c r="AF13" s="85">
        <v>10.6</v>
      </c>
      <c r="AG13" s="2">
        <v>10.199999999999999</v>
      </c>
      <c r="AH13" s="80">
        <v>0</v>
      </c>
      <c r="AI13" s="75">
        <v>10.6</v>
      </c>
      <c r="AJ13" s="2">
        <v>10.199999999999999</v>
      </c>
    </row>
    <row r="14" spans="1:36" x14ac:dyDescent="0.35">
      <c r="B14" s="21"/>
      <c r="C14" s="22"/>
      <c r="D14" s="23"/>
      <c r="E14" s="22"/>
      <c r="F14" s="21"/>
      <c r="G14" s="75"/>
      <c r="H14" s="75"/>
      <c r="K14" s="21" t="s">
        <v>5</v>
      </c>
      <c r="L14" s="22"/>
      <c r="M14" s="23"/>
      <c r="N14" s="22"/>
      <c r="O14" s="21">
        <v>10.25</v>
      </c>
      <c r="Q14">
        <v>9.19</v>
      </c>
      <c r="R14" s="4">
        <v>45681</v>
      </c>
      <c r="S14" s="4"/>
      <c r="T14" s="21" t="s">
        <v>5</v>
      </c>
      <c r="U14" s="22"/>
      <c r="V14" s="23"/>
      <c r="W14" s="22"/>
      <c r="X14" s="21">
        <v>9.8000000000000007</v>
      </c>
      <c r="AE14" s="79">
        <v>45463</v>
      </c>
      <c r="AF14" s="85">
        <v>10.3</v>
      </c>
      <c r="AG14" s="2">
        <v>9.8000000000000007</v>
      </c>
      <c r="AH14" s="80">
        <v>1</v>
      </c>
      <c r="AI14" s="75">
        <v>10.3</v>
      </c>
      <c r="AJ14" s="2">
        <v>9.8000000000000007</v>
      </c>
    </row>
    <row r="15" spans="1:36" x14ac:dyDescent="0.35">
      <c r="B15" s="21" t="s">
        <v>35</v>
      </c>
      <c r="C15" s="22">
        <v>45457</v>
      </c>
      <c r="D15" s="23"/>
      <c r="E15" s="22">
        <v>45583</v>
      </c>
      <c r="F15" s="21">
        <v>9.2799999999999994</v>
      </c>
      <c r="G15" s="75"/>
      <c r="H15" s="75"/>
      <c r="K15" s="21" t="s">
        <v>271</v>
      </c>
      <c r="L15" s="22"/>
      <c r="M15" s="23"/>
      <c r="N15" s="22"/>
      <c r="O15" s="21">
        <v>1.3</v>
      </c>
      <c r="T15" s="21" t="s">
        <v>271</v>
      </c>
      <c r="U15" s="22"/>
      <c r="V15" s="23"/>
      <c r="W15" s="22"/>
      <c r="X15" s="21">
        <v>0.9</v>
      </c>
      <c r="AE15" s="79">
        <v>45471</v>
      </c>
      <c r="AF15" s="85">
        <v>4.5</v>
      </c>
      <c r="AG15" s="2">
        <v>13.5</v>
      </c>
      <c r="AH15" s="80">
        <v>2</v>
      </c>
      <c r="AI15" s="75">
        <v>4.5</v>
      </c>
      <c r="AJ15" s="2">
        <v>13.5</v>
      </c>
    </row>
    <row r="16" spans="1:36" x14ac:dyDescent="0.35">
      <c r="B16" s="21" t="s">
        <v>36</v>
      </c>
      <c r="C16" s="22">
        <v>45457</v>
      </c>
      <c r="D16" s="23"/>
      <c r="E16" s="22">
        <v>45583</v>
      </c>
      <c r="F16" s="21">
        <v>12.18</v>
      </c>
      <c r="G16" s="75"/>
      <c r="H16" s="75"/>
      <c r="K16" s="21"/>
      <c r="L16" s="22"/>
      <c r="M16" s="23"/>
      <c r="N16" s="22"/>
      <c r="O16" s="21"/>
      <c r="T16" s="21"/>
      <c r="U16" s="22"/>
      <c r="V16" s="23"/>
      <c r="W16" s="22"/>
      <c r="X16" s="21"/>
      <c r="AE16" s="79">
        <v>45475</v>
      </c>
      <c r="AF16" s="85">
        <v>3.1</v>
      </c>
      <c r="AG16" s="2">
        <v>11</v>
      </c>
      <c r="AH16" s="80">
        <v>3</v>
      </c>
      <c r="AI16" s="75">
        <v>3.1</v>
      </c>
      <c r="AJ16" s="2">
        <v>11</v>
      </c>
    </row>
    <row r="17" spans="2:36" x14ac:dyDescent="0.35">
      <c r="B17" s="21"/>
      <c r="C17" s="22"/>
      <c r="D17" s="23"/>
      <c r="E17" s="22"/>
      <c r="F17" s="21"/>
      <c r="G17" s="75"/>
      <c r="H17" s="75"/>
      <c r="K17" s="21"/>
      <c r="L17" s="22"/>
      <c r="M17" s="23"/>
      <c r="N17" s="22"/>
      <c r="O17" s="21"/>
      <c r="T17" s="21"/>
      <c r="U17" s="22"/>
      <c r="V17" s="23"/>
      <c r="W17" s="22"/>
      <c r="X17" s="21"/>
      <c r="AE17" s="79">
        <v>45484</v>
      </c>
      <c r="AF17" s="85">
        <v>2.6</v>
      </c>
      <c r="AG17" s="2">
        <v>5.0999999999999996</v>
      </c>
      <c r="AH17" s="80">
        <v>4</v>
      </c>
      <c r="AI17" s="75">
        <v>2.6</v>
      </c>
      <c r="AJ17" s="2">
        <v>5.0999999999999996</v>
      </c>
    </row>
    <row r="18" spans="2:36" x14ac:dyDescent="0.35">
      <c r="B18" s="21"/>
      <c r="C18" s="22"/>
      <c r="D18" s="23"/>
      <c r="E18" s="22"/>
      <c r="F18" s="21"/>
      <c r="G18" s="75"/>
      <c r="H18" s="75"/>
      <c r="K18" s="77" t="s">
        <v>37</v>
      </c>
      <c r="L18" s="22">
        <v>45471</v>
      </c>
      <c r="M18" s="23"/>
      <c r="N18" s="22">
        <v>45583</v>
      </c>
      <c r="O18" s="21">
        <v>5.5</v>
      </c>
      <c r="T18" s="77" t="s">
        <v>31</v>
      </c>
      <c r="U18" s="22">
        <v>45471</v>
      </c>
      <c r="V18" s="23"/>
      <c r="W18" s="22">
        <v>45583</v>
      </c>
      <c r="X18" s="77">
        <v>14.66</v>
      </c>
      <c r="AE18" t="s">
        <v>274</v>
      </c>
      <c r="AF18" s="86">
        <f>AVERAGE(AF13:AF17)</f>
        <v>6.2200000000000006</v>
      </c>
      <c r="AG18" s="2">
        <f>AVERAGE(AG13:AG17)</f>
        <v>9.92</v>
      </c>
    </row>
    <row r="19" spans="2:36" x14ac:dyDescent="0.35">
      <c r="B19" s="21" t="s">
        <v>37</v>
      </c>
      <c r="C19" s="22">
        <v>45463</v>
      </c>
      <c r="D19" s="23"/>
      <c r="E19" s="22">
        <v>45583</v>
      </c>
      <c r="F19" s="21">
        <v>11.99</v>
      </c>
      <c r="G19" s="75"/>
      <c r="H19" s="75"/>
      <c r="K19" s="77" t="s">
        <v>30</v>
      </c>
      <c r="L19" s="22">
        <v>45471</v>
      </c>
      <c r="M19" s="23"/>
      <c r="N19" s="22">
        <v>45583</v>
      </c>
      <c r="O19" s="21">
        <v>5.5</v>
      </c>
      <c r="T19" s="77" t="s">
        <v>32</v>
      </c>
      <c r="U19" s="22">
        <v>45471</v>
      </c>
      <c r="V19" s="23"/>
      <c r="W19" s="22">
        <v>45583</v>
      </c>
      <c r="X19" s="77">
        <v>14.66</v>
      </c>
    </row>
    <row r="20" spans="2:36" x14ac:dyDescent="0.35">
      <c r="B20" s="21" t="s">
        <v>30</v>
      </c>
      <c r="C20" s="22">
        <v>45463</v>
      </c>
      <c r="D20" s="23"/>
      <c r="E20" s="22">
        <v>45583</v>
      </c>
      <c r="F20" s="21">
        <v>10.64</v>
      </c>
      <c r="G20" s="75"/>
      <c r="H20" s="75"/>
      <c r="K20" s="21" t="s">
        <v>33</v>
      </c>
      <c r="L20" s="22">
        <v>45471</v>
      </c>
      <c r="M20" s="23"/>
      <c r="N20" s="22">
        <v>45583</v>
      </c>
      <c r="O20" s="21">
        <v>3.72</v>
      </c>
      <c r="Q20">
        <v>5.5</v>
      </c>
      <c r="R20" s="4">
        <v>45681</v>
      </c>
      <c r="S20" s="4"/>
      <c r="T20" s="21" t="s">
        <v>35</v>
      </c>
      <c r="U20" s="22">
        <v>45471</v>
      </c>
      <c r="V20" s="23"/>
      <c r="W20" s="22">
        <v>45583</v>
      </c>
      <c r="X20" s="21">
        <v>12.24</v>
      </c>
    </row>
    <row r="21" spans="2:36" x14ac:dyDescent="0.35">
      <c r="B21" s="21"/>
      <c r="C21" s="22"/>
      <c r="D21" s="23"/>
      <c r="E21" s="22"/>
      <c r="F21" s="21"/>
      <c r="G21" s="75"/>
      <c r="H21" s="75"/>
      <c r="K21" s="21" t="s">
        <v>34</v>
      </c>
      <c r="L21" s="22">
        <v>45471</v>
      </c>
      <c r="M21" s="23"/>
      <c r="N21" s="22">
        <v>45583</v>
      </c>
      <c r="O21" s="21">
        <v>3.33</v>
      </c>
      <c r="T21" s="21" t="s">
        <v>36</v>
      </c>
      <c r="U21" s="22">
        <v>45471</v>
      </c>
      <c r="V21" s="23"/>
      <c r="W21" s="22">
        <v>45583</v>
      </c>
      <c r="X21" s="21">
        <v>12.57</v>
      </c>
      <c r="Z21">
        <v>14.66</v>
      </c>
      <c r="AA21" s="4">
        <v>45681</v>
      </c>
      <c r="AF21" s="86" t="s">
        <v>275</v>
      </c>
    </row>
    <row r="22" spans="2:36" x14ac:dyDescent="0.35">
      <c r="B22" s="21"/>
      <c r="C22" s="22"/>
      <c r="D22" s="23"/>
      <c r="E22" s="22"/>
      <c r="F22" s="21"/>
      <c r="G22" s="75"/>
      <c r="H22" s="75"/>
      <c r="K22" s="21" t="s">
        <v>5</v>
      </c>
      <c r="L22" s="22"/>
      <c r="M22" s="23"/>
      <c r="N22" s="22"/>
      <c r="O22" s="21">
        <v>4.5</v>
      </c>
      <c r="T22" s="21" t="s">
        <v>5</v>
      </c>
      <c r="U22" s="22"/>
      <c r="V22" s="23"/>
      <c r="W22" s="22"/>
      <c r="X22" s="21">
        <v>13.5</v>
      </c>
      <c r="AE22" s="87"/>
      <c r="AF22" s="83" t="s">
        <v>227</v>
      </c>
      <c r="AG22" s="83" t="s">
        <v>15</v>
      </c>
      <c r="AI22"/>
      <c r="AJ22"/>
    </row>
    <row r="23" spans="2:36" x14ac:dyDescent="0.35">
      <c r="B23" s="21" t="s">
        <v>31</v>
      </c>
      <c r="C23" s="22">
        <v>45463</v>
      </c>
      <c r="D23" s="23"/>
      <c r="E23" s="22">
        <v>45583</v>
      </c>
      <c r="F23" s="21">
        <v>10.75</v>
      </c>
      <c r="G23" s="75"/>
      <c r="H23" s="75"/>
      <c r="K23" s="21" t="s">
        <v>271</v>
      </c>
      <c r="L23" s="22"/>
      <c r="M23" s="23"/>
      <c r="N23" s="22"/>
      <c r="O23" s="21">
        <v>1</v>
      </c>
      <c r="T23" s="21" t="s">
        <v>271</v>
      </c>
      <c r="U23" s="22"/>
      <c r="V23" s="23"/>
      <c r="W23" s="22"/>
      <c r="X23" s="21">
        <v>1.3</v>
      </c>
      <c r="AE23" s="88"/>
      <c r="AF23" s="84" t="s">
        <v>272</v>
      </c>
      <c r="AG23" s="84" t="s">
        <v>272</v>
      </c>
      <c r="AI23"/>
      <c r="AJ23"/>
    </row>
    <row r="24" spans="2:36" x14ac:dyDescent="0.35">
      <c r="B24" s="21" t="s">
        <v>32</v>
      </c>
      <c r="C24" s="22">
        <v>45463</v>
      </c>
      <c r="D24" s="23"/>
      <c r="E24" s="22">
        <v>45583</v>
      </c>
      <c r="F24" s="21">
        <v>10.67</v>
      </c>
      <c r="G24" s="75"/>
      <c r="H24" s="75"/>
      <c r="K24" s="21"/>
      <c r="L24" s="22"/>
      <c r="M24" s="23"/>
      <c r="N24" s="22"/>
      <c r="O24" s="21"/>
      <c r="T24" s="21"/>
      <c r="U24" s="22"/>
      <c r="V24" s="23"/>
      <c r="W24" s="22"/>
      <c r="X24" s="21"/>
      <c r="AE24" s="89">
        <v>0</v>
      </c>
      <c r="AF24" s="83">
        <v>10.6</v>
      </c>
      <c r="AG24" s="82">
        <v>10.199999999999999</v>
      </c>
      <c r="AI24"/>
      <c r="AJ24"/>
    </row>
    <row r="25" spans="2:36" x14ac:dyDescent="0.35">
      <c r="B25" s="21"/>
      <c r="C25" s="22"/>
      <c r="D25" s="23"/>
      <c r="E25" s="22"/>
      <c r="F25" s="21"/>
      <c r="G25" s="75"/>
      <c r="H25" s="75"/>
      <c r="K25" s="21"/>
      <c r="L25" s="22"/>
      <c r="M25" s="23"/>
      <c r="N25" s="22"/>
      <c r="O25" s="21"/>
      <c r="T25" s="21" t="s">
        <v>31</v>
      </c>
      <c r="U25" s="22">
        <v>45475</v>
      </c>
      <c r="V25" s="23"/>
      <c r="W25" s="22">
        <v>45583</v>
      </c>
      <c r="X25" s="21">
        <v>9.14</v>
      </c>
      <c r="AE25" s="89">
        <v>1</v>
      </c>
      <c r="AF25" s="83">
        <v>10.3</v>
      </c>
      <c r="AG25" s="82">
        <v>9.8000000000000007</v>
      </c>
      <c r="AI25"/>
      <c r="AJ25"/>
    </row>
    <row r="26" spans="2:36" x14ac:dyDescent="0.35">
      <c r="B26" s="21"/>
      <c r="C26" s="22"/>
      <c r="D26" s="23"/>
      <c r="E26" s="22"/>
      <c r="F26" s="21"/>
      <c r="G26" s="75"/>
      <c r="H26" s="75"/>
      <c r="K26" s="21" t="s">
        <v>37</v>
      </c>
      <c r="L26" s="22">
        <v>45475</v>
      </c>
      <c r="M26" s="23"/>
      <c r="N26" s="22">
        <v>45583</v>
      </c>
      <c r="O26" s="21">
        <v>1.708</v>
      </c>
      <c r="Q26">
        <v>4.8099999999999996</v>
      </c>
      <c r="R26" s="4">
        <v>45681</v>
      </c>
      <c r="S26" s="4"/>
      <c r="T26" s="21" t="s">
        <v>32</v>
      </c>
      <c r="U26" s="22">
        <v>45475</v>
      </c>
      <c r="V26" s="23"/>
      <c r="W26" s="22">
        <v>45583</v>
      </c>
      <c r="X26" s="21">
        <v>10.91</v>
      </c>
      <c r="AE26" s="89">
        <v>2</v>
      </c>
      <c r="AF26" s="83">
        <v>4.5</v>
      </c>
      <c r="AG26" s="82">
        <v>13.5</v>
      </c>
      <c r="AI26"/>
      <c r="AJ26"/>
    </row>
    <row r="27" spans="2:36" x14ac:dyDescent="0.35">
      <c r="B27" s="21" t="s">
        <v>33</v>
      </c>
      <c r="C27" s="22">
        <v>45463</v>
      </c>
      <c r="D27" s="23"/>
      <c r="E27" s="22">
        <v>45583</v>
      </c>
      <c r="F27" s="21">
        <v>4.62</v>
      </c>
      <c r="G27" s="75"/>
      <c r="H27" s="75"/>
      <c r="K27" s="21" t="s">
        <v>30</v>
      </c>
      <c r="L27" s="22">
        <v>45475</v>
      </c>
      <c r="M27" s="23"/>
      <c r="N27" s="22">
        <v>45583</v>
      </c>
      <c r="O27" s="21">
        <v>0.92400000000000004</v>
      </c>
      <c r="T27" s="21" t="s">
        <v>35</v>
      </c>
      <c r="U27" s="22">
        <v>45475</v>
      </c>
      <c r="V27" s="23"/>
      <c r="W27" s="22">
        <v>45583</v>
      </c>
      <c r="X27" s="21">
        <v>12.27</v>
      </c>
      <c r="AE27" s="89">
        <v>3</v>
      </c>
      <c r="AF27" s="83">
        <v>3.1</v>
      </c>
      <c r="AG27" s="82">
        <v>11</v>
      </c>
      <c r="AI27"/>
      <c r="AJ27"/>
    </row>
    <row r="28" spans="2:36" x14ac:dyDescent="0.35">
      <c r="B28" s="21" t="s">
        <v>34</v>
      </c>
      <c r="C28" s="22">
        <v>45463</v>
      </c>
      <c r="D28" s="23"/>
      <c r="E28" s="22">
        <v>45583</v>
      </c>
      <c r="F28" s="21">
        <v>4.8</v>
      </c>
      <c r="G28" s="75"/>
      <c r="H28" s="75"/>
      <c r="K28" s="77" t="s">
        <v>33</v>
      </c>
      <c r="L28" s="22">
        <v>45475</v>
      </c>
      <c r="M28" s="23"/>
      <c r="N28" s="22">
        <v>45583</v>
      </c>
      <c r="O28">
        <v>4.8099999999999996</v>
      </c>
      <c r="T28" s="21" t="s">
        <v>36</v>
      </c>
      <c r="U28" s="22">
        <v>45475</v>
      </c>
      <c r="V28" s="23"/>
      <c r="W28" s="22">
        <v>45583</v>
      </c>
      <c r="X28" s="21">
        <v>11.67</v>
      </c>
      <c r="AE28" s="89">
        <v>4</v>
      </c>
      <c r="AF28" s="83">
        <v>2.6</v>
      </c>
      <c r="AG28" s="82">
        <v>5.0999999999999996</v>
      </c>
      <c r="AI28"/>
      <c r="AJ28"/>
    </row>
    <row r="29" spans="2:36" x14ac:dyDescent="0.35">
      <c r="B29" s="21"/>
      <c r="C29" s="22"/>
      <c r="D29" s="23"/>
      <c r="E29" s="22"/>
      <c r="F29" s="21"/>
      <c r="G29" s="75"/>
      <c r="H29" s="75"/>
      <c r="K29" s="77" t="s">
        <v>34</v>
      </c>
      <c r="L29" s="22">
        <v>45475</v>
      </c>
      <c r="M29" s="23"/>
      <c r="N29" s="22">
        <v>45583</v>
      </c>
      <c r="O29">
        <v>4.8099999999999996</v>
      </c>
      <c r="T29" s="21" t="s">
        <v>5</v>
      </c>
      <c r="U29" s="22"/>
      <c r="V29" s="23"/>
      <c r="W29" s="22"/>
      <c r="X29" s="21">
        <v>11</v>
      </c>
    </row>
    <row r="30" spans="2:36" x14ac:dyDescent="0.35">
      <c r="B30" s="21"/>
      <c r="C30" s="22"/>
      <c r="D30" s="23"/>
      <c r="E30" s="22"/>
      <c r="F30" s="21"/>
      <c r="G30" s="75"/>
      <c r="H30" s="75"/>
      <c r="K30" s="21" t="s">
        <v>5</v>
      </c>
      <c r="L30" s="22"/>
      <c r="M30" s="23"/>
      <c r="N30" s="22"/>
      <c r="O30" s="21">
        <v>3.1</v>
      </c>
      <c r="T30" s="21" t="s">
        <v>271</v>
      </c>
      <c r="U30" s="22"/>
      <c r="V30" s="23"/>
      <c r="W30" s="22"/>
      <c r="X30" s="21">
        <v>1.4</v>
      </c>
    </row>
    <row r="31" spans="2:36" x14ac:dyDescent="0.35">
      <c r="B31" s="21" t="s">
        <v>35</v>
      </c>
      <c r="C31" s="22">
        <v>45463</v>
      </c>
      <c r="D31" s="23"/>
      <c r="E31" s="22">
        <v>45583</v>
      </c>
      <c r="F31" s="21">
        <v>8.83</v>
      </c>
      <c r="G31" s="75"/>
      <c r="H31" s="75"/>
      <c r="K31" s="21" t="s">
        <v>271</v>
      </c>
      <c r="L31" s="22"/>
      <c r="M31" s="23"/>
      <c r="N31" s="22"/>
      <c r="O31" s="21">
        <v>2</v>
      </c>
      <c r="T31" s="21"/>
      <c r="U31" s="22"/>
      <c r="V31" s="23"/>
      <c r="W31" s="22"/>
      <c r="X31" s="21"/>
    </row>
    <row r="32" spans="2:36" x14ac:dyDescent="0.35">
      <c r="B32" s="21" t="s">
        <v>36</v>
      </c>
      <c r="C32" s="22">
        <v>45463</v>
      </c>
      <c r="D32" s="23"/>
      <c r="E32" s="22">
        <v>45583</v>
      </c>
      <c r="F32" s="21">
        <v>9.07</v>
      </c>
      <c r="G32" s="75"/>
      <c r="H32" s="75"/>
      <c r="K32" s="21"/>
      <c r="L32" s="22"/>
      <c r="M32" s="23"/>
      <c r="N32" s="22"/>
      <c r="O32" s="21"/>
      <c r="T32" s="77" t="s">
        <v>31</v>
      </c>
      <c r="U32" s="22">
        <v>45484</v>
      </c>
      <c r="V32" s="23"/>
      <c r="W32" s="22">
        <v>45583</v>
      </c>
      <c r="X32" s="21">
        <v>3.11</v>
      </c>
    </row>
    <row r="33" spans="2:27" x14ac:dyDescent="0.35">
      <c r="B33" s="21"/>
      <c r="C33" s="22"/>
      <c r="D33" s="23"/>
      <c r="E33" s="22"/>
      <c r="F33" s="21"/>
      <c r="G33" s="75"/>
      <c r="H33" s="75"/>
      <c r="K33" s="21" t="s">
        <v>37</v>
      </c>
      <c r="L33" s="22">
        <v>45484</v>
      </c>
      <c r="M33" s="23"/>
      <c r="N33" s="22">
        <v>45583</v>
      </c>
      <c r="O33" s="21">
        <v>1.6120000000000001</v>
      </c>
      <c r="T33" s="77" t="s">
        <v>32</v>
      </c>
      <c r="U33" s="22">
        <v>45484</v>
      </c>
      <c r="V33" s="23"/>
      <c r="W33" s="22">
        <v>45583</v>
      </c>
      <c r="X33" s="21">
        <v>3.23</v>
      </c>
    </row>
    <row r="34" spans="2:27" x14ac:dyDescent="0.35">
      <c r="B34" s="21"/>
      <c r="C34" s="22"/>
      <c r="D34" s="23"/>
      <c r="E34" s="22"/>
      <c r="F34" s="21"/>
      <c r="G34" s="75"/>
      <c r="H34" s="75"/>
      <c r="K34" s="21" t="s">
        <v>30</v>
      </c>
      <c r="L34" s="22">
        <v>45484</v>
      </c>
      <c r="M34" s="23"/>
      <c r="N34" s="22">
        <v>45583</v>
      </c>
      <c r="O34" s="21">
        <v>1.157</v>
      </c>
      <c r="T34" s="21" t="s">
        <v>35</v>
      </c>
      <c r="U34" s="22">
        <v>45484</v>
      </c>
      <c r="V34" s="23"/>
      <c r="W34" s="22">
        <v>45583</v>
      </c>
      <c r="X34" s="21">
        <v>7.53</v>
      </c>
    </row>
    <row r="35" spans="2:27" x14ac:dyDescent="0.35">
      <c r="B35" s="21" t="s">
        <v>37</v>
      </c>
      <c r="C35" s="22">
        <v>45471</v>
      </c>
      <c r="D35" s="23"/>
      <c r="E35" s="22">
        <v>45583</v>
      </c>
      <c r="F35" s="21">
        <v>9.52</v>
      </c>
      <c r="G35" s="75"/>
      <c r="H35" s="75"/>
      <c r="K35" s="21" t="s">
        <v>33</v>
      </c>
      <c r="L35" s="22">
        <v>45484</v>
      </c>
      <c r="M35" s="23"/>
      <c r="N35" s="22">
        <v>45583</v>
      </c>
      <c r="O35" s="21">
        <v>3.83</v>
      </c>
      <c r="T35" s="21" t="s">
        <v>36</v>
      </c>
      <c r="U35" s="22">
        <v>45484</v>
      </c>
      <c r="V35" s="23"/>
      <c r="W35" s="22">
        <v>45583</v>
      </c>
      <c r="X35">
        <v>6.47</v>
      </c>
      <c r="Z35">
        <v>6.47</v>
      </c>
      <c r="AA35" s="4">
        <v>45681</v>
      </c>
    </row>
    <row r="36" spans="2:27" x14ac:dyDescent="0.35">
      <c r="B36" s="21" t="s">
        <v>30</v>
      </c>
      <c r="C36" s="22">
        <v>45471</v>
      </c>
      <c r="D36" s="23"/>
      <c r="E36" s="22">
        <v>45583</v>
      </c>
      <c r="F36" s="21">
        <v>8.98</v>
      </c>
      <c r="G36" s="75"/>
      <c r="H36" s="75"/>
      <c r="K36" s="21" t="s">
        <v>34</v>
      </c>
      <c r="L36" s="22">
        <v>45484</v>
      </c>
      <c r="M36" s="23"/>
      <c r="N36" s="22">
        <v>45583</v>
      </c>
      <c r="O36" s="21">
        <v>3.98</v>
      </c>
      <c r="T36" s="21" t="s">
        <v>5</v>
      </c>
      <c r="X36">
        <v>5.0999999999999996</v>
      </c>
    </row>
    <row r="37" spans="2:27" x14ac:dyDescent="0.35">
      <c r="B37" s="21"/>
      <c r="C37" s="22"/>
      <c r="D37" s="23"/>
      <c r="E37" s="22"/>
      <c r="F37" s="21"/>
      <c r="G37" s="75"/>
      <c r="H37" s="75"/>
      <c r="K37" s="21"/>
      <c r="L37" s="22"/>
      <c r="M37" s="23"/>
      <c r="N37" s="22"/>
      <c r="O37" s="21">
        <v>2.64</v>
      </c>
      <c r="T37" s="21" t="s">
        <v>271</v>
      </c>
      <c r="X37">
        <v>2.2999999999999998</v>
      </c>
    </row>
    <row r="38" spans="2:27" x14ac:dyDescent="0.35">
      <c r="B38" s="21"/>
      <c r="C38" s="22"/>
      <c r="D38" s="23"/>
      <c r="E38" s="22"/>
      <c r="F38" s="21"/>
      <c r="G38" s="75"/>
      <c r="H38" s="75"/>
      <c r="K38" s="21"/>
      <c r="L38" s="22"/>
      <c r="M38" s="23"/>
      <c r="N38" s="22"/>
      <c r="O38" s="21">
        <v>1.3</v>
      </c>
    </row>
    <row r="39" spans="2:27" x14ac:dyDescent="0.35">
      <c r="B39" s="21" t="s">
        <v>31</v>
      </c>
      <c r="C39" s="22">
        <v>45471</v>
      </c>
      <c r="D39" s="23"/>
      <c r="E39" s="22">
        <v>45583</v>
      </c>
      <c r="F39" s="21">
        <v>1.337</v>
      </c>
      <c r="G39" s="75"/>
      <c r="H39" s="75"/>
      <c r="K39" s="21"/>
      <c r="L39" s="22"/>
      <c r="M39" s="23"/>
      <c r="N39" s="22"/>
      <c r="O39" s="21"/>
    </row>
    <row r="40" spans="2:27" x14ac:dyDescent="0.35">
      <c r="B40" s="21" t="s">
        <v>32</v>
      </c>
      <c r="C40" s="22">
        <v>45471</v>
      </c>
      <c r="D40" s="23"/>
      <c r="E40" s="22">
        <v>45583</v>
      </c>
      <c r="F40" s="21">
        <v>1.363</v>
      </c>
      <c r="G40" s="75"/>
      <c r="H40" s="75"/>
      <c r="K40" s="21"/>
      <c r="L40" s="22"/>
      <c r="M40" s="23"/>
      <c r="N40" s="22"/>
      <c r="O40" s="21"/>
    </row>
    <row r="41" spans="2:27" x14ac:dyDescent="0.35">
      <c r="B41" s="21"/>
      <c r="C41" s="22"/>
      <c r="D41" s="23"/>
      <c r="E41" s="22"/>
      <c r="F41" s="21"/>
      <c r="G41" s="75"/>
      <c r="H41" s="75"/>
    </row>
    <row r="42" spans="2:27" x14ac:dyDescent="0.35">
      <c r="B42" s="21"/>
      <c r="C42" s="22"/>
      <c r="D42" s="23"/>
      <c r="E42" s="22"/>
      <c r="F42" s="21"/>
      <c r="G42" s="75"/>
      <c r="H42" s="75"/>
    </row>
    <row r="43" spans="2:27" x14ac:dyDescent="0.35">
      <c r="B43" s="21" t="s">
        <v>33</v>
      </c>
      <c r="C43" s="22">
        <v>45471</v>
      </c>
      <c r="D43" s="23"/>
      <c r="E43" s="22">
        <v>45583</v>
      </c>
      <c r="F43" s="21">
        <v>3.72</v>
      </c>
      <c r="G43" s="75"/>
      <c r="H43" s="75"/>
    </row>
    <row r="44" spans="2:27" x14ac:dyDescent="0.35">
      <c r="B44" s="21" t="s">
        <v>34</v>
      </c>
      <c r="C44" s="22">
        <v>45471</v>
      </c>
      <c r="D44" s="23"/>
      <c r="E44" s="22">
        <v>45583</v>
      </c>
      <c r="F44" s="21">
        <v>3.33</v>
      </c>
      <c r="G44" s="75"/>
      <c r="H44" s="75"/>
    </row>
    <row r="45" spans="2:27" x14ac:dyDescent="0.35">
      <c r="B45" s="21"/>
      <c r="C45" s="22"/>
      <c r="D45" s="23"/>
      <c r="E45" s="22"/>
      <c r="F45" s="21"/>
      <c r="G45" s="75"/>
      <c r="H45" s="75"/>
    </row>
    <row r="46" spans="2:27" x14ac:dyDescent="0.35">
      <c r="B46" s="21"/>
      <c r="C46" s="22"/>
      <c r="D46" s="23"/>
      <c r="E46" s="22"/>
      <c r="F46" s="21"/>
      <c r="G46" s="75"/>
      <c r="H46" s="75"/>
    </row>
    <row r="47" spans="2:27" x14ac:dyDescent="0.35">
      <c r="B47" s="21" t="s">
        <v>35</v>
      </c>
      <c r="C47" s="22">
        <v>45471</v>
      </c>
      <c r="D47" s="23"/>
      <c r="E47" s="22">
        <v>45583</v>
      </c>
      <c r="F47" s="21">
        <v>12.24</v>
      </c>
      <c r="G47" s="75"/>
      <c r="H47" s="75"/>
    </row>
    <row r="48" spans="2:27" x14ac:dyDescent="0.35">
      <c r="B48" s="21" t="s">
        <v>36</v>
      </c>
      <c r="C48" s="22">
        <v>45471</v>
      </c>
      <c r="D48" s="23"/>
      <c r="E48" s="22">
        <v>45583</v>
      </c>
      <c r="F48" s="21">
        <v>12.57</v>
      </c>
      <c r="G48" s="75"/>
      <c r="H48" s="75"/>
    </row>
    <row r="49" spans="2:8" x14ac:dyDescent="0.35">
      <c r="B49" s="21"/>
      <c r="C49" s="22"/>
      <c r="D49" s="23"/>
      <c r="E49" s="22"/>
      <c r="F49" s="21"/>
      <c r="G49" s="75"/>
      <c r="H49" s="75"/>
    </row>
    <row r="50" spans="2:8" x14ac:dyDescent="0.35">
      <c r="B50" s="21"/>
      <c r="C50" s="22"/>
      <c r="D50" s="23"/>
      <c r="E50" s="22"/>
      <c r="F50" s="21"/>
      <c r="G50" s="75"/>
      <c r="H50" s="75"/>
    </row>
    <row r="51" spans="2:8" x14ac:dyDescent="0.35">
      <c r="B51" s="21" t="s">
        <v>37</v>
      </c>
      <c r="C51" s="22">
        <v>45475</v>
      </c>
      <c r="D51" s="23"/>
      <c r="E51" s="22">
        <v>45583</v>
      </c>
      <c r="F51" s="21">
        <v>1.708</v>
      </c>
      <c r="G51" s="75"/>
      <c r="H51" s="75"/>
    </row>
    <row r="52" spans="2:8" x14ac:dyDescent="0.35">
      <c r="B52" s="21" t="s">
        <v>30</v>
      </c>
      <c r="C52" s="22">
        <v>45475</v>
      </c>
      <c r="D52" s="23"/>
      <c r="E52" s="22">
        <v>45583</v>
      </c>
      <c r="F52" s="21">
        <v>0.92400000000000004</v>
      </c>
      <c r="G52" s="75"/>
      <c r="H52" s="75"/>
    </row>
    <row r="53" spans="2:8" x14ac:dyDescent="0.35">
      <c r="B53" s="21"/>
      <c r="C53" s="22"/>
      <c r="D53" s="23"/>
      <c r="E53" s="22"/>
      <c r="F53" s="21"/>
      <c r="G53" s="75"/>
      <c r="H53" s="75"/>
    </row>
    <row r="54" spans="2:8" x14ac:dyDescent="0.35">
      <c r="B54" s="21"/>
      <c r="C54" s="22"/>
      <c r="D54" s="23"/>
      <c r="E54" s="22"/>
      <c r="F54" s="21"/>
      <c r="G54" s="75"/>
      <c r="H54" s="75"/>
    </row>
    <row r="55" spans="2:8" x14ac:dyDescent="0.35">
      <c r="B55" s="21" t="s">
        <v>31</v>
      </c>
      <c r="C55" s="22">
        <v>45475</v>
      </c>
      <c r="D55" s="23"/>
      <c r="E55" s="22">
        <v>45583</v>
      </c>
      <c r="F55" s="21">
        <v>9.14</v>
      </c>
      <c r="G55" s="75"/>
      <c r="H55" s="75"/>
    </row>
    <row r="56" spans="2:8" x14ac:dyDescent="0.35">
      <c r="B56" s="21" t="s">
        <v>32</v>
      </c>
      <c r="C56" s="22">
        <v>45475</v>
      </c>
      <c r="D56" s="23"/>
      <c r="E56" s="22">
        <v>45583</v>
      </c>
      <c r="F56" s="21">
        <v>10.91</v>
      </c>
      <c r="G56" s="75"/>
      <c r="H56" s="75"/>
    </row>
    <row r="57" spans="2:8" x14ac:dyDescent="0.35">
      <c r="B57" s="21"/>
      <c r="C57" s="22"/>
      <c r="D57" s="23"/>
      <c r="E57" s="22"/>
      <c r="F57" s="21"/>
      <c r="G57" s="75"/>
      <c r="H57" s="75"/>
    </row>
    <row r="58" spans="2:8" x14ac:dyDescent="0.35">
      <c r="B58" s="21"/>
      <c r="C58" s="22"/>
      <c r="D58" s="23"/>
      <c r="E58" s="22"/>
      <c r="F58" s="21"/>
      <c r="G58" s="75"/>
      <c r="H58" s="75"/>
    </row>
    <row r="59" spans="2:8" x14ac:dyDescent="0.35">
      <c r="B59" s="21" t="s">
        <v>33</v>
      </c>
      <c r="C59" s="22">
        <v>45475</v>
      </c>
      <c r="D59" s="23"/>
      <c r="E59" s="22">
        <v>45583</v>
      </c>
      <c r="F59" s="21">
        <v>10.93</v>
      </c>
      <c r="G59" s="75"/>
      <c r="H59" s="75"/>
    </row>
    <row r="60" spans="2:8" x14ac:dyDescent="0.35">
      <c r="B60" s="21" t="s">
        <v>34</v>
      </c>
      <c r="C60" s="22">
        <v>45475</v>
      </c>
      <c r="D60" s="23"/>
      <c r="E60" s="22">
        <v>45583</v>
      </c>
      <c r="F60" s="21">
        <v>11.23</v>
      </c>
      <c r="G60" s="75"/>
      <c r="H60" s="75"/>
    </row>
    <row r="61" spans="2:8" x14ac:dyDescent="0.35">
      <c r="B61" s="21"/>
      <c r="C61" s="22"/>
      <c r="D61" s="23"/>
      <c r="E61" s="22"/>
      <c r="F61" s="21"/>
      <c r="G61" s="75"/>
      <c r="H61" s="75"/>
    </row>
    <row r="62" spans="2:8" x14ac:dyDescent="0.35">
      <c r="B62" s="21"/>
      <c r="C62" s="22"/>
      <c r="D62" s="23"/>
      <c r="E62" s="22"/>
      <c r="F62" s="21"/>
      <c r="G62" s="75"/>
      <c r="H62" s="75"/>
    </row>
    <row r="63" spans="2:8" x14ac:dyDescent="0.35">
      <c r="B63" s="21" t="s">
        <v>35</v>
      </c>
      <c r="C63" s="22">
        <v>45475</v>
      </c>
      <c r="D63" s="23"/>
      <c r="E63" s="22">
        <v>45583</v>
      </c>
      <c r="F63" s="21">
        <v>12.27</v>
      </c>
      <c r="G63" s="75"/>
      <c r="H63" s="75"/>
    </row>
    <row r="64" spans="2:8" x14ac:dyDescent="0.35">
      <c r="B64" s="21" t="s">
        <v>36</v>
      </c>
      <c r="C64" s="22">
        <v>45475</v>
      </c>
      <c r="D64" s="23"/>
      <c r="E64" s="22">
        <v>45583</v>
      </c>
      <c r="F64" s="21">
        <v>11.67</v>
      </c>
      <c r="G64" s="75"/>
      <c r="H64" s="75"/>
    </row>
    <row r="65" spans="2:8" x14ac:dyDescent="0.35">
      <c r="B65" s="21"/>
      <c r="C65" s="22"/>
      <c r="D65" s="23"/>
      <c r="E65" s="22"/>
      <c r="F65" s="21"/>
      <c r="G65" s="75"/>
      <c r="H65" s="75"/>
    </row>
    <row r="66" spans="2:8" x14ac:dyDescent="0.35">
      <c r="B66" s="21"/>
      <c r="C66" s="22"/>
      <c r="D66" s="23"/>
      <c r="E66" s="22"/>
      <c r="F66" s="21"/>
      <c r="G66" s="75"/>
      <c r="H66" s="75"/>
    </row>
    <row r="67" spans="2:8" x14ac:dyDescent="0.35">
      <c r="B67" s="21" t="s">
        <v>37</v>
      </c>
      <c r="C67" s="22">
        <v>45484</v>
      </c>
      <c r="D67" s="23"/>
      <c r="E67" s="22">
        <v>45583</v>
      </c>
      <c r="F67" s="21">
        <v>1.6120000000000001</v>
      </c>
      <c r="G67" s="75"/>
      <c r="H67" s="75"/>
    </row>
    <row r="68" spans="2:8" x14ac:dyDescent="0.35">
      <c r="B68" s="21" t="s">
        <v>30</v>
      </c>
      <c r="C68" s="22">
        <v>45484</v>
      </c>
      <c r="D68" s="23"/>
      <c r="E68" s="22">
        <v>45583</v>
      </c>
      <c r="F68" s="21">
        <v>1.157</v>
      </c>
      <c r="G68" s="75"/>
      <c r="H68" s="75"/>
    </row>
    <row r="69" spans="2:8" x14ac:dyDescent="0.35">
      <c r="B69" s="21"/>
      <c r="C69" s="22"/>
      <c r="D69" s="23"/>
      <c r="E69" s="22"/>
      <c r="F69" s="21"/>
      <c r="G69" s="75"/>
      <c r="H69" s="75"/>
    </row>
    <row r="70" spans="2:8" x14ac:dyDescent="0.35">
      <c r="B70" s="21"/>
      <c r="C70" s="22"/>
      <c r="D70" s="23"/>
      <c r="E70" s="22"/>
      <c r="F70" s="21"/>
      <c r="G70" s="75"/>
      <c r="H70" s="75"/>
    </row>
    <row r="71" spans="2:8" x14ac:dyDescent="0.35">
      <c r="B71" s="21" t="s">
        <v>31</v>
      </c>
      <c r="C71" s="22">
        <v>45484</v>
      </c>
      <c r="D71" s="23"/>
      <c r="E71" s="22">
        <v>45583</v>
      </c>
      <c r="F71" s="21">
        <v>3.11</v>
      </c>
      <c r="G71" s="75"/>
      <c r="H71" s="75"/>
    </row>
    <row r="72" spans="2:8" x14ac:dyDescent="0.35">
      <c r="B72" s="21" t="s">
        <v>32</v>
      </c>
      <c r="C72" s="22">
        <v>45484</v>
      </c>
      <c r="D72" s="23"/>
      <c r="E72" s="22">
        <v>45583</v>
      </c>
      <c r="F72" s="21">
        <v>3.23</v>
      </c>
      <c r="G72" s="75"/>
      <c r="H72" s="75"/>
    </row>
    <row r="73" spans="2:8" x14ac:dyDescent="0.35">
      <c r="B73" s="21"/>
      <c r="C73" s="22"/>
      <c r="D73" s="23"/>
      <c r="E73" s="22"/>
      <c r="F73" s="21"/>
      <c r="G73" s="75"/>
      <c r="H73" s="75"/>
    </row>
    <row r="74" spans="2:8" x14ac:dyDescent="0.35">
      <c r="B74" s="21"/>
      <c r="C74" s="22"/>
      <c r="D74" s="23"/>
      <c r="E74" s="22"/>
      <c r="F74" s="21"/>
      <c r="G74" s="75"/>
      <c r="H74" s="75"/>
    </row>
    <row r="75" spans="2:8" x14ac:dyDescent="0.35">
      <c r="B75" s="21" t="s">
        <v>33</v>
      </c>
      <c r="C75" s="22">
        <v>45484</v>
      </c>
      <c r="D75" s="23"/>
      <c r="E75" s="22">
        <v>45583</v>
      </c>
      <c r="F75" s="21">
        <v>3.83</v>
      </c>
      <c r="G75" s="75"/>
      <c r="H75" s="75"/>
    </row>
    <row r="76" spans="2:8" x14ac:dyDescent="0.35">
      <c r="B76" s="21" t="s">
        <v>34</v>
      </c>
      <c r="C76" s="22">
        <v>45484</v>
      </c>
      <c r="D76" s="23"/>
      <c r="E76" s="22">
        <v>45583</v>
      </c>
      <c r="F76" s="21">
        <v>3.98</v>
      </c>
      <c r="G76" s="75"/>
      <c r="H76" s="75"/>
    </row>
    <row r="77" spans="2:8" x14ac:dyDescent="0.35">
      <c r="B77" s="21"/>
      <c r="C77" s="22"/>
      <c r="D77" s="23"/>
      <c r="E77" s="22"/>
      <c r="F77" s="21"/>
      <c r="G77" s="75"/>
      <c r="H77" s="75"/>
    </row>
    <row r="78" spans="2:8" x14ac:dyDescent="0.35">
      <c r="B78" s="21"/>
      <c r="C78" s="22"/>
      <c r="D78" s="23"/>
      <c r="E78" s="22"/>
      <c r="F78" s="21"/>
      <c r="G78" s="75"/>
      <c r="H78" s="75"/>
    </row>
    <row r="79" spans="2:8" x14ac:dyDescent="0.35">
      <c r="B79" s="21" t="s">
        <v>35</v>
      </c>
      <c r="C79" s="22">
        <v>45484</v>
      </c>
      <c r="D79" s="23"/>
      <c r="E79" s="22">
        <v>45583</v>
      </c>
      <c r="F79" s="21">
        <v>7.53</v>
      </c>
      <c r="G79" s="75"/>
      <c r="H79" s="75"/>
    </row>
    <row r="80" spans="2:8" x14ac:dyDescent="0.35">
      <c r="B80" s="21" t="s">
        <v>36</v>
      </c>
      <c r="C80" s="22">
        <v>45484</v>
      </c>
      <c r="D80" s="23"/>
      <c r="E80" s="22">
        <v>45583</v>
      </c>
      <c r="F80" s="21">
        <v>13.71</v>
      </c>
      <c r="G80" s="75"/>
      <c r="H80" s="7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1BFC-2E2C-404E-8EF0-7717DAAE25DA}">
  <dimension ref="A1:AY220"/>
  <sheetViews>
    <sheetView topLeftCell="AG1" workbookViewId="0">
      <selection activeCell="AK13" sqref="AK13"/>
    </sheetView>
  </sheetViews>
  <sheetFormatPr defaultRowHeight="14.5" x14ac:dyDescent="0.35"/>
  <cols>
    <col min="1" max="1" width="12.453125" customWidth="1"/>
    <col min="2" max="2" width="14.54296875" customWidth="1"/>
    <col min="11" max="11" width="13.81640625" customWidth="1"/>
    <col min="12" max="12" width="16.1796875" customWidth="1"/>
    <col min="24" max="24" width="32.54296875" bestFit="1" customWidth="1"/>
    <col min="25" max="25" width="38.7265625" bestFit="1" customWidth="1"/>
    <col min="26" max="26" width="47.1796875" bestFit="1" customWidth="1"/>
    <col min="32" max="32" width="13.81640625" customWidth="1"/>
  </cols>
  <sheetData>
    <row r="1" spans="1:51" ht="101.5" x14ac:dyDescent="0.35">
      <c r="A1" s="29" t="s">
        <v>41</v>
      </c>
      <c r="B1" s="30" t="s">
        <v>42</v>
      </c>
      <c r="C1" s="31" t="s">
        <v>43</v>
      </c>
      <c r="D1" s="31" t="s">
        <v>44</v>
      </c>
      <c r="E1" s="31" t="s">
        <v>45</v>
      </c>
      <c r="F1" s="31" t="s">
        <v>46</v>
      </c>
      <c r="G1" s="31" t="s">
        <v>47</v>
      </c>
      <c r="H1" s="31" t="s">
        <v>48</v>
      </c>
      <c r="I1" s="31" t="s">
        <v>49</v>
      </c>
      <c r="J1" s="31" t="s">
        <v>50</v>
      </c>
      <c r="K1" s="32" t="s">
        <v>51</v>
      </c>
      <c r="L1" s="33" t="s">
        <v>52</v>
      </c>
      <c r="M1" s="34" t="s">
        <v>53</v>
      </c>
      <c r="N1" s="31" t="s">
        <v>54</v>
      </c>
      <c r="O1" s="35" t="s">
        <v>55</v>
      </c>
      <c r="P1" s="35" t="s">
        <v>56</v>
      </c>
      <c r="Q1" s="36" t="s">
        <v>57</v>
      </c>
      <c r="R1" s="31" t="s">
        <v>58</v>
      </c>
      <c r="S1" s="37" t="s">
        <v>59</v>
      </c>
      <c r="T1" s="31" t="s">
        <v>60</v>
      </c>
      <c r="U1" s="37" t="s">
        <v>61</v>
      </c>
      <c r="V1" s="38" t="s">
        <v>62</v>
      </c>
      <c r="W1" s="38" t="s">
        <v>63</v>
      </c>
      <c r="X1" s="39" t="s">
        <v>64</v>
      </c>
      <c r="Y1" s="31" t="s">
        <v>65</v>
      </c>
      <c r="Z1" s="2" t="s">
        <v>66</v>
      </c>
      <c r="AA1" s="40" t="s">
        <v>67</v>
      </c>
      <c r="AB1" s="40" t="s">
        <v>68</v>
      </c>
      <c r="AC1" s="40"/>
      <c r="AD1" s="41" t="s">
        <v>69</v>
      </c>
      <c r="AE1" s="42" t="s">
        <v>70</v>
      </c>
      <c r="AF1" s="41" t="s">
        <v>71</v>
      </c>
      <c r="AG1" s="43" t="s">
        <v>72</v>
      </c>
      <c r="AH1" s="43" t="s">
        <v>73</v>
      </c>
      <c r="AI1" s="43" t="s">
        <v>74</v>
      </c>
      <c r="AJ1" s="43" t="s">
        <v>75</v>
      </c>
      <c r="AK1" s="37" t="s">
        <v>76</v>
      </c>
      <c r="AL1" s="43" t="s">
        <v>77</v>
      </c>
      <c r="AM1" s="43" t="s">
        <v>78</v>
      </c>
      <c r="AN1" s="43" t="s">
        <v>79</v>
      </c>
      <c r="AO1" s="43" t="s">
        <v>80</v>
      </c>
      <c r="AP1" s="41" t="s">
        <v>81</v>
      </c>
      <c r="AQ1" s="43" t="s">
        <v>82</v>
      </c>
      <c r="AR1" s="43" t="s">
        <v>83</v>
      </c>
      <c r="AS1" s="43" t="s">
        <v>84</v>
      </c>
      <c r="AT1" s="43" t="s">
        <v>85</v>
      </c>
      <c r="AU1" s="43" t="s">
        <v>86</v>
      </c>
      <c r="AV1" s="44" t="s">
        <v>87</v>
      </c>
      <c r="AW1" s="2"/>
      <c r="AX1" s="2"/>
      <c r="AY1" s="2"/>
    </row>
    <row r="2" spans="1:51" x14ac:dyDescent="0.35">
      <c r="A2" s="45">
        <v>45497</v>
      </c>
      <c r="B2" s="46">
        <v>0.375</v>
      </c>
      <c r="C2" s="2" t="s">
        <v>88</v>
      </c>
      <c r="D2" s="2" t="s">
        <v>89</v>
      </c>
      <c r="E2" s="2" t="s">
        <v>90</v>
      </c>
      <c r="F2" s="2">
        <v>1</v>
      </c>
      <c r="G2" s="2" t="s">
        <v>91</v>
      </c>
      <c r="H2" s="2" t="s">
        <v>92</v>
      </c>
      <c r="I2" s="2" t="s">
        <v>93</v>
      </c>
      <c r="J2" s="2">
        <v>181</v>
      </c>
      <c r="K2" s="47">
        <v>45497</v>
      </c>
      <c r="L2" s="46">
        <v>0.50521990740740741</v>
      </c>
      <c r="M2" s="2">
        <v>1</v>
      </c>
      <c r="N2" s="2" t="s">
        <v>94</v>
      </c>
      <c r="O2" s="2">
        <v>1.84E-2</v>
      </c>
      <c r="P2" s="2">
        <v>1.75E-3</v>
      </c>
      <c r="Q2" s="2">
        <v>0</v>
      </c>
      <c r="R2" s="2" t="s">
        <v>95</v>
      </c>
      <c r="S2" s="48">
        <f t="shared" ref="S2:S65" si="0">IF(OR(AND(I2&lt;&gt;"TP", I2&lt;&gt;"TDP",I2&lt;&gt;"TN", I2&lt;&gt;"TDN"),H2="CAL"), Q2*M2, IF(OR(AND(I2="TN", Q2&gt;2500), AND(I2="TDN", Q2&gt;2500)),MAX(Q2, AK2)*M2, IF(OR(AND(I2="TN", Q2&lt;=2500), AND(I2="TDN", Q2&lt;=2500)),MAX(Q2, AJ2,AK2)*M2, IF(OR(AND(I2="TP",Q2&gt;500), AND(I2="TDP", Q2&gt;500)),MAX(Q2,AK2)*M2,IF(OR(AND(I2="TP",Q2&lt;=150), AND(I2="TDP", Q2&lt;=150)),MAX(Q2,AG2:AI2,AK2)*M2,IF(OR(AND(I2="TP",Q2&lt;=300), AND(I2="TDP", Q2&lt;=300)),MAX(Q2,AH2,AI2,AK2)*M2,IF(OR(AND(I2="TP",Q2&lt;=500), AND(I2="TDP", Q2&lt;=500)),MAX(Q2,AI2,AK2)*M2,"")))))))</f>
        <v>0</v>
      </c>
      <c r="T2" s="2" t="s">
        <v>96</v>
      </c>
      <c r="U2" s="48" t="s">
        <v>97</v>
      </c>
      <c r="V2" s="44" t="s">
        <v>97</v>
      </c>
      <c r="W2" s="44" t="s">
        <v>98</v>
      </c>
      <c r="X2" s="44" t="s">
        <v>97</v>
      </c>
      <c r="Y2" s="2" t="s">
        <v>99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str">
        <f t="shared" ref="AL2:AN17" si="1">IF($O2="", "", IF(AQ2&lt;&gt;"", SUBSTITUTE(SUBSTITUTE(AQ2, "x", "*"&amp;$O2&amp;"^", 1), "x", "*"&amp;$O2, 1), ""))</f>
        <v>FALSE</v>
      </c>
      <c r="AM2" s="2" t="str">
        <f t="shared" si="1"/>
        <v>FALSE</v>
      </c>
      <c r="AN2" s="2" t="str">
        <f t="shared" si="1"/>
        <v>FALSE</v>
      </c>
      <c r="AO2" s="2" t="str">
        <f t="shared" ref="AO2:AP17" si="2">IF($O2="", "FALSE", IF(AT2&lt;&gt;"FALSE", SUBSTITUTE(SUBSTITUTE(AT2, "x", "*"&amp;$O2&amp;"^", 1), "x", "*"&amp;$O2, 1), ""))</f>
        <v>FALSE</v>
      </c>
      <c r="AP2" s="2" t="str">
        <f t="shared" si="2"/>
        <v>FALSE</v>
      </c>
      <c r="AQ2" s="2" t="b">
        <f>IF(AND(I2="TP",S2&lt;=150),VLOOKUP(AF2,[1]TPCalibEq150!$AZ$2:$BB$74,3,),IF(AND(I2="TDP",S2&lt;=150),VLOOKUP(AF2,[1]TPCalibEq150!$AZ$2:$BB$74,3,)))</f>
        <v>0</v>
      </c>
      <c r="AR2" s="2" t="b">
        <f>IF(AND(I2="TP",S2&lt;=300),VLOOKUP(AF2,[1]TPCalibEq300!$AZ$2:$BB$76,3,),IF(AND(I2="TDP",S2&lt;=300),VLOOKUP(AF2,[1]TPCalibEq300!$AZ$2:$BB$76,3,)))</f>
        <v>0</v>
      </c>
      <c r="AS2" s="2" t="b">
        <f>IF(AND(I2="TP",S2&lt;=500),VLOOKUP(AF2,[1]TPCalibEq500!$AZ$2:$BB$88,3,),IF(AND(I2="TDP",S2&lt;=500),VLOOKUP(AF2,[1]TPCalibEq500!$AZ$2:$BB$88,3,)))</f>
        <v>0</v>
      </c>
      <c r="AT2" s="2" t="b">
        <f>IF(AND(I2="TN",S2&lt;=2800),VLOOKUP(AF2,[1]TNCalibEq2500!$AZ$2:$BB$80,3,),IF(AND(I2="TDN",S2&lt;=2800),VLOOKUP(AF2,[1]TNCalibEq2500!$AZ$2:$BB$80,3,)))</f>
        <v>0</v>
      </c>
      <c r="AU2" s="2" t="b">
        <f>IF(I2="TP",VLOOKUP(AF2,[1]TPCalibEqFull!$AZ$2:$BB$164,3),IF(I2="TDP",VLOOKUP(AF2,[1]TPCalibEqFull!$AZ$2:$BB$164,3),IF(I2="TDN",VLOOKUP(AF2,[1]TNCalibEqFull!$AZ$2:$BB$116,3),IF(I2="TN",VLOOKUP(AF2,[1]TNCalibEqFull!$AZ$2:$BB$118,3),FALSE))))</f>
        <v>0</v>
      </c>
      <c r="AV2" s="2" t="str">
        <f t="shared" ref="AV2:AV65" si="3">TEXT(A2, "MMDD")&amp;" "&amp;TEXT(B2, "HH:MM:SS")&amp;"-"&amp;C2&amp;"-"&amp;D2&amp;"-"&amp;E2&amp;"-"&amp;F2&amp;"-"&amp;G2&amp;"-"&amp;H2</f>
        <v>0724 09:00:00-QAC-STD-H-1-DI-CAL</v>
      </c>
      <c r="AW2" s="2"/>
      <c r="AX2" s="2"/>
      <c r="AY2" s="2"/>
    </row>
    <row r="3" spans="1:51" x14ac:dyDescent="0.35">
      <c r="A3" s="45">
        <v>45497</v>
      </c>
      <c r="B3" s="46">
        <v>0.375</v>
      </c>
      <c r="C3" s="2" t="s">
        <v>88</v>
      </c>
      <c r="D3" s="2" t="s">
        <v>89</v>
      </c>
      <c r="E3" s="2" t="s">
        <v>100</v>
      </c>
      <c r="F3" s="2">
        <v>1</v>
      </c>
      <c r="G3" s="2" t="s">
        <v>91</v>
      </c>
      <c r="H3" s="2" t="s">
        <v>92</v>
      </c>
      <c r="I3" s="2" t="s">
        <v>93</v>
      </c>
      <c r="J3" s="2">
        <v>182</v>
      </c>
      <c r="K3" s="47">
        <v>45497</v>
      </c>
      <c r="L3" s="46">
        <v>0.5060648148148148</v>
      </c>
      <c r="M3" s="2">
        <v>1</v>
      </c>
      <c r="N3" s="2" t="s">
        <v>94</v>
      </c>
      <c r="O3" s="2">
        <v>0.40200000000000002</v>
      </c>
      <c r="P3" s="2">
        <v>3.2000000000000001E-2</v>
      </c>
      <c r="Q3" s="2">
        <v>20</v>
      </c>
      <c r="R3" s="2" t="s">
        <v>95</v>
      </c>
      <c r="S3" s="48">
        <f t="shared" si="0"/>
        <v>20</v>
      </c>
      <c r="T3" s="2" t="s">
        <v>101</v>
      </c>
      <c r="U3" s="48" t="s">
        <v>97</v>
      </c>
      <c r="V3" s="44" t="s">
        <v>97</v>
      </c>
      <c r="W3" s="44" t="s">
        <v>98</v>
      </c>
      <c r="X3" s="44" t="s">
        <v>97</v>
      </c>
      <c r="Y3" s="2" t="s">
        <v>99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str">
        <f t="shared" si="1"/>
        <v>FALSE</v>
      </c>
      <c r="AM3" s="2" t="str">
        <f t="shared" si="1"/>
        <v>FALSE</v>
      </c>
      <c r="AN3" s="2" t="str">
        <f t="shared" si="1"/>
        <v>FALSE</v>
      </c>
      <c r="AO3" s="2" t="str">
        <f t="shared" si="2"/>
        <v>FALSE</v>
      </c>
      <c r="AP3" s="2" t="str">
        <f t="shared" si="2"/>
        <v>FALSE</v>
      </c>
      <c r="AQ3" s="2" t="b">
        <f>IF(AND(I3="TP",S3&lt;=150),VLOOKUP(AF3,[1]TPCalibEq150!$AZ$2:$BB$74,3,),IF(AND(I3="TDP",S3&lt;=150),VLOOKUP(AF3,[1]TPCalibEq150!$AZ$2:$BB$74,3,)))</f>
        <v>0</v>
      </c>
      <c r="AR3" s="2" t="b">
        <f>IF(AND(I3="TP",S3&lt;=300),VLOOKUP(AF3,[1]TPCalibEq300!$AZ$2:$BB$76,3,),IF(AND(I3="TDP",S3&lt;=300),VLOOKUP(AF3,[1]TPCalibEq300!$AZ$2:$BB$76,3,)))</f>
        <v>0</v>
      </c>
      <c r="AS3" s="2" t="b">
        <f>IF(AND(I3="TP",S3&lt;=500),VLOOKUP(AF3,[1]TPCalibEq500!$AZ$2:$BB$88,3,),IF(AND(I3="TDP",S3&lt;=500),VLOOKUP(AF3,[1]TPCalibEq500!$AZ$2:$BB$88,3,)))</f>
        <v>0</v>
      </c>
      <c r="AT3" s="2" t="b">
        <f>IF(AND(I3="TN",S3&lt;=2800),VLOOKUP(AF3,[1]TNCalibEq2500!$AZ$2:$BB$80,3,),IF(AND(I3="TDN",S3&lt;=2800),VLOOKUP(AF3,[1]TNCalibEq2500!$AZ$2:$BB$80,3,)))</f>
        <v>0</v>
      </c>
      <c r="AU3" s="2" t="b">
        <f>IF(I3="TP",VLOOKUP(AF3,[1]TPCalibEqFull!$AZ$2:$BB$164,3),IF(I3="TDP",VLOOKUP(AF3,[1]TPCalibEqFull!$AZ$2:$BB$164,3),IF(I3="TDN",VLOOKUP(AF3,[1]TNCalibEqFull!$AZ$2:$BB$116,3),IF(I3="TN",VLOOKUP(AF3,[1]TNCalibEqFull!$AZ$2:$BB$118,3),FALSE))))</f>
        <v>0</v>
      </c>
      <c r="AV3" s="2" t="str">
        <f t="shared" si="3"/>
        <v>0724 09:00:00-QAC-STD-G-1-DI-CAL</v>
      </c>
      <c r="AW3" s="2"/>
      <c r="AX3" s="2"/>
      <c r="AY3" s="2"/>
    </row>
    <row r="4" spans="1:51" x14ac:dyDescent="0.35">
      <c r="A4" s="45">
        <v>45497</v>
      </c>
      <c r="B4" s="46">
        <v>0.375</v>
      </c>
      <c r="C4" s="2" t="s">
        <v>88</v>
      </c>
      <c r="D4" s="2" t="s">
        <v>89</v>
      </c>
      <c r="E4" s="2" t="s">
        <v>102</v>
      </c>
      <c r="F4" s="2">
        <v>1</v>
      </c>
      <c r="G4" s="2" t="s">
        <v>91</v>
      </c>
      <c r="H4" s="2" t="s">
        <v>92</v>
      </c>
      <c r="I4" s="2" t="s">
        <v>93</v>
      </c>
      <c r="J4" s="2">
        <v>183</v>
      </c>
      <c r="K4" s="47">
        <v>45497</v>
      </c>
      <c r="L4" s="46">
        <v>0.50692129629629623</v>
      </c>
      <c r="M4" s="2">
        <v>1</v>
      </c>
      <c r="N4" s="2" t="s">
        <v>94</v>
      </c>
      <c r="O4" s="2">
        <v>1.1100000000000001</v>
      </c>
      <c r="P4" s="2">
        <v>8.8200000000000001E-2</v>
      </c>
      <c r="Q4" s="2">
        <v>60</v>
      </c>
      <c r="R4" s="2" t="s">
        <v>95</v>
      </c>
      <c r="S4" s="48">
        <f t="shared" si="0"/>
        <v>60</v>
      </c>
      <c r="T4" s="2" t="s">
        <v>103</v>
      </c>
      <c r="U4" s="48" t="s">
        <v>97</v>
      </c>
      <c r="V4" s="44" t="s">
        <v>97</v>
      </c>
      <c r="W4" s="44" t="s">
        <v>98</v>
      </c>
      <c r="X4" s="44" t="s">
        <v>97</v>
      </c>
      <c r="Y4" s="2" t="s">
        <v>99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str">
        <f t="shared" si="1"/>
        <v>FALSE</v>
      </c>
      <c r="AM4" s="2" t="str">
        <f t="shared" si="1"/>
        <v>FALSE</v>
      </c>
      <c r="AN4" s="2" t="str">
        <f t="shared" si="1"/>
        <v>FALSE</v>
      </c>
      <c r="AO4" s="2" t="str">
        <f t="shared" si="2"/>
        <v>FALSE</v>
      </c>
      <c r="AP4" s="2" t="str">
        <f t="shared" si="2"/>
        <v>FALSE</v>
      </c>
      <c r="AQ4" s="2" t="b">
        <f>IF(AND(I4="TP",S4&lt;=150),VLOOKUP(AF4,[1]TPCalibEq150!$AZ$2:$BB$74,3,),IF(AND(I4="TDP",S4&lt;=150),VLOOKUP(AF4,[1]TPCalibEq150!$AZ$2:$BB$74,3,)))</f>
        <v>0</v>
      </c>
      <c r="AR4" s="2" t="b">
        <f>IF(AND(I4="TP",S4&lt;=300),VLOOKUP(AF4,[1]TPCalibEq300!$AZ$2:$BB$76,3,),IF(AND(I4="TDP",S4&lt;=300),VLOOKUP(AF4,[1]TPCalibEq300!$AZ$2:$BB$76,3,)))</f>
        <v>0</v>
      </c>
      <c r="AS4" s="2" t="b">
        <f>IF(AND(I4="TP",S4&lt;=500),VLOOKUP(AF4,[1]TPCalibEq500!$AZ$2:$BB$88,3,),IF(AND(I4="TDP",S4&lt;=500),VLOOKUP(AF4,[1]TPCalibEq500!$AZ$2:$BB$88,3,)))</f>
        <v>0</v>
      </c>
      <c r="AT4" s="2" t="b">
        <f>IF(AND(I4="TN",S4&lt;=2800),VLOOKUP(AF4,[1]TNCalibEq2500!$AZ$2:$BB$80,3,),IF(AND(I4="TDN",S4&lt;=2800),VLOOKUP(AF4,[1]TNCalibEq2500!$AZ$2:$BB$80,3,)))</f>
        <v>0</v>
      </c>
      <c r="AU4" s="2" t="b">
        <f>IF(I4="TP",VLOOKUP(AF4,[1]TPCalibEqFull!$AZ$2:$BB$164,3),IF(I4="TDP",VLOOKUP(AF4,[1]TPCalibEqFull!$AZ$2:$BB$164,3),IF(I4="TDN",VLOOKUP(AF4,[1]TNCalibEqFull!$AZ$2:$BB$116,3),IF(I4="TN",VLOOKUP(AF4,[1]TNCalibEqFull!$AZ$2:$BB$118,3),FALSE))))</f>
        <v>0</v>
      </c>
      <c r="AV4" s="2" t="str">
        <f t="shared" si="3"/>
        <v>0724 09:00:00-QAC-STD-F-1-DI-CAL</v>
      </c>
      <c r="AW4" s="2"/>
      <c r="AX4" s="2"/>
      <c r="AY4" s="2"/>
    </row>
    <row r="5" spans="1:51" x14ac:dyDescent="0.35">
      <c r="A5" s="45">
        <v>45497</v>
      </c>
      <c r="B5" s="46">
        <v>0.375</v>
      </c>
      <c r="C5" s="2" t="s">
        <v>88</v>
      </c>
      <c r="D5" s="2" t="s">
        <v>89</v>
      </c>
      <c r="E5" s="2" t="s">
        <v>104</v>
      </c>
      <c r="F5" s="2">
        <v>1</v>
      </c>
      <c r="G5" s="2" t="s">
        <v>91</v>
      </c>
      <c r="H5" s="2" t="s">
        <v>92</v>
      </c>
      <c r="I5" s="2" t="s">
        <v>93</v>
      </c>
      <c r="J5" s="2">
        <v>184</v>
      </c>
      <c r="K5" s="47">
        <v>45497</v>
      </c>
      <c r="L5" s="46">
        <v>0.50774305555555554</v>
      </c>
      <c r="M5" s="2">
        <v>1</v>
      </c>
      <c r="N5" s="2" t="s">
        <v>94</v>
      </c>
      <c r="O5" s="2">
        <v>1.46</v>
      </c>
      <c r="P5" s="2">
        <v>0.115</v>
      </c>
      <c r="Q5" s="2">
        <v>80</v>
      </c>
      <c r="R5" s="2" t="s">
        <v>95</v>
      </c>
      <c r="S5" s="48">
        <f t="shared" si="0"/>
        <v>80</v>
      </c>
      <c r="T5" s="2" t="s">
        <v>105</v>
      </c>
      <c r="U5" s="48" t="s">
        <v>97</v>
      </c>
      <c r="V5" s="44" t="s">
        <v>97</v>
      </c>
      <c r="W5" s="44" t="s">
        <v>98</v>
      </c>
      <c r="X5" s="44" t="s">
        <v>97</v>
      </c>
      <c r="Y5" s="2" t="s">
        <v>99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str">
        <f t="shared" si="1"/>
        <v>FALSE</v>
      </c>
      <c r="AM5" s="2" t="str">
        <f t="shared" si="1"/>
        <v>FALSE</v>
      </c>
      <c r="AN5" s="2" t="str">
        <f t="shared" si="1"/>
        <v>FALSE</v>
      </c>
      <c r="AO5" s="2" t="str">
        <f t="shared" si="2"/>
        <v>FALSE</v>
      </c>
      <c r="AP5" s="2" t="str">
        <f t="shared" si="2"/>
        <v>FALSE</v>
      </c>
      <c r="AQ5" s="2" t="b">
        <f>IF(AND(I5="TP",S5&lt;=150),VLOOKUP(AF5,[1]TPCalibEq150!$AZ$2:$BB$74,3,),IF(AND(I5="TDP",S5&lt;=150),VLOOKUP(AF5,[1]TPCalibEq150!$AZ$2:$BB$74,3,)))</f>
        <v>0</v>
      </c>
      <c r="AR5" s="2" t="b">
        <f>IF(AND(I5="TP",S5&lt;=300),VLOOKUP(AF5,[1]TPCalibEq300!$AZ$2:$BB$76,3,),IF(AND(I5="TDP",S5&lt;=300),VLOOKUP(AF5,[1]TPCalibEq300!$AZ$2:$BB$76,3,)))</f>
        <v>0</v>
      </c>
      <c r="AS5" s="2" t="b">
        <f>IF(AND(I5="TP",S5&lt;=500),VLOOKUP(AF5,[1]TPCalibEq500!$AZ$2:$BB$88,3,),IF(AND(I5="TDP",S5&lt;=500),VLOOKUP(AF5,[1]TPCalibEq500!$AZ$2:$BB$88,3,)))</f>
        <v>0</v>
      </c>
      <c r="AT5" s="2" t="b">
        <f>IF(AND(I5="TN",S5&lt;=2800),VLOOKUP(AF5,[1]TNCalibEq2500!$AZ$2:$BB$80,3,),IF(AND(I5="TDN",S5&lt;=2800),VLOOKUP(AF5,[1]TNCalibEq2500!$AZ$2:$BB$80,3,)))</f>
        <v>0</v>
      </c>
      <c r="AU5" s="2" t="b">
        <f>IF(I5="TP",VLOOKUP(AF5,[1]TPCalibEqFull!$AZ$2:$BB$164,3),IF(I5="TDP",VLOOKUP(AF5,[1]TPCalibEqFull!$AZ$2:$BB$164,3),IF(I5="TDN",VLOOKUP(AF5,[1]TNCalibEqFull!$AZ$2:$BB$116,3),IF(I5="TN",VLOOKUP(AF5,[1]TNCalibEqFull!$AZ$2:$BB$118,3),FALSE))))</f>
        <v>0</v>
      </c>
      <c r="AV5" s="2" t="str">
        <f t="shared" si="3"/>
        <v>0724 09:00:00-QAC-STD-E-1-DI-CAL</v>
      </c>
      <c r="AW5" s="2"/>
      <c r="AX5" s="2"/>
      <c r="AY5" s="2"/>
    </row>
    <row r="6" spans="1:51" x14ac:dyDescent="0.35">
      <c r="A6" s="45">
        <v>45497</v>
      </c>
      <c r="B6" s="46">
        <v>0.375</v>
      </c>
      <c r="C6" s="2" t="s">
        <v>88</v>
      </c>
      <c r="D6" s="2" t="s">
        <v>89</v>
      </c>
      <c r="E6" s="2" t="s">
        <v>106</v>
      </c>
      <c r="F6" s="2">
        <v>1</v>
      </c>
      <c r="G6" s="2" t="s">
        <v>91</v>
      </c>
      <c r="H6" s="2" t="s">
        <v>92</v>
      </c>
      <c r="I6" s="2" t="s">
        <v>93</v>
      </c>
      <c r="J6" s="2">
        <v>185</v>
      </c>
      <c r="K6" s="47">
        <v>45497</v>
      </c>
      <c r="L6" s="46">
        <v>0.50858796296296294</v>
      </c>
      <c r="M6" s="2">
        <v>1</v>
      </c>
      <c r="N6" s="2" t="s">
        <v>94</v>
      </c>
      <c r="O6" s="2">
        <v>5.69</v>
      </c>
      <c r="P6" s="2">
        <v>0.46400000000000002</v>
      </c>
      <c r="Q6" s="2">
        <v>300</v>
      </c>
      <c r="R6" s="2" t="s">
        <v>95</v>
      </c>
      <c r="S6" s="48">
        <f t="shared" si="0"/>
        <v>300</v>
      </c>
      <c r="T6" s="2" t="s">
        <v>107</v>
      </c>
      <c r="U6" s="48" t="s">
        <v>97</v>
      </c>
      <c r="V6" s="44" t="s">
        <v>97</v>
      </c>
      <c r="W6" s="44" t="s">
        <v>98</v>
      </c>
      <c r="X6" s="44" t="s">
        <v>97</v>
      </c>
      <c r="Y6" s="2" t="s">
        <v>99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str">
        <f t="shared" si="1"/>
        <v>FALSE</v>
      </c>
      <c r="AM6" s="2" t="str">
        <f t="shared" si="1"/>
        <v>FALSE</v>
      </c>
      <c r="AN6" s="2" t="str">
        <f t="shared" si="1"/>
        <v>FALSE</v>
      </c>
      <c r="AO6" s="2" t="str">
        <f t="shared" si="2"/>
        <v>FALSE</v>
      </c>
      <c r="AP6" s="2" t="str">
        <f t="shared" si="2"/>
        <v>FALSE</v>
      </c>
      <c r="AQ6" s="2" t="b">
        <f>IF(AND(I6="TP",S6&lt;=150),VLOOKUP(AF6,[1]TPCalibEq150!$AZ$2:$BB$74,3,),IF(AND(I6="TDP",S6&lt;=150),VLOOKUP(AF6,[1]TPCalibEq150!$AZ$2:$BB$74,3,)))</f>
        <v>0</v>
      </c>
      <c r="AR6" s="2" t="b">
        <f>IF(AND(I6="TP",S6&lt;=300),VLOOKUP(AF6,[1]TPCalibEq300!$AZ$2:$BB$76,3,),IF(AND(I6="TDP",S6&lt;=300),VLOOKUP(AF6,[1]TPCalibEq300!$AZ$2:$BB$76,3,)))</f>
        <v>0</v>
      </c>
      <c r="AS6" s="2" t="b">
        <f>IF(AND(I6="TP",S6&lt;=500),VLOOKUP(AF6,[1]TPCalibEq500!$AZ$2:$BB$88,3,),IF(AND(I6="TDP",S6&lt;=500),VLOOKUP(AF6,[1]TPCalibEq500!$AZ$2:$BB$88,3,)))</f>
        <v>0</v>
      </c>
      <c r="AT6" s="2" t="b">
        <f>IF(AND(I6="TN",S6&lt;=2800),VLOOKUP(AF6,[1]TNCalibEq2500!$AZ$2:$BB$80,3,),IF(AND(I6="TDN",S6&lt;=2800),VLOOKUP(AF6,[1]TNCalibEq2500!$AZ$2:$BB$80,3,)))</f>
        <v>0</v>
      </c>
      <c r="AU6" s="2" t="b">
        <f>IF(I6="TP",VLOOKUP(AF6,[1]TPCalibEqFull!$AZ$2:$BB$164,3),IF(I6="TDP",VLOOKUP(AF6,[1]TPCalibEqFull!$AZ$2:$BB$164,3),IF(I6="TDN",VLOOKUP(AF6,[1]TNCalibEqFull!$AZ$2:$BB$116,3),IF(I6="TN",VLOOKUP(AF6,[1]TNCalibEqFull!$AZ$2:$BB$118,3),FALSE))))</f>
        <v>0</v>
      </c>
      <c r="AV6" s="2" t="str">
        <f t="shared" si="3"/>
        <v>0724 09:00:00-QAC-STD-D-1-DI-CAL</v>
      </c>
      <c r="AW6" s="2"/>
      <c r="AX6" s="2"/>
      <c r="AY6" s="2"/>
    </row>
    <row r="7" spans="1:51" x14ac:dyDescent="0.35">
      <c r="A7" s="45">
        <v>45497</v>
      </c>
      <c r="B7" s="46">
        <v>0.375</v>
      </c>
      <c r="C7" s="2" t="s">
        <v>88</v>
      </c>
      <c r="D7" s="2" t="s">
        <v>89</v>
      </c>
      <c r="E7" s="2" t="s">
        <v>108</v>
      </c>
      <c r="F7" s="2">
        <v>1</v>
      </c>
      <c r="G7" s="2" t="s">
        <v>91</v>
      </c>
      <c r="H7" s="2" t="s">
        <v>92</v>
      </c>
      <c r="I7" s="2" t="s">
        <v>93</v>
      </c>
      <c r="J7" s="2">
        <v>186</v>
      </c>
      <c r="K7" s="47">
        <v>45497</v>
      </c>
      <c r="L7" s="46">
        <v>0.50940972222222225</v>
      </c>
      <c r="M7" s="2">
        <v>1</v>
      </c>
      <c r="N7" s="2" t="s">
        <v>94</v>
      </c>
      <c r="O7" s="2">
        <v>11.3</v>
      </c>
      <c r="P7" s="2">
        <v>0.91900000000000004</v>
      </c>
      <c r="Q7" s="2">
        <v>600</v>
      </c>
      <c r="R7" s="2" t="s">
        <v>95</v>
      </c>
      <c r="S7" s="48">
        <f t="shared" si="0"/>
        <v>600</v>
      </c>
      <c r="T7" s="2" t="s">
        <v>109</v>
      </c>
      <c r="U7" s="48" t="s">
        <v>97</v>
      </c>
      <c r="V7" s="44" t="s">
        <v>97</v>
      </c>
      <c r="W7" s="44" t="s">
        <v>98</v>
      </c>
      <c r="X7" s="44" t="s">
        <v>97</v>
      </c>
      <c r="Y7" s="2" t="s">
        <v>99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tr">
        <f t="shared" si="1"/>
        <v>FALSE</v>
      </c>
      <c r="AM7" s="2" t="str">
        <f t="shared" si="1"/>
        <v>FALSE</v>
      </c>
      <c r="AN7" s="2" t="str">
        <f t="shared" si="1"/>
        <v>FALSE</v>
      </c>
      <c r="AO7" s="2" t="str">
        <f t="shared" si="2"/>
        <v>FALSE</v>
      </c>
      <c r="AP7" s="2" t="str">
        <f t="shared" si="2"/>
        <v>FALSE</v>
      </c>
      <c r="AQ7" s="2" t="b">
        <f>IF(AND(I7="TP",S7&lt;=150),VLOOKUP(AF7,[1]TPCalibEq150!$AZ$2:$BB$74,3,),IF(AND(I7="TDP",S7&lt;=150),VLOOKUP(AF7,[1]TPCalibEq150!$AZ$2:$BB$74,3,)))</f>
        <v>0</v>
      </c>
      <c r="AR7" s="2" t="b">
        <f>IF(AND(I7="TP",S7&lt;=300),VLOOKUP(AF7,[1]TPCalibEq300!$AZ$2:$BB$76,3,),IF(AND(I7="TDP",S7&lt;=300),VLOOKUP(AF7,[1]TPCalibEq300!$AZ$2:$BB$76,3,)))</f>
        <v>0</v>
      </c>
      <c r="AS7" s="2" t="b">
        <f>IF(AND(I7="TP",S7&lt;=500),VLOOKUP(AF7,[1]TPCalibEq500!$AZ$2:$BB$88,3,),IF(AND(I7="TDP",S7&lt;=500),VLOOKUP(AF7,[1]TPCalibEq500!$AZ$2:$BB$88,3,)))</f>
        <v>0</v>
      </c>
      <c r="AT7" s="2" t="b">
        <f>IF(AND(I7="TN",S7&lt;=2800),VLOOKUP(AF7,[1]TNCalibEq2500!$AZ$2:$BB$80,3,),IF(AND(I7="TDN",S7&lt;=2800),VLOOKUP(AF7,[1]TNCalibEq2500!$AZ$2:$BB$80,3,)))</f>
        <v>0</v>
      </c>
      <c r="AU7" s="2" t="b">
        <f>IF(I7="TP",VLOOKUP(AF7,[1]TPCalibEqFull!$AZ$2:$BB$164,3),IF(I7="TDP",VLOOKUP(AF7,[1]TPCalibEqFull!$AZ$2:$BB$164,3),IF(I7="TDN",VLOOKUP(AF7,[1]TNCalibEqFull!$AZ$2:$BB$116,3),IF(I7="TN",VLOOKUP(AF7,[1]TNCalibEqFull!$AZ$2:$BB$118,3),FALSE))))</f>
        <v>0</v>
      </c>
      <c r="AV7" s="2" t="str">
        <f t="shared" si="3"/>
        <v>0724 09:00:00-QAC-STD-C-1-DI-CAL</v>
      </c>
      <c r="AW7" s="2"/>
      <c r="AX7" s="2"/>
      <c r="AY7" s="2"/>
    </row>
    <row r="8" spans="1:51" x14ac:dyDescent="0.35">
      <c r="A8" s="45">
        <v>45497</v>
      </c>
      <c r="B8" s="46">
        <v>0.375</v>
      </c>
      <c r="C8" s="2" t="s">
        <v>88</v>
      </c>
      <c r="D8" s="2" t="s">
        <v>89</v>
      </c>
      <c r="E8" s="2" t="s">
        <v>110</v>
      </c>
      <c r="F8" s="2">
        <v>1</v>
      </c>
      <c r="G8" s="2" t="s">
        <v>91</v>
      </c>
      <c r="H8" s="2" t="s">
        <v>92</v>
      </c>
      <c r="I8" s="2" t="s">
        <v>93</v>
      </c>
      <c r="J8" s="2">
        <v>187</v>
      </c>
      <c r="K8" s="47">
        <v>45497</v>
      </c>
      <c r="L8" s="46">
        <v>0.5102430555555556</v>
      </c>
      <c r="M8" s="2">
        <v>1</v>
      </c>
      <c r="N8" s="2" t="s">
        <v>94</v>
      </c>
      <c r="O8" s="2">
        <v>22.3</v>
      </c>
      <c r="P8" s="2">
        <v>1.8</v>
      </c>
      <c r="Q8" s="2">
        <v>1200</v>
      </c>
      <c r="R8" s="2" t="s">
        <v>95</v>
      </c>
      <c r="S8" s="48">
        <f t="shared" si="0"/>
        <v>1200</v>
      </c>
      <c r="T8" s="2" t="s">
        <v>111</v>
      </c>
      <c r="U8" s="48" t="s">
        <v>97</v>
      </c>
      <c r="V8" s="44" t="s">
        <v>97</v>
      </c>
      <c r="W8" s="44" t="s">
        <v>98</v>
      </c>
      <c r="X8" s="44" t="s">
        <v>97</v>
      </c>
      <c r="Y8" s="2" t="s">
        <v>99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tr">
        <f t="shared" si="1"/>
        <v>FALSE</v>
      </c>
      <c r="AM8" s="2" t="str">
        <f t="shared" si="1"/>
        <v>FALSE</v>
      </c>
      <c r="AN8" s="2" t="str">
        <f t="shared" si="1"/>
        <v>FALSE</v>
      </c>
      <c r="AO8" s="2" t="str">
        <f t="shared" si="2"/>
        <v>FALSE</v>
      </c>
      <c r="AP8" s="2" t="str">
        <f t="shared" si="2"/>
        <v>FALSE</v>
      </c>
      <c r="AQ8" s="2" t="b">
        <f>IF(AND(I8="TP",S8&lt;=150),VLOOKUP(AF8,[1]TPCalibEq150!$AZ$2:$BB$74,3,),IF(AND(I8="TDP",S8&lt;=150),VLOOKUP(AF8,[1]TPCalibEq150!$AZ$2:$BB$74,3,)))</f>
        <v>0</v>
      </c>
      <c r="AR8" s="2" t="b">
        <f>IF(AND(I8="TP",S8&lt;=300),VLOOKUP(AF8,[1]TPCalibEq300!$AZ$2:$BB$76,3,),IF(AND(I8="TDP",S8&lt;=300),VLOOKUP(AF8,[1]TPCalibEq300!$AZ$2:$BB$76,3,)))</f>
        <v>0</v>
      </c>
      <c r="AS8" s="2" t="b">
        <f>IF(AND(I8="TP",S8&lt;=500),VLOOKUP(AF8,[1]TPCalibEq500!$AZ$2:$BB$88,3,),IF(AND(I8="TDP",S8&lt;=500),VLOOKUP(AF8,[1]TPCalibEq500!$AZ$2:$BB$88,3,)))</f>
        <v>0</v>
      </c>
      <c r="AT8" s="2" t="b">
        <f>IF(AND(I8="TN",S8&lt;=2800),VLOOKUP(AF8,[1]TNCalibEq2500!$AZ$2:$BB$80,3,),IF(AND(I8="TDN",S8&lt;=2800),VLOOKUP(AF8,[1]TNCalibEq2500!$AZ$2:$BB$80,3,)))</f>
        <v>0</v>
      </c>
      <c r="AU8" s="2" t="b">
        <f>IF(I8="TP",VLOOKUP(AF8,[1]TPCalibEqFull!$AZ$2:$BB$164,3),IF(I8="TDP",VLOOKUP(AF8,[1]TPCalibEqFull!$AZ$2:$BB$164,3),IF(I8="TDN",VLOOKUP(AF8,[1]TNCalibEqFull!$AZ$2:$BB$116,3),IF(I8="TN",VLOOKUP(AF8,[1]TNCalibEqFull!$AZ$2:$BB$118,3),FALSE))))</f>
        <v>0</v>
      </c>
      <c r="AV8" s="2" t="str">
        <f t="shared" si="3"/>
        <v>0724 09:00:00-QAC-STD-B-1-DI-CAL</v>
      </c>
      <c r="AW8" s="2"/>
      <c r="AX8" s="2"/>
      <c r="AY8" s="2"/>
    </row>
    <row r="9" spans="1:51" x14ac:dyDescent="0.35">
      <c r="A9" s="45">
        <v>45497</v>
      </c>
      <c r="B9" s="46">
        <v>0.375</v>
      </c>
      <c r="C9" s="2" t="s">
        <v>88</v>
      </c>
      <c r="D9" s="2" t="s">
        <v>89</v>
      </c>
      <c r="E9" s="2" t="s">
        <v>112</v>
      </c>
      <c r="F9" s="2">
        <v>1</v>
      </c>
      <c r="G9" s="2" t="s">
        <v>91</v>
      </c>
      <c r="H9" s="2" t="s">
        <v>92</v>
      </c>
      <c r="I9" s="2" t="s">
        <v>93</v>
      </c>
      <c r="J9" s="2">
        <v>188</v>
      </c>
      <c r="K9" s="47">
        <v>45497</v>
      </c>
      <c r="L9" s="46">
        <v>0.51106481481481481</v>
      </c>
      <c r="M9" s="2">
        <v>1</v>
      </c>
      <c r="N9" s="2" t="s">
        <v>94</v>
      </c>
      <c r="O9" s="2">
        <v>36.5</v>
      </c>
      <c r="P9" s="2">
        <v>2.93</v>
      </c>
      <c r="Q9" s="2">
        <v>2000</v>
      </c>
      <c r="R9" s="2" t="s">
        <v>95</v>
      </c>
      <c r="S9" s="48">
        <f t="shared" si="0"/>
        <v>2000</v>
      </c>
      <c r="T9" s="2" t="s">
        <v>113</v>
      </c>
      <c r="U9" s="48" t="s">
        <v>97</v>
      </c>
      <c r="V9" s="44" t="s">
        <v>97</v>
      </c>
      <c r="W9" s="44" t="s">
        <v>98</v>
      </c>
      <c r="X9" s="44" t="s">
        <v>97</v>
      </c>
      <c r="Y9" s="2" t="s">
        <v>99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str">
        <f t="shared" si="1"/>
        <v>FALSE</v>
      </c>
      <c r="AM9" s="2" t="str">
        <f t="shared" si="1"/>
        <v>FALSE</v>
      </c>
      <c r="AN9" s="2" t="str">
        <f t="shared" si="1"/>
        <v>FALSE</v>
      </c>
      <c r="AO9" s="2" t="str">
        <f t="shared" si="2"/>
        <v>FALSE</v>
      </c>
      <c r="AP9" s="2" t="str">
        <f t="shared" si="2"/>
        <v>FALSE</v>
      </c>
      <c r="AQ9" s="2" t="b">
        <f>IF(AND(I9="TP",S9&lt;=150),VLOOKUP(AF9,[1]TPCalibEq150!$AZ$2:$BB$74,3,),IF(AND(I9="TDP",S9&lt;=150),VLOOKUP(AF9,[1]TPCalibEq150!$AZ$2:$BB$74,3,)))</f>
        <v>0</v>
      </c>
      <c r="AR9" s="2" t="b">
        <f>IF(AND(I9="TP",S9&lt;=300),VLOOKUP(AF9,[1]TPCalibEq300!$AZ$2:$BB$76,3,),IF(AND(I9="TDP",S9&lt;=300),VLOOKUP(AF9,[1]TPCalibEq300!$AZ$2:$BB$76,3,)))</f>
        <v>0</v>
      </c>
      <c r="AS9" s="2" t="b">
        <f>IF(AND(I9="TP",S9&lt;=500),VLOOKUP(AF9,[1]TPCalibEq500!$AZ$2:$BB$88,3,),IF(AND(I9="TDP",S9&lt;=500),VLOOKUP(AF9,[1]TPCalibEq500!$AZ$2:$BB$88,3,)))</f>
        <v>0</v>
      </c>
      <c r="AT9" s="2" t="b">
        <f>IF(AND(I9="TN",S9&lt;=2800),VLOOKUP(AF9,[1]TNCalibEq2500!$AZ$2:$BB$80,3,),IF(AND(I9="TDN",S9&lt;=2800),VLOOKUP(AF9,[1]TNCalibEq2500!$AZ$2:$BB$80,3,)))</f>
        <v>0</v>
      </c>
      <c r="AU9" s="2" t="b">
        <f>IF(I9="TP",VLOOKUP(AF9,[1]TPCalibEqFull!$AZ$2:$BB$164,3),IF(I9="TDP",VLOOKUP(AF9,[1]TPCalibEqFull!$AZ$2:$BB$164,3),IF(I9="TDN",VLOOKUP(AF9,[1]TNCalibEqFull!$AZ$2:$BB$116,3),IF(I9="TN",VLOOKUP(AF9,[1]TNCalibEqFull!$AZ$2:$BB$118,3),FALSE))))</f>
        <v>0</v>
      </c>
      <c r="AV9" s="2" t="str">
        <f t="shared" si="3"/>
        <v>0724 09:00:00-QAC-STD-A-1-DI-CAL</v>
      </c>
      <c r="AW9" s="2"/>
      <c r="AX9" s="2"/>
      <c r="AY9" s="2"/>
    </row>
    <row r="10" spans="1:51" x14ac:dyDescent="0.35">
      <c r="A10" s="45">
        <v>45497</v>
      </c>
      <c r="B10" s="46">
        <v>0.375</v>
      </c>
      <c r="C10" s="2" t="s">
        <v>88</v>
      </c>
      <c r="D10" s="2" t="s">
        <v>114</v>
      </c>
      <c r="E10" s="2" t="s">
        <v>112</v>
      </c>
      <c r="F10" s="2">
        <v>1</v>
      </c>
      <c r="G10" s="2" t="s">
        <v>91</v>
      </c>
      <c r="H10" s="2" t="s">
        <v>115</v>
      </c>
      <c r="I10" s="2" t="s">
        <v>93</v>
      </c>
      <c r="J10" s="2">
        <v>198</v>
      </c>
      <c r="K10" s="47">
        <v>45497</v>
      </c>
      <c r="L10" s="46">
        <v>0.51271990740740747</v>
      </c>
      <c r="M10" s="2">
        <v>1</v>
      </c>
      <c r="N10" s="2" t="s">
        <v>94</v>
      </c>
      <c r="O10" s="2">
        <v>6.0200000000000002E-3</v>
      </c>
      <c r="P10" s="2">
        <v>1.1800000000000001E-3</v>
      </c>
      <c r="Q10" s="2">
        <v>0.314</v>
      </c>
      <c r="R10" s="2" t="s">
        <v>95</v>
      </c>
      <c r="S10" s="48">
        <f t="shared" si="0"/>
        <v>0.314</v>
      </c>
      <c r="T10" s="2" t="s">
        <v>113</v>
      </c>
      <c r="U10" s="48">
        <v>0.314</v>
      </c>
      <c r="V10" s="44" t="s">
        <v>97</v>
      </c>
      <c r="W10" s="44" t="s">
        <v>98</v>
      </c>
      <c r="X10" s="44" t="s">
        <v>116</v>
      </c>
      <c r="Y10" s="2" t="s">
        <v>99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tr">
        <f t="shared" si="1"/>
        <v>FALSE</v>
      </c>
      <c r="AM10" s="2" t="str">
        <f t="shared" si="1"/>
        <v>FALSE</v>
      </c>
      <c r="AN10" s="2" t="str">
        <f t="shared" si="1"/>
        <v>FALSE</v>
      </c>
      <c r="AO10" s="2" t="str">
        <f t="shared" si="2"/>
        <v>FALSE</v>
      </c>
      <c r="AP10" s="2" t="str">
        <f t="shared" si="2"/>
        <v>FALSE</v>
      </c>
      <c r="AQ10" s="2" t="b">
        <f>IF(AND(I10="TP",S10&lt;=150),VLOOKUP(AF10,[1]TPCalibEq150!$AZ$2:$BB$74,3,),IF(AND(I10="TDP",S10&lt;=150),VLOOKUP(AF10,[1]TPCalibEq150!$AZ$2:$BB$74,3,)))</f>
        <v>0</v>
      </c>
      <c r="AR10" s="2" t="b">
        <f>IF(AND(I10="TP",S10&lt;=300),VLOOKUP(AF10,[1]TPCalibEq300!$AZ$2:$BB$76,3,),IF(AND(I10="TDP",S10&lt;=300),VLOOKUP(AF10,[1]TPCalibEq300!$AZ$2:$BB$76,3,)))</f>
        <v>0</v>
      </c>
      <c r="AS10" s="2" t="b">
        <f>IF(AND(I10="TP",S10&lt;=500),VLOOKUP(AF10,[1]TPCalibEq500!$AZ$2:$BB$88,3,),IF(AND(I10="TDP",S10&lt;=500),VLOOKUP(AF10,[1]TPCalibEq500!$AZ$2:$BB$88,3,)))</f>
        <v>0</v>
      </c>
      <c r="AT10" s="2" t="b">
        <f>IF(AND(I10="TN",S10&lt;=2800),VLOOKUP(AF10,[1]TNCalibEq2500!$AZ$2:$BB$80,3,),IF(AND(I10="TDN",S10&lt;=2800),VLOOKUP(AF10,[1]TNCalibEq2500!$AZ$2:$BB$80,3,)))</f>
        <v>0</v>
      </c>
      <c r="AU10" s="2" t="b">
        <f>IF(I10="TP",VLOOKUP(AF10,[1]TPCalibEqFull!$AZ$2:$BB$164,3),IF(I10="TDP",VLOOKUP(AF10,[1]TPCalibEqFull!$AZ$2:$BB$164,3),IF(I10="TDN",VLOOKUP(AF10,[1]TNCalibEqFull!$AZ$2:$BB$116,3),IF(I10="TN",VLOOKUP(AF10,[1]TNCalibEqFull!$AZ$2:$BB$118,3),FALSE))))</f>
        <v>0</v>
      </c>
      <c r="AV10" s="2" t="str">
        <f t="shared" si="3"/>
        <v>0724 09:00:00-QAC-BLK-A-1-DI-LAB</v>
      </c>
      <c r="AW10" s="2"/>
      <c r="AX10" s="2"/>
      <c r="AY10" s="2"/>
    </row>
    <row r="11" spans="1:51" x14ac:dyDescent="0.35">
      <c r="A11" s="45">
        <v>45497</v>
      </c>
      <c r="B11" s="46">
        <v>0.375</v>
      </c>
      <c r="C11" s="2" t="s">
        <v>88</v>
      </c>
      <c r="D11" s="2" t="s">
        <v>114</v>
      </c>
      <c r="E11" s="2" t="s">
        <v>112</v>
      </c>
      <c r="F11" s="2">
        <v>1</v>
      </c>
      <c r="G11" s="2" t="s">
        <v>91</v>
      </c>
      <c r="H11" s="2" t="s">
        <v>117</v>
      </c>
      <c r="I11" s="2" t="s">
        <v>93</v>
      </c>
      <c r="J11" s="2">
        <v>225</v>
      </c>
      <c r="K11" s="47">
        <v>45497</v>
      </c>
      <c r="L11" s="46">
        <v>0.51354166666666667</v>
      </c>
      <c r="M11" s="2">
        <v>1</v>
      </c>
      <c r="N11" s="2" t="s">
        <v>94</v>
      </c>
      <c r="O11" s="2">
        <v>11</v>
      </c>
      <c r="P11" s="2">
        <v>0.876</v>
      </c>
      <c r="Q11" s="2">
        <v>586</v>
      </c>
      <c r="R11" s="2" t="s">
        <v>95</v>
      </c>
      <c r="S11" s="48">
        <f t="shared" si="0"/>
        <v>586</v>
      </c>
      <c r="T11" s="2" t="s">
        <v>113</v>
      </c>
      <c r="U11" s="48">
        <v>93.709760000000003</v>
      </c>
      <c r="V11" s="44">
        <v>625</v>
      </c>
      <c r="W11" s="44" t="s">
        <v>98</v>
      </c>
      <c r="X11" s="44" t="s">
        <v>118</v>
      </c>
      <c r="Y11" s="2" t="s">
        <v>99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tr">
        <f t="shared" si="1"/>
        <v>FALSE</v>
      </c>
      <c r="AM11" s="2" t="str">
        <f t="shared" si="1"/>
        <v>FALSE</v>
      </c>
      <c r="AN11" s="2" t="str">
        <f t="shared" si="1"/>
        <v>FALSE</v>
      </c>
      <c r="AO11" s="2" t="str">
        <f t="shared" si="2"/>
        <v>FALSE</v>
      </c>
      <c r="AP11" s="2" t="str">
        <f t="shared" si="2"/>
        <v>FALSE</v>
      </c>
      <c r="AQ11" s="2" t="b">
        <f>IF(AND(I11="TP",S11&lt;=150),VLOOKUP(AF11,[1]TPCalibEq150!$AZ$2:$BB$74,3,),IF(AND(I11="TDP",S11&lt;=150),VLOOKUP(AF11,[1]TPCalibEq150!$AZ$2:$BB$74,3,)))</f>
        <v>0</v>
      </c>
      <c r="AR11" s="2" t="b">
        <f>IF(AND(I11="TP",S11&lt;=300),VLOOKUP(AF11,[1]TPCalibEq300!$AZ$2:$BB$76,3,),IF(AND(I11="TDP",S11&lt;=300),VLOOKUP(AF11,[1]TPCalibEq300!$AZ$2:$BB$76,3,)))</f>
        <v>0</v>
      </c>
      <c r="AS11" s="2" t="b">
        <f>IF(AND(I11="TP",S11&lt;=500),VLOOKUP(AF11,[1]TPCalibEq500!$AZ$2:$BB$88,3,),IF(AND(I11="TDP",S11&lt;=500),VLOOKUP(AF11,[1]TPCalibEq500!$AZ$2:$BB$88,3,)))</f>
        <v>0</v>
      </c>
      <c r="AT11" s="2" t="b">
        <f>IF(AND(I11="TN",S11&lt;=2800),VLOOKUP(AF11,[1]TNCalibEq2500!$AZ$2:$BB$80,3,),IF(AND(I11="TDN",S11&lt;=2800),VLOOKUP(AF11,[1]TNCalibEq2500!$AZ$2:$BB$80,3,)))</f>
        <v>0</v>
      </c>
      <c r="AU11" s="2" t="b">
        <f>IF(I11="TP",VLOOKUP(AF11,[1]TPCalibEqFull!$AZ$2:$BB$164,3),IF(I11="TDP",VLOOKUP(AF11,[1]TPCalibEqFull!$AZ$2:$BB$164,3),IF(I11="TDN",VLOOKUP(AF11,[1]TNCalibEqFull!$AZ$2:$BB$116,3),IF(I11="TN",VLOOKUP(AF11,[1]TNCalibEqFull!$AZ$2:$BB$118,3),FALSE))))</f>
        <v>0</v>
      </c>
      <c r="AV11" s="2" t="str">
        <f t="shared" si="3"/>
        <v>0724 09:00:00-QAC-BLK-A-1-DI-SPK</v>
      </c>
      <c r="AW11" s="2"/>
      <c r="AX11" s="2"/>
      <c r="AY11" s="2"/>
    </row>
    <row r="12" spans="1:51" x14ac:dyDescent="0.35">
      <c r="A12" s="45">
        <v>45497</v>
      </c>
      <c r="B12" s="46">
        <v>0.375</v>
      </c>
      <c r="C12" s="2" t="s">
        <v>88</v>
      </c>
      <c r="D12" s="2" t="s">
        <v>89</v>
      </c>
      <c r="E12" s="2" t="s">
        <v>119</v>
      </c>
      <c r="F12" s="2">
        <v>1</v>
      </c>
      <c r="G12" s="2" t="s">
        <v>91</v>
      </c>
      <c r="H12" s="2" t="s">
        <v>120</v>
      </c>
      <c r="I12" s="2" t="s">
        <v>93</v>
      </c>
      <c r="J12" s="2">
        <v>197</v>
      </c>
      <c r="K12" s="47">
        <v>45497</v>
      </c>
      <c r="L12" s="46">
        <v>0.51437500000000003</v>
      </c>
      <c r="M12" s="2">
        <v>1</v>
      </c>
      <c r="N12" s="2" t="s">
        <v>94</v>
      </c>
      <c r="O12" s="2">
        <v>17</v>
      </c>
      <c r="P12" s="2">
        <v>4.4800000000000004</v>
      </c>
      <c r="Q12" s="2">
        <v>906</v>
      </c>
      <c r="R12" s="2" t="s">
        <v>95</v>
      </c>
      <c r="S12" s="48">
        <f t="shared" si="0"/>
        <v>906</v>
      </c>
      <c r="T12" s="2" t="s">
        <v>113</v>
      </c>
      <c r="U12" s="48">
        <v>86.285714285714292</v>
      </c>
      <c r="V12" s="44">
        <v>1050</v>
      </c>
      <c r="W12" s="44" t="s">
        <v>98</v>
      </c>
      <c r="X12" s="44" t="s">
        <v>121</v>
      </c>
      <c r="Y12" s="2" t="s">
        <v>99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tr">
        <f t="shared" si="1"/>
        <v>FALSE</v>
      </c>
      <c r="AM12" s="2" t="str">
        <f t="shared" si="1"/>
        <v>FALSE</v>
      </c>
      <c r="AN12" s="2" t="str">
        <f t="shared" si="1"/>
        <v>FALSE</v>
      </c>
      <c r="AO12" s="2" t="str">
        <f t="shared" si="2"/>
        <v>FALSE</v>
      </c>
      <c r="AP12" s="2" t="str">
        <f t="shared" si="2"/>
        <v>FALSE</v>
      </c>
      <c r="AQ12" s="2" t="b">
        <f>IF(AND(I12="TP",S12&lt;=150),VLOOKUP(AF12,[1]TPCalibEq150!$AZ$2:$BB$74,3,),IF(AND(I12="TDP",S12&lt;=150),VLOOKUP(AF12,[1]TPCalibEq150!$AZ$2:$BB$74,3,)))</f>
        <v>0</v>
      </c>
      <c r="AR12" s="2" t="b">
        <f>IF(AND(I12="TP",S12&lt;=300),VLOOKUP(AF12,[1]TPCalibEq300!$AZ$2:$BB$76,3,),IF(AND(I12="TDP",S12&lt;=300),VLOOKUP(AF12,[1]TPCalibEq300!$AZ$2:$BB$76,3,)))</f>
        <v>0</v>
      </c>
      <c r="AS12" s="2" t="b">
        <f>IF(AND(I12="TP",S12&lt;=500),VLOOKUP(AF12,[1]TPCalibEq500!$AZ$2:$BB$88,3,),IF(AND(I12="TDP",S12&lt;=500),VLOOKUP(AF12,[1]TPCalibEq500!$AZ$2:$BB$88,3,)))</f>
        <v>0</v>
      </c>
      <c r="AT12" s="2" t="b">
        <f>IF(AND(I12="TN",S12&lt;=2800),VLOOKUP(AF12,[1]TNCalibEq2500!$AZ$2:$BB$80,3,),IF(AND(I12="TDN",S12&lt;=2800),VLOOKUP(AF12,[1]TNCalibEq2500!$AZ$2:$BB$80,3,)))</f>
        <v>0</v>
      </c>
      <c r="AU12" s="2" t="b">
        <f>IF(I12="TP",VLOOKUP(AF12,[1]TPCalibEqFull!$AZ$2:$BB$164,3),IF(I12="TDP",VLOOKUP(AF12,[1]TPCalibEqFull!$AZ$2:$BB$164,3),IF(I12="TDN",VLOOKUP(AF12,[1]TNCalibEqFull!$AZ$2:$BB$116,3),IF(I12="TN",VLOOKUP(AF12,[1]TNCalibEqFull!$AZ$2:$BB$118,3),FALSE))))</f>
        <v>0</v>
      </c>
      <c r="AV12" s="2" t="str">
        <f t="shared" si="3"/>
        <v>0724 09:00:00-QAC-STD-22A-1-DI-PER</v>
      </c>
      <c r="AW12" s="2"/>
      <c r="AX12" s="2"/>
      <c r="AY12" s="2"/>
    </row>
    <row r="13" spans="1:51" x14ac:dyDescent="0.35">
      <c r="A13" s="45">
        <v>45497</v>
      </c>
      <c r="B13" s="46">
        <v>0.375</v>
      </c>
      <c r="C13" s="2" t="s">
        <v>88</v>
      </c>
      <c r="D13" s="2" t="s">
        <v>89</v>
      </c>
      <c r="E13" s="2" t="s">
        <v>119</v>
      </c>
      <c r="F13" s="2">
        <v>1</v>
      </c>
      <c r="G13" s="2" t="s">
        <v>91</v>
      </c>
      <c r="H13" s="2" t="s">
        <v>120</v>
      </c>
      <c r="I13" s="2" t="s">
        <v>93</v>
      </c>
      <c r="J13" s="2">
        <v>197</v>
      </c>
      <c r="K13" s="47">
        <v>45497</v>
      </c>
      <c r="L13" s="46">
        <v>0.51770833333333333</v>
      </c>
      <c r="M13" s="2">
        <v>1</v>
      </c>
      <c r="N13" s="2" t="s">
        <v>94</v>
      </c>
      <c r="O13" s="2">
        <v>18.7</v>
      </c>
      <c r="P13" s="2">
        <v>1.51</v>
      </c>
      <c r="Q13" s="2">
        <v>1000</v>
      </c>
      <c r="R13" s="2" t="s">
        <v>95</v>
      </c>
      <c r="S13" s="48">
        <f t="shared" si="0"/>
        <v>1000</v>
      </c>
      <c r="T13" s="2" t="s">
        <v>113</v>
      </c>
      <c r="U13" s="48">
        <v>95.238095238095227</v>
      </c>
      <c r="V13" s="44">
        <v>1050</v>
      </c>
      <c r="W13" s="44" t="s">
        <v>98</v>
      </c>
      <c r="X13" s="44" t="s">
        <v>121</v>
      </c>
      <c r="Y13" s="2" t="s">
        <v>99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tr">
        <f t="shared" si="1"/>
        <v>FALSE</v>
      </c>
      <c r="AM13" s="2" t="str">
        <f t="shared" si="1"/>
        <v>FALSE</v>
      </c>
      <c r="AN13" s="2" t="str">
        <f t="shared" si="1"/>
        <v>FALSE</v>
      </c>
      <c r="AO13" s="2" t="str">
        <f t="shared" si="2"/>
        <v>FALSE</v>
      </c>
      <c r="AP13" s="2" t="str">
        <f t="shared" si="2"/>
        <v>FALSE</v>
      </c>
      <c r="AQ13" s="2" t="b">
        <f>IF(AND(I13="TP",S13&lt;=150),VLOOKUP(AF13,[1]TPCalibEq150!$AZ$2:$BB$74,3,),IF(AND(I13="TDP",S13&lt;=150),VLOOKUP(AF13,[1]TPCalibEq150!$AZ$2:$BB$74,3,)))</f>
        <v>0</v>
      </c>
      <c r="AR13" s="2" t="b">
        <f>IF(AND(I13="TP",S13&lt;=300),VLOOKUP(AF13,[1]TPCalibEq300!$AZ$2:$BB$76,3,),IF(AND(I13="TDP",S13&lt;=300),VLOOKUP(AF13,[1]TPCalibEq300!$AZ$2:$BB$76,3,)))</f>
        <v>0</v>
      </c>
      <c r="AS13" s="2" t="b">
        <f>IF(AND(I13="TP",S13&lt;=500),VLOOKUP(AF13,[1]TPCalibEq500!$AZ$2:$BB$88,3,),IF(AND(I13="TDP",S13&lt;=500),VLOOKUP(AF13,[1]TPCalibEq500!$AZ$2:$BB$88,3,)))</f>
        <v>0</v>
      </c>
      <c r="AT13" s="2" t="b">
        <f>IF(AND(I13="TN",S13&lt;=2800),VLOOKUP(AF13,[1]TNCalibEq2500!$AZ$2:$BB$80,3,),IF(AND(I13="TDN",S13&lt;=2800),VLOOKUP(AF13,[1]TNCalibEq2500!$AZ$2:$BB$80,3,)))</f>
        <v>0</v>
      </c>
      <c r="AU13" s="2" t="b">
        <f>IF(I13="TP",VLOOKUP(AF13,[1]TPCalibEqFull!$AZ$2:$BB$164,3),IF(I13="TDP",VLOOKUP(AF13,[1]TPCalibEqFull!$AZ$2:$BB$164,3),IF(I13="TDN",VLOOKUP(AF13,[1]TNCalibEqFull!$AZ$2:$BB$116,3),IF(I13="TN",VLOOKUP(AF13,[1]TNCalibEqFull!$AZ$2:$BB$118,3),FALSE))))</f>
        <v>0</v>
      </c>
      <c r="AV13" s="2" t="str">
        <f t="shared" si="3"/>
        <v>0724 09:00:00-QAC-STD-22A-1-DI-PER</v>
      </c>
      <c r="AW13" s="2"/>
      <c r="AX13" s="2"/>
      <c r="AY13" s="2"/>
    </row>
    <row r="14" spans="1:51" x14ac:dyDescent="0.35">
      <c r="A14" s="45">
        <v>45497</v>
      </c>
      <c r="B14" s="46">
        <v>0.375</v>
      </c>
      <c r="C14" s="2" t="s">
        <v>88</v>
      </c>
      <c r="D14" s="2" t="s">
        <v>89</v>
      </c>
      <c r="E14" s="2" t="s">
        <v>106</v>
      </c>
      <c r="F14" s="2">
        <v>1</v>
      </c>
      <c r="G14" s="2" t="s">
        <v>91</v>
      </c>
      <c r="H14" s="2" t="s">
        <v>122</v>
      </c>
      <c r="I14" s="2" t="s">
        <v>93</v>
      </c>
      <c r="J14" s="2">
        <v>200</v>
      </c>
      <c r="K14" s="47">
        <v>45497</v>
      </c>
      <c r="L14" s="46">
        <v>0.58188657407407407</v>
      </c>
      <c r="M14" s="2">
        <v>1</v>
      </c>
      <c r="N14" s="2" t="s">
        <v>94</v>
      </c>
      <c r="O14" s="2">
        <v>5.69</v>
      </c>
      <c r="P14" s="2">
        <v>0.46400000000000002</v>
      </c>
      <c r="Q14" s="2">
        <v>300</v>
      </c>
      <c r="R14" s="2" t="s">
        <v>95</v>
      </c>
      <c r="S14" s="48">
        <f t="shared" si="0"/>
        <v>300</v>
      </c>
      <c r="T14" s="2" t="s">
        <v>113</v>
      </c>
      <c r="U14" s="48">
        <v>100</v>
      </c>
      <c r="V14" s="44">
        <v>300</v>
      </c>
      <c r="W14" s="44" t="s">
        <v>98</v>
      </c>
      <c r="X14" s="44" t="s">
        <v>123</v>
      </c>
      <c r="Y14" s="2" t="s">
        <v>99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tr">
        <f t="shared" si="1"/>
        <v>FALSE</v>
      </c>
      <c r="AM14" s="2" t="str">
        <f t="shared" si="1"/>
        <v>FALSE</v>
      </c>
      <c r="AN14" s="2" t="str">
        <f t="shared" si="1"/>
        <v>FALSE</v>
      </c>
      <c r="AO14" s="2" t="str">
        <f t="shared" si="2"/>
        <v>FALSE</v>
      </c>
      <c r="AP14" s="2" t="str">
        <f t="shared" si="2"/>
        <v>FALSE</v>
      </c>
      <c r="AQ14" s="2" t="b">
        <f>IF(AND(I14="TP",S14&lt;=150),VLOOKUP(AF14,[1]TPCalibEq150!$AZ$2:$BB$74,3,),IF(AND(I14="TDP",S14&lt;=150),VLOOKUP(AF14,[1]TPCalibEq150!$AZ$2:$BB$74,3,)))</f>
        <v>0</v>
      </c>
      <c r="AR14" s="2" t="b">
        <f>IF(AND(I14="TP",S14&lt;=300),VLOOKUP(AF14,[1]TPCalibEq300!$AZ$2:$BB$76,3,),IF(AND(I14="TDP",S14&lt;=300),VLOOKUP(AF14,[1]TPCalibEq300!$AZ$2:$BB$76,3,)))</f>
        <v>0</v>
      </c>
      <c r="AS14" s="2" t="b">
        <f>IF(AND(I14="TP",S14&lt;=500),VLOOKUP(AF14,[1]TPCalibEq500!$AZ$2:$BB$88,3,),IF(AND(I14="TDP",S14&lt;=500),VLOOKUP(AF14,[1]TPCalibEq500!$AZ$2:$BB$88,3,)))</f>
        <v>0</v>
      </c>
      <c r="AT14" s="2" t="b">
        <f>IF(AND(I14="TN",S14&lt;=2800),VLOOKUP(AF14,[1]TNCalibEq2500!$AZ$2:$BB$80,3,),IF(AND(I14="TDN",S14&lt;=2800),VLOOKUP(AF14,[1]TNCalibEq2500!$AZ$2:$BB$80,3,)))</f>
        <v>0</v>
      </c>
      <c r="AU14" s="2" t="b">
        <f>IF(I14="TP",VLOOKUP(AF14,[1]TPCalibEqFull!$AZ$2:$BB$164,3),IF(I14="TDP",VLOOKUP(AF14,[1]TPCalibEqFull!$AZ$2:$BB$164,3),IF(I14="TDN",VLOOKUP(AF14,[1]TNCalibEqFull!$AZ$2:$BB$116,3),IF(I14="TN",VLOOKUP(AF14,[1]TNCalibEqFull!$AZ$2:$BB$118,3),FALSE))))</f>
        <v>0</v>
      </c>
      <c r="AV14" s="2" t="str">
        <f t="shared" si="3"/>
        <v>0724 09:00:00-QAC-STD-D-1-DI-CHK</v>
      </c>
      <c r="AW14" s="2"/>
      <c r="AX14" s="2"/>
      <c r="AY14" s="2"/>
    </row>
    <row r="15" spans="1:51" x14ac:dyDescent="0.35">
      <c r="A15" s="45">
        <v>45485</v>
      </c>
      <c r="B15" s="46">
        <v>0.5</v>
      </c>
      <c r="C15" s="2" t="s">
        <v>124</v>
      </c>
      <c r="D15" s="2">
        <v>0</v>
      </c>
      <c r="E15" s="2" t="s">
        <v>108</v>
      </c>
      <c r="F15" s="2">
        <v>1</v>
      </c>
      <c r="G15" s="2" t="s">
        <v>125</v>
      </c>
      <c r="H15" s="2" t="s">
        <v>126</v>
      </c>
      <c r="I15" s="2" t="s">
        <v>93</v>
      </c>
      <c r="J15" s="2">
        <v>33</v>
      </c>
      <c r="K15" s="47">
        <v>45497</v>
      </c>
      <c r="L15" s="46">
        <v>0.58273148148148146</v>
      </c>
      <c r="M15" s="2">
        <v>1</v>
      </c>
      <c r="N15" s="2" t="s">
        <v>94</v>
      </c>
      <c r="O15" s="2">
        <v>2.38</v>
      </c>
      <c r="P15" s="2">
        <v>0.19400000000000001</v>
      </c>
      <c r="Q15" s="2">
        <v>125</v>
      </c>
      <c r="R15" s="2" t="s">
        <v>95</v>
      </c>
      <c r="S15" s="48">
        <f t="shared" si="0"/>
        <v>125</v>
      </c>
      <c r="T15" s="2" t="s">
        <v>113</v>
      </c>
      <c r="U15" s="48" t="s">
        <v>97</v>
      </c>
      <c r="V15" s="44" t="s">
        <v>97</v>
      </c>
      <c r="W15" s="44" t="s">
        <v>98</v>
      </c>
      <c r="X15" s="44" t="s">
        <v>97</v>
      </c>
      <c r="Y15" s="2" t="s">
        <v>99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tr">
        <f t="shared" si="1"/>
        <v>FALSE</v>
      </c>
      <c r="AM15" s="2" t="str">
        <f t="shared" si="1"/>
        <v>FALSE</v>
      </c>
      <c r="AN15" s="2" t="str">
        <f t="shared" si="1"/>
        <v>FALSE</v>
      </c>
      <c r="AO15" s="2" t="str">
        <f t="shared" si="2"/>
        <v>FALSE</v>
      </c>
      <c r="AP15" s="2" t="str">
        <f t="shared" si="2"/>
        <v>FALSE</v>
      </c>
      <c r="AQ15" s="2" t="b">
        <f>IF(AND(I15="TP",S15&lt;=150),VLOOKUP(AF15,[1]TPCalibEq150!$AZ$2:$BB$74,3,),IF(AND(I15="TDP",S15&lt;=150),VLOOKUP(AF15,[1]TPCalibEq150!$AZ$2:$BB$74,3,)))</f>
        <v>0</v>
      </c>
      <c r="AR15" s="2" t="b">
        <f>IF(AND(I15="TP",S15&lt;=300),VLOOKUP(AF15,[1]TPCalibEq300!$AZ$2:$BB$76,3,),IF(AND(I15="TDP",S15&lt;=300),VLOOKUP(AF15,[1]TPCalibEq300!$AZ$2:$BB$76,3,)))</f>
        <v>0</v>
      </c>
      <c r="AS15" s="2" t="b">
        <f>IF(AND(I15="TP",S15&lt;=500),VLOOKUP(AF15,[1]TPCalibEq500!$AZ$2:$BB$88,3,),IF(AND(I15="TDP",S15&lt;=500),VLOOKUP(AF15,[1]TPCalibEq500!$AZ$2:$BB$88,3,)))</f>
        <v>0</v>
      </c>
      <c r="AT15" s="2" t="b">
        <f>IF(AND(I15="TN",S15&lt;=2800),VLOOKUP(AF15,[1]TNCalibEq2500!$AZ$2:$BB$80,3,),IF(AND(I15="TDN",S15&lt;=2800),VLOOKUP(AF15,[1]TNCalibEq2500!$AZ$2:$BB$80,3,)))</f>
        <v>0</v>
      </c>
      <c r="AU15" s="2" t="b">
        <f>IF(I15="TP",VLOOKUP(AF15,[1]TPCalibEqFull!$AZ$2:$BB$164,3),IF(I15="TDP",VLOOKUP(AF15,[1]TPCalibEqFull!$AZ$2:$BB$164,3),IF(I15="TDN",VLOOKUP(AF15,[1]TNCalibEqFull!$AZ$2:$BB$116,3),IF(I15="TN",VLOOKUP(AF15,[1]TNCalibEqFull!$AZ$2:$BB$118,3),FALSE))))</f>
        <v>0</v>
      </c>
      <c r="AV15" s="2" t="str">
        <f t="shared" si="3"/>
        <v>0712 12:00:00-T1ANF-0-C-1-SW-UKN</v>
      </c>
      <c r="AW15" s="2"/>
      <c r="AX15" s="2"/>
      <c r="AY15" s="2"/>
    </row>
    <row r="16" spans="1:51" x14ac:dyDescent="0.35">
      <c r="A16" s="45">
        <v>45474</v>
      </c>
      <c r="B16" s="46">
        <v>0.5</v>
      </c>
      <c r="C16" s="2" t="s">
        <v>127</v>
      </c>
      <c r="D16" s="2">
        <v>0</v>
      </c>
      <c r="E16" s="2" t="s">
        <v>108</v>
      </c>
      <c r="F16" s="2">
        <v>2</v>
      </c>
      <c r="G16" s="2" t="s">
        <v>125</v>
      </c>
      <c r="H16" s="2" t="s">
        <v>126</v>
      </c>
      <c r="I16" s="2" t="s">
        <v>93</v>
      </c>
      <c r="J16" s="2">
        <v>34</v>
      </c>
      <c r="K16" s="47">
        <v>45497</v>
      </c>
      <c r="L16" s="46">
        <v>0.58356481481481481</v>
      </c>
      <c r="M16" s="2">
        <v>1</v>
      </c>
      <c r="N16" s="2" t="s">
        <v>94</v>
      </c>
      <c r="O16" s="2">
        <v>2.08</v>
      </c>
      <c r="P16" s="2">
        <v>0.16400000000000001</v>
      </c>
      <c r="Q16" s="2">
        <v>109</v>
      </c>
      <c r="R16" s="2" t="s">
        <v>95</v>
      </c>
      <c r="S16" s="48">
        <f t="shared" si="0"/>
        <v>109</v>
      </c>
      <c r="T16" s="2" t="s">
        <v>113</v>
      </c>
      <c r="U16" s="48" t="s">
        <v>97</v>
      </c>
      <c r="V16" s="44" t="s">
        <v>97</v>
      </c>
      <c r="W16" s="44" t="s">
        <v>98</v>
      </c>
      <c r="X16" s="44" t="s">
        <v>97</v>
      </c>
      <c r="Y16" s="2" t="s">
        <v>99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tr">
        <f t="shared" si="1"/>
        <v>FALSE</v>
      </c>
      <c r="AM16" s="2" t="str">
        <f t="shared" si="1"/>
        <v>FALSE</v>
      </c>
      <c r="AN16" s="2" t="str">
        <f t="shared" si="1"/>
        <v>FALSE</v>
      </c>
      <c r="AO16" s="2" t="str">
        <f t="shared" si="2"/>
        <v>FALSE</v>
      </c>
      <c r="AP16" s="2" t="str">
        <f t="shared" si="2"/>
        <v>FALSE</v>
      </c>
      <c r="AQ16" s="2" t="b">
        <f>IF(AND(I16="TP",S16&lt;=150),VLOOKUP(AF16,[1]TPCalibEq150!$AZ$2:$BB$74,3,),IF(AND(I16="TDP",S16&lt;=150),VLOOKUP(AF16,[1]TPCalibEq150!$AZ$2:$BB$74,3,)))</f>
        <v>0</v>
      </c>
      <c r="AR16" s="2" t="b">
        <f>IF(AND(I16="TP",S16&lt;=300),VLOOKUP(AF16,[1]TPCalibEq300!$AZ$2:$BB$76,3,),IF(AND(I16="TDP",S16&lt;=300),VLOOKUP(AF16,[1]TPCalibEq300!$AZ$2:$BB$76,3,)))</f>
        <v>0</v>
      </c>
      <c r="AS16" s="2" t="b">
        <f>IF(AND(I16="TP",S16&lt;=500),VLOOKUP(AF16,[1]TPCalibEq500!$AZ$2:$BB$88,3,),IF(AND(I16="TDP",S16&lt;=500),VLOOKUP(AF16,[1]TPCalibEq500!$AZ$2:$BB$88,3,)))</f>
        <v>0</v>
      </c>
      <c r="AT16" s="2" t="b">
        <f>IF(AND(I16="TN",S16&lt;=2800),VLOOKUP(AF16,[1]TNCalibEq2500!$AZ$2:$BB$80,3,),IF(AND(I16="TDN",S16&lt;=2800),VLOOKUP(AF16,[1]TNCalibEq2500!$AZ$2:$BB$80,3,)))</f>
        <v>0</v>
      </c>
      <c r="AU16" s="2" t="b">
        <f>IF(I16="TP",VLOOKUP(AF16,[1]TPCalibEqFull!$AZ$2:$BB$164,3),IF(I16="TDP",VLOOKUP(AF16,[1]TPCalibEqFull!$AZ$2:$BB$164,3),IF(I16="TDN",VLOOKUP(AF16,[1]TNCalibEqFull!$AZ$2:$BB$116,3),IF(I16="TN",VLOOKUP(AF16,[1]TNCalibEqFull!$AZ$2:$BB$118,3),FALSE))))</f>
        <v>0</v>
      </c>
      <c r="AV16" s="2" t="str">
        <f t="shared" si="3"/>
        <v>0701 12:00:00-T1BNF-0-C-2-SW-UKN</v>
      </c>
      <c r="AW16" s="2"/>
      <c r="AX16" s="2"/>
      <c r="AY16" s="2"/>
    </row>
    <row r="17" spans="1:51" x14ac:dyDescent="0.35">
      <c r="A17" s="45">
        <v>45485</v>
      </c>
      <c r="B17" s="46">
        <v>0.5</v>
      </c>
      <c r="C17" s="2" t="s">
        <v>128</v>
      </c>
      <c r="D17" s="2">
        <v>0</v>
      </c>
      <c r="E17" s="2" t="s">
        <v>108</v>
      </c>
      <c r="F17" s="2">
        <v>1</v>
      </c>
      <c r="G17" s="2" t="s">
        <v>125</v>
      </c>
      <c r="H17" s="2" t="s">
        <v>126</v>
      </c>
      <c r="I17" s="2" t="s">
        <v>93</v>
      </c>
      <c r="J17" s="2">
        <v>35</v>
      </c>
      <c r="K17" s="47">
        <v>45497</v>
      </c>
      <c r="L17" s="46">
        <v>0.58438657407407402</v>
      </c>
      <c r="M17" s="2">
        <v>1</v>
      </c>
      <c r="N17" s="2" t="s">
        <v>94</v>
      </c>
      <c r="O17" s="2">
        <v>2.0699999999999998</v>
      </c>
      <c r="P17" s="2">
        <v>0.151</v>
      </c>
      <c r="Q17" s="2">
        <v>108</v>
      </c>
      <c r="R17" s="2" t="s">
        <v>95</v>
      </c>
      <c r="S17" s="48">
        <f t="shared" si="0"/>
        <v>108</v>
      </c>
      <c r="T17" s="2" t="s">
        <v>113</v>
      </c>
      <c r="U17" s="48" t="s">
        <v>97</v>
      </c>
      <c r="V17" s="44" t="s">
        <v>97</v>
      </c>
      <c r="W17" s="44" t="s">
        <v>98</v>
      </c>
      <c r="X17" s="44" t="s">
        <v>97</v>
      </c>
      <c r="Y17" s="2" t="s">
        <v>99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tr">
        <f t="shared" si="1"/>
        <v>FALSE</v>
      </c>
      <c r="AM17" s="2" t="str">
        <f t="shared" si="1"/>
        <v>FALSE</v>
      </c>
      <c r="AN17" s="2" t="str">
        <f t="shared" si="1"/>
        <v>FALSE</v>
      </c>
      <c r="AO17" s="2" t="str">
        <f t="shared" si="2"/>
        <v>FALSE</v>
      </c>
      <c r="AP17" s="2" t="str">
        <f t="shared" si="2"/>
        <v>FALSE</v>
      </c>
      <c r="AQ17" s="2" t="b">
        <f>IF(AND(I17="TP",S17&lt;=150),VLOOKUP(AF17,[1]TPCalibEq150!$AZ$2:$BB$74,3,),IF(AND(I17="TDP",S17&lt;=150),VLOOKUP(AF17,[1]TPCalibEq150!$AZ$2:$BB$74,3,)))</f>
        <v>0</v>
      </c>
      <c r="AR17" s="2" t="b">
        <f>IF(AND(I17="TP",S17&lt;=300),VLOOKUP(AF17,[1]TPCalibEq300!$AZ$2:$BB$76,3,),IF(AND(I17="TDP",S17&lt;=300),VLOOKUP(AF17,[1]TPCalibEq300!$AZ$2:$BB$76,3,)))</f>
        <v>0</v>
      </c>
      <c r="AS17" s="2" t="b">
        <f>IF(AND(I17="TP",S17&lt;=500),VLOOKUP(AF17,[1]TPCalibEq500!$AZ$2:$BB$88,3,),IF(AND(I17="TDP",S17&lt;=500),VLOOKUP(AF17,[1]TPCalibEq500!$AZ$2:$BB$88,3,)))</f>
        <v>0</v>
      </c>
      <c r="AT17" s="2" t="b">
        <f>IF(AND(I17="TN",S17&lt;=2800),VLOOKUP(AF17,[1]TNCalibEq2500!$AZ$2:$BB$80,3,),IF(AND(I17="TDN",S17&lt;=2800),VLOOKUP(AF17,[1]TNCalibEq2500!$AZ$2:$BB$80,3,)))</f>
        <v>0</v>
      </c>
      <c r="AU17" s="2" t="b">
        <f>IF(I17="TP",VLOOKUP(AF17,[1]TPCalibEqFull!$AZ$2:$BB$164,3),IF(I17="TDP",VLOOKUP(AF17,[1]TPCalibEqFull!$AZ$2:$BB$164,3),IF(I17="TDN",VLOOKUP(AF17,[1]TNCalibEqFull!$AZ$2:$BB$116,3),IF(I17="TN",VLOOKUP(AF17,[1]TNCalibEqFull!$AZ$2:$BB$118,3),FALSE))))</f>
        <v>0</v>
      </c>
      <c r="AV17" s="2" t="str">
        <f t="shared" si="3"/>
        <v>0712 12:00:00-C1ANF-0-C-1-SW-UKN</v>
      </c>
      <c r="AW17" s="2"/>
      <c r="AX17" s="2"/>
      <c r="AY17" s="2"/>
    </row>
    <row r="18" spans="1:51" x14ac:dyDescent="0.35">
      <c r="A18" s="45">
        <v>45485</v>
      </c>
      <c r="B18" s="46">
        <v>0.5</v>
      </c>
      <c r="C18" s="2" t="s">
        <v>129</v>
      </c>
      <c r="D18" s="2">
        <v>0</v>
      </c>
      <c r="E18" s="2" t="s">
        <v>108</v>
      </c>
      <c r="F18" s="2">
        <v>2</v>
      </c>
      <c r="G18" s="2" t="s">
        <v>125</v>
      </c>
      <c r="H18" s="2" t="s">
        <v>126</v>
      </c>
      <c r="I18" s="2" t="s">
        <v>93</v>
      </c>
      <c r="J18" s="2">
        <v>36</v>
      </c>
      <c r="K18" s="47">
        <v>45497</v>
      </c>
      <c r="L18" s="46">
        <v>0.58520833333333333</v>
      </c>
      <c r="M18" s="2">
        <v>1</v>
      </c>
      <c r="N18" s="2" t="s">
        <v>94</v>
      </c>
      <c r="O18" s="2">
        <v>2.2200000000000002</v>
      </c>
      <c r="P18" s="2">
        <v>0.159</v>
      </c>
      <c r="Q18" s="2">
        <v>117</v>
      </c>
      <c r="R18" s="2" t="s">
        <v>95</v>
      </c>
      <c r="S18" s="48">
        <f t="shared" si="0"/>
        <v>117</v>
      </c>
      <c r="T18" s="2" t="s">
        <v>113</v>
      </c>
      <c r="U18" s="48" t="s">
        <v>97</v>
      </c>
      <c r="V18" s="44" t="s">
        <v>97</v>
      </c>
      <c r="W18" s="44" t="s">
        <v>98</v>
      </c>
      <c r="X18" s="44" t="s">
        <v>97</v>
      </c>
      <c r="Y18" s="2" t="s">
        <v>99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tr">
        <f t="shared" ref="AL18:AN33" si="4">IF($O18="", "", IF(AQ18&lt;&gt;"", SUBSTITUTE(SUBSTITUTE(AQ18, "x", "*"&amp;$O18&amp;"^", 1), "x", "*"&amp;$O18, 1), ""))</f>
        <v>FALSE</v>
      </c>
      <c r="AM18" s="2" t="str">
        <f t="shared" si="4"/>
        <v>FALSE</v>
      </c>
      <c r="AN18" s="2" t="str">
        <f t="shared" si="4"/>
        <v>FALSE</v>
      </c>
      <c r="AO18" s="2" t="str">
        <f t="shared" ref="AO18:AP33" si="5">IF($O18="", "FALSE", IF(AT18&lt;&gt;"FALSE", SUBSTITUTE(SUBSTITUTE(AT18, "x", "*"&amp;$O18&amp;"^", 1), "x", "*"&amp;$O18, 1), ""))</f>
        <v>FALSE</v>
      </c>
      <c r="AP18" s="2" t="str">
        <f t="shared" si="5"/>
        <v>FALSE</v>
      </c>
      <c r="AQ18" s="2" t="b">
        <f>IF(AND(I18="TP",S18&lt;=150),VLOOKUP(AF18,[1]TPCalibEq150!$AZ$2:$BB$74,3,),IF(AND(I18="TDP",S18&lt;=150),VLOOKUP(AF18,[1]TPCalibEq150!$AZ$2:$BB$74,3,)))</f>
        <v>0</v>
      </c>
      <c r="AR18" s="2" t="b">
        <f>IF(AND(I18="TP",S18&lt;=300),VLOOKUP(AF18,[1]TPCalibEq300!$AZ$2:$BB$76,3,),IF(AND(I18="TDP",S18&lt;=300),VLOOKUP(AF18,[1]TPCalibEq300!$AZ$2:$BB$76,3,)))</f>
        <v>0</v>
      </c>
      <c r="AS18" s="2" t="b">
        <f>IF(AND(I18="TP",S18&lt;=500),VLOOKUP(AF18,[1]TPCalibEq500!$AZ$2:$BB$88,3,),IF(AND(I18="TDP",S18&lt;=500),VLOOKUP(AF18,[1]TPCalibEq500!$AZ$2:$BB$88,3,)))</f>
        <v>0</v>
      </c>
      <c r="AT18" s="2" t="b">
        <f>IF(AND(I18="TN",S18&lt;=2800),VLOOKUP(AF18,[1]TNCalibEq2500!$AZ$2:$BB$80,3,),IF(AND(I18="TDN",S18&lt;=2800),VLOOKUP(AF18,[1]TNCalibEq2500!$AZ$2:$BB$80,3,)))</f>
        <v>0</v>
      </c>
      <c r="AU18" s="2" t="b">
        <f>IF(I18="TP",VLOOKUP(AF18,[1]TPCalibEqFull!$AZ$2:$BB$164,3),IF(I18="TDP",VLOOKUP(AF18,[1]TPCalibEqFull!$AZ$2:$BB$164,3),IF(I18="TDN",VLOOKUP(AF18,[1]TNCalibEqFull!$AZ$2:$BB$116,3),IF(I18="TN",VLOOKUP(AF18,[1]TNCalibEqFull!$AZ$2:$BB$118,3),FALSE))))</f>
        <v>0</v>
      </c>
      <c r="AV18" s="2" t="str">
        <f t="shared" si="3"/>
        <v>0712 12:00:00-C1BNF-0-C-2-SW-UKN</v>
      </c>
      <c r="AW18" s="2"/>
      <c r="AX18" s="2"/>
      <c r="AY18" s="2"/>
    </row>
    <row r="19" spans="1:51" x14ac:dyDescent="0.35">
      <c r="A19" s="45">
        <v>45485</v>
      </c>
      <c r="B19" s="46">
        <v>0.5</v>
      </c>
      <c r="C19" s="2" t="s">
        <v>130</v>
      </c>
      <c r="D19" s="2">
        <v>0</v>
      </c>
      <c r="E19" s="2" t="s">
        <v>108</v>
      </c>
      <c r="F19" s="2">
        <v>1</v>
      </c>
      <c r="G19" s="2" t="s">
        <v>125</v>
      </c>
      <c r="H19" s="2" t="s">
        <v>126</v>
      </c>
      <c r="I19" s="2" t="s">
        <v>93</v>
      </c>
      <c r="J19" s="2">
        <v>37</v>
      </c>
      <c r="K19" s="47">
        <v>45497</v>
      </c>
      <c r="L19" s="46">
        <v>0.58604166666666668</v>
      </c>
      <c r="M19" s="2">
        <v>1</v>
      </c>
      <c r="N19" s="2" t="s">
        <v>94</v>
      </c>
      <c r="O19" s="2">
        <v>2.71</v>
      </c>
      <c r="P19" s="2">
        <v>0.2</v>
      </c>
      <c r="Q19" s="2">
        <v>142</v>
      </c>
      <c r="R19" s="2" t="s">
        <v>95</v>
      </c>
      <c r="S19" s="48">
        <f t="shared" si="0"/>
        <v>142</v>
      </c>
      <c r="T19" s="2" t="s">
        <v>113</v>
      </c>
      <c r="U19" s="48" t="s">
        <v>97</v>
      </c>
      <c r="V19" s="44" t="s">
        <v>97</v>
      </c>
      <c r="W19" s="44" t="s">
        <v>98</v>
      </c>
      <c r="X19" s="44" t="s">
        <v>97</v>
      </c>
      <c r="Y19" s="2" t="s">
        <v>99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tr">
        <f t="shared" si="4"/>
        <v>FALSE</v>
      </c>
      <c r="AM19" s="2" t="str">
        <f t="shared" si="4"/>
        <v>FALSE</v>
      </c>
      <c r="AN19" s="2" t="str">
        <f t="shared" si="4"/>
        <v>FALSE</v>
      </c>
      <c r="AO19" s="2" t="str">
        <f t="shared" si="5"/>
        <v>FALSE</v>
      </c>
      <c r="AP19" s="2" t="str">
        <f t="shared" si="5"/>
        <v>FALSE</v>
      </c>
      <c r="AQ19" s="2" t="b">
        <f>IF(AND(I19="TP",S19&lt;=150),VLOOKUP(AF19,[1]TPCalibEq150!$AZ$2:$BB$74,3,),IF(AND(I19="TDP",S19&lt;=150),VLOOKUP(AF19,[1]TPCalibEq150!$AZ$2:$BB$74,3,)))</f>
        <v>0</v>
      </c>
      <c r="AR19" s="2" t="b">
        <f>IF(AND(I19="TP",S19&lt;=300),VLOOKUP(AF19,[1]TPCalibEq300!$AZ$2:$BB$76,3,),IF(AND(I19="TDP",S19&lt;=300),VLOOKUP(AF19,[1]TPCalibEq300!$AZ$2:$BB$76,3,)))</f>
        <v>0</v>
      </c>
      <c r="AS19" s="2" t="b">
        <f>IF(AND(I19="TP",S19&lt;=500),VLOOKUP(AF19,[1]TPCalibEq500!$AZ$2:$BB$88,3,),IF(AND(I19="TDP",S19&lt;=500),VLOOKUP(AF19,[1]TPCalibEq500!$AZ$2:$BB$88,3,)))</f>
        <v>0</v>
      </c>
      <c r="AT19" s="2" t="b">
        <f>IF(AND(I19="TN",S19&lt;=2800),VLOOKUP(AF19,[1]TNCalibEq2500!$AZ$2:$BB$80,3,),IF(AND(I19="TDN",S19&lt;=2800),VLOOKUP(AF19,[1]TNCalibEq2500!$AZ$2:$BB$80,3,)))</f>
        <v>0</v>
      </c>
      <c r="AU19" s="2" t="b">
        <f>IF(I19="TP",VLOOKUP(AF19,[1]TPCalibEqFull!$AZ$2:$BB$164,3),IF(I19="TDP",VLOOKUP(AF19,[1]TPCalibEqFull!$AZ$2:$BB$164,3),IF(I19="TDN",VLOOKUP(AF19,[1]TNCalibEqFull!$AZ$2:$BB$116,3),IF(I19="TN",VLOOKUP(AF19,[1]TNCalibEqFull!$AZ$2:$BB$118,3),FALSE))))</f>
        <v>0</v>
      </c>
      <c r="AV19" s="2" t="str">
        <f t="shared" si="3"/>
        <v>0712 12:00:00-T2ANF-0-C-1-SW-UKN</v>
      </c>
      <c r="AW19" s="2"/>
      <c r="AX19" s="2"/>
      <c r="AY19" s="2"/>
    </row>
    <row r="20" spans="1:51" x14ac:dyDescent="0.35">
      <c r="A20" s="45">
        <v>45485</v>
      </c>
      <c r="B20" s="46">
        <v>0.5</v>
      </c>
      <c r="C20" s="2" t="s">
        <v>131</v>
      </c>
      <c r="D20" s="2">
        <v>0</v>
      </c>
      <c r="E20" s="2" t="s">
        <v>108</v>
      </c>
      <c r="F20" s="2">
        <v>2</v>
      </c>
      <c r="G20" s="2" t="s">
        <v>125</v>
      </c>
      <c r="H20" s="2" t="s">
        <v>126</v>
      </c>
      <c r="I20" s="2" t="s">
        <v>93</v>
      </c>
      <c r="J20" s="2">
        <v>38</v>
      </c>
      <c r="K20" s="47">
        <v>45497</v>
      </c>
      <c r="L20" s="46">
        <v>0.58686342592592589</v>
      </c>
      <c r="M20" s="2">
        <v>1</v>
      </c>
      <c r="N20" s="2" t="s">
        <v>94</v>
      </c>
      <c r="O20" s="2">
        <v>2.59</v>
      </c>
      <c r="P20" s="2">
        <v>0.191</v>
      </c>
      <c r="Q20" s="2">
        <v>136</v>
      </c>
      <c r="R20" s="2" t="s">
        <v>95</v>
      </c>
      <c r="S20" s="48">
        <f t="shared" si="0"/>
        <v>136</v>
      </c>
      <c r="T20" s="2" t="s">
        <v>113</v>
      </c>
      <c r="U20" s="48" t="s">
        <v>97</v>
      </c>
      <c r="V20" s="44" t="s">
        <v>97</v>
      </c>
      <c r="W20" s="44" t="s">
        <v>98</v>
      </c>
      <c r="X20" s="44" t="s">
        <v>97</v>
      </c>
      <c r="Y20" s="2" t="s">
        <v>99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 t="str">
        <f t="shared" si="4"/>
        <v>FALSE</v>
      </c>
      <c r="AM20" s="2" t="str">
        <f t="shared" si="4"/>
        <v>FALSE</v>
      </c>
      <c r="AN20" s="2" t="str">
        <f t="shared" si="4"/>
        <v>FALSE</v>
      </c>
      <c r="AO20" s="2" t="str">
        <f t="shared" si="5"/>
        <v>FALSE</v>
      </c>
      <c r="AP20" s="2" t="str">
        <f t="shared" si="5"/>
        <v>FALSE</v>
      </c>
      <c r="AQ20" s="2" t="b">
        <f>IF(AND(I20="TP",S20&lt;=150),VLOOKUP(AF20,[1]TPCalibEq150!$AZ$2:$BB$74,3,),IF(AND(I20="TDP",S20&lt;=150),VLOOKUP(AF20,[1]TPCalibEq150!$AZ$2:$BB$74,3,)))</f>
        <v>0</v>
      </c>
      <c r="AR20" s="2" t="b">
        <f>IF(AND(I20="TP",S20&lt;=300),VLOOKUP(AF20,[1]TPCalibEq300!$AZ$2:$BB$76,3,),IF(AND(I20="TDP",S20&lt;=300),VLOOKUP(AF20,[1]TPCalibEq300!$AZ$2:$BB$76,3,)))</f>
        <v>0</v>
      </c>
      <c r="AS20" s="2" t="b">
        <f>IF(AND(I20="TP",S20&lt;=500),VLOOKUP(AF20,[1]TPCalibEq500!$AZ$2:$BB$88,3,),IF(AND(I20="TDP",S20&lt;=500),VLOOKUP(AF20,[1]TPCalibEq500!$AZ$2:$BB$88,3,)))</f>
        <v>0</v>
      </c>
      <c r="AT20" s="2" t="b">
        <f>IF(AND(I20="TN",S20&lt;=2800),VLOOKUP(AF20,[1]TNCalibEq2500!$AZ$2:$BB$80,3,),IF(AND(I20="TDN",S20&lt;=2800),VLOOKUP(AF20,[1]TNCalibEq2500!$AZ$2:$BB$80,3,)))</f>
        <v>0</v>
      </c>
      <c r="AU20" s="2" t="b">
        <f>IF(I20="TP",VLOOKUP(AF20,[1]TPCalibEqFull!$AZ$2:$BB$164,3),IF(I20="TDP",VLOOKUP(AF20,[1]TPCalibEqFull!$AZ$2:$BB$164,3),IF(I20="TDN",VLOOKUP(AF20,[1]TNCalibEqFull!$AZ$2:$BB$116,3),IF(I20="TN",VLOOKUP(AF20,[1]TNCalibEqFull!$AZ$2:$BB$118,3),FALSE))))</f>
        <v>0</v>
      </c>
      <c r="AV20" s="2" t="str">
        <f t="shared" si="3"/>
        <v>0712 12:00:00-T2BNF-0-C-2-SW-UKN</v>
      </c>
      <c r="AW20" s="2"/>
      <c r="AX20" s="2"/>
      <c r="AY20" s="2"/>
    </row>
    <row r="21" spans="1:51" x14ac:dyDescent="0.35">
      <c r="A21" s="45">
        <v>45485</v>
      </c>
      <c r="B21" s="46">
        <v>0.5</v>
      </c>
      <c r="C21" s="2" t="s">
        <v>132</v>
      </c>
      <c r="D21" s="2">
        <v>0</v>
      </c>
      <c r="E21" s="2" t="s">
        <v>108</v>
      </c>
      <c r="F21" s="2">
        <v>1</v>
      </c>
      <c r="G21" s="2" t="s">
        <v>125</v>
      </c>
      <c r="H21" s="2" t="s">
        <v>126</v>
      </c>
      <c r="I21" s="2" t="s">
        <v>93</v>
      </c>
      <c r="J21" s="2">
        <v>39</v>
      </c>
      <c r="K21" s="47">
        <v>45497</v>
      </c>
      <c r="L21" s="46">
        <v>0.5876851851851852</v>
      </c>
      <c r="M21" s="2">
        <v>1</v>
      </c>
      <c r="N21" s="2" t="s">
        <v>94</v>
      </c>
      <c r="O21" s="2">
        <v>2.09</v>
      </c>
      <c r="P21" s="2">
        <v>0.14799999999999999</v>
      </c>
      <c r="Q21" s="2">
        <v>109</v>
      </c>
      <c r="R21" s="2" t="s">
        <v>95</v>
      </c>
      <c r="S21" s="48">
        <f t="shared" si="0"/>
        <v>109</v>
      </c>
      <c r="T21" s="2" t="s">
        <v>113</v>
      </c>
      <c r="U21" s="48" t="s">
        <v>97</v>
      </c>
      <c r="V21" s="44" t="s">
        <v>97</v>
      </c>
      <c r="W21" s="44" t="s">
        <v>98</v>
      </c>
      <c r="X21" s="44" t="s">
        <v>97</v>
      </c>
      <c r="Y21" s="2" t="s">
        <v>99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tr">
        <f t="shared" si="4"/>
        <v>FALSE</v>
      </c>
      <c r="AM21" s="2" t="str">
        <f t="shared" si="4"/>
        <v>FALSE</v>
      </c>
      <c r="AN21" s="2" t="str">
        <f t="shared" si="4"/>
        <v>FALSE</v>
      </c>
      <c r="AO21" s="2" t="str">
        <f t="shared" si="5"/>
        <v>FALSE</v>
      </c>
      <c r="AP21" s="2" t="str">
        <f t="shared" si="5"/>
        <v>FALSE</v>
      </c>
      <c r="AQ21" s="2" t="b">
        <f>IF(AND(I21="TP",S21&lt;=150),VLOOKUP(AF21,[1]TPCalibEq150!$AZ$2:$BB$74,3,),IF(AND(I21="TDP",S21&lt;=150),VLOOKUP(AF21,[1]TPCalibEq150!$AZ$2:$BB$74,3,)))</f>
        <v>0</v>
      </c>
      <c r="AR21" s="2" t="b">
        <f>IF(AND(I21="TP",S21&lt;=300),VLOOKUP(AF21,[1]TPCalibEq300!$AZ$2:$BB$76,3,),IF(AND(I21="TDP",S21&lt;=300),VLOOKUP(AF21,[1]TPCalibEq300!$AZ$2:$BB$76,3,)))</f>
        <v>0</v>
      </c>
      <c r="AS21" s="2" t="b">
        <f>IF(AND(I21="TP",S21&lt;=500),VLOOKUP(AF21,[1]TPCalibEq500!$AZ$2:$BB$88,3,),IF(AND(I21="TDP",S21&lt;=500),VLOOKUP(AF21,[1]TPCalibEq500!$AZ$2:$BB$88,3,)))</f>
        <v>0</v>
      </c>
      <c r="AT21" s="2" t="b">
        <f>IF(AND(I21="TN",S21&lt;=2800),VLOOKUP(AF21,[1]TNCalibEq2500!$AZ$2:$BB$80,3,),IF(AND(I21="TDN",S21&lt;=2800),VLOOKUP(AF21,[1]TNCalibEq2500!$AZ$2:$BB$80,3,)))</f>
        <v>0</v>
      </c>
      <c r="AU21" s="2" t="b">
        <f>IF(I21="TP",VLOOKUP(AF21,[1]TPCalibEqFull!$AZ$2:$BB$164,3),IF(I21="TDP",VLOOKUP(AF21,[1]TPCalibEqFull!$AZ$2:$BB$164,3),IF(I21="TDN",VLOOKUP(AF21,[1]TNCalibEqFull!$AZ$2:$BB$116,3),IF(I21="TN",VLOOKUP(AF21,[1]TNCalibEqFull!$AZ$2:$BB$118,3),FALSE))))</f>
        <v>0</v>
      </c>
      <c r="AV21" s="2" t="str">
        <f t="shared" si="3"/>
        <v>0712 12:00:00-C2ANF-0-C-1-SW-UKN</v>
      </c>
      <c r="AW21" s="2"/>
      <c r="AX21" s="2"/>
      <c r="AY21" s="2"/>
    </row>
    <row r="22" spans="1:51" x14ac:dyDescent="0.35">
      <c r="A22" s="45">
        <v>45485</v>
      </c>
      <c r="B22" s="46">
        <v>0.5</v>
      </c>
      <c r="C22" s="2" t="s">
        <v>133</v>
      </c>
      <c r="D22" s="2">
        <v>0</v>
      </c>
      <c r="E22" s="2" t="s">
        <v>108</v>
      </c>
      <c r="F22" s="2">
        <v>2</v>
      </c>
      <c r="G22" s="2" t="s">
        <v>125</v>
      </c>
      <c r="H22" s="2" t="s">
        <v>126</v>
      </c>
      <c r="I22" s="2" t="s">
        <v>93</v>
      </c>
      <c r="J22" s="2">
        <v>40</v>
      </c>
      <c r="K22" s="47">
        <v>45497</v>
      </c>
      <c r="L22" s="46">
        <v>0.58850694444444451</v>
      </c>
      <c r="M22" s="2">
        <v>1</v>
      </c>
      <c r="N22" s="2" t="s">
        <v>94</v>
      </c>
      <c r="O22" s="2">
        <v>2.06</v>
      </c>
      <c r="P22" s="2">
        <v>0.14799999999999999</v>
      </c>
      <c r="Q22" s="2">
        <v>108</v>
      </c>
      <c r="R22" s="2" t="s">
        <v>95</v>
      </c>
      <c r="S22" s="48">
        <f t="shared" si="0"/>
        <v>108</v>
      </c>
      <c r="T22" s="2" t="s">
        <v>113</v>
      </c>
      <c r="U22" s="48" t="s">
        <v>97</v>
      </c>
      <c r="V22" s="44" t="s">
        <v>97</v>
      </c>
      <c r="W22" s="44" t="s">
        <v>98</v>
      </c>
      <c r="X22" s="44" t="s">
        <v>97</v>
      </c>
      <c r="Y22" s="2" t="s">
        <v>99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 t="str">
        <f t="shared" si="4"/>
        <v>FALSE</v>
      </c>
      <c r="AM22" s="2" t="str">
        <f t="shared" si="4"/>
        <v>FALSE</v>
      </c>
      <c r="AN22" s="2" t="str">
        <f t="shared" si="4"/>
        <v>FALSE</v>
      </c>
      <c r="AO22" s="2" t="str">
        <f t="shared" si="5"/>
        <v>FALSE</v>
      </c>
      <c r="AP22" s="2" t="str">
        <f t="shared" si="5"/>
        <v>FALSE</v>
      </c>
      <c r="AQ22" s="2" t="b">
        <f>IF(AND(I22="TP",S22&lt;=150),VLOOKUP(AF22,[1]TPCalibEq150!$AZ$2:$BB$74,3,),IF(AND(I22="TDP",S22&lt;=150),VLOOKUP(AF22,[1]TPCalibEq150!$AZ$2:$BB$74,3,)))</f>
        <v>0</v>
      </c>
      <c r="AR22" s="2" t="b">
        <f>IF(AND(I22="TP",S22&lt;=300),VLOOKUP(AF22,[1]TPCalibEq300!$AZ$2:$BB$76,3,),IF(AND(I22="TDP",S22&lt;=300),VLOOKUP(AF22,[1]TPCalibEq300!$AZ$2:$BB$76,3,)))</f>
        <v>0</v>
      </c>
      <c r="AS22" s="2" t="b">
        <f>IF(AND(I22="TP",S22&lt;=500),VLOOKUP(AF22,[1]TPCalibEq500!$AZ$2:$BB$88,3,),IF(AND(I22="TDP",S22&lt;=500),VLOOKUP(AF22,[1]TPCalibEq500!$AZ$2:$BB$88,3,)))</f>
        <v>0</v>
      </c>
      <c r="AT22" s="2" t="b">
        <f>IF(AND(I22="TN",S22&lt;=2800),VLOOKUP(AF22,[1]TNCalibEq2500!$AZ$2:$BB$80,3,),IF(AND(I22="TDN",S22&lt;=2800),VLOOKUP(AF22,[1]TNCalibEq2500!$AZ$2:$BB$80,3,)))</f>
        <v>0</v>
      </c>
      <c r="AU22" s="2" t="b">
        <f>IF(I22="TP",VLOOKUP(AF22,[1]TPCalibEqFull!$AZ$2:$BB$164,3),IF(I22="TDP",VLOOKUP(AF22,[1]TPCalibEqFull!$AZ$2:$BB$164,3),IF(I22="TDN",VLOOKUP(AF22,[1]TNCalibEqFull!$AZ$2:$BB$116,3),IF(I22="TN",VLOOKUP(AF22,[1]TNCalibEqFull!$AZ$2:$BB$118,3),FALSE))))</f>
        <v>0</v>
      </c>
      <c r="AV22" s="2" t="str">
        <f t="shared" si="3"/>
        <v>0712 12:00:00-C2BNF-0-C-2-SW-UKN</v>
      </c>
      <c r="AW22" s="2"/>
      <c r="AX22" s="2"/>
      <c r="AY22" s="2"/>
    </row>
    <row r="23" spans="1:51" x14ac:dyDescent="0.35">
      <c r="A23" s="45">
        <v>45485</v>
      </c>
      <c r="B23" s="46">
        <v>0.5</v>
      </c>
      <c r="C23" s="2" t="s">
        <v>133</v>
      </c>
      <c r="D23" s="2">
        <v>0</v>
      </c>
      <c r="E23" s="2" t="s">
        <v>108</v>
      </c>
      <c r="F23" s="2">
        <v>2</v>
      </c>
      <c r="G23" s="2" t="s">
        <v>125</v>
      </c>
      <c r="H23" s="2" t="s">
        <v>134</v>
      </c>
      <c r="I23" s="2" t="s">
        <v>93</v>
      </c>
      <c r="J23" s="2">
        <v>40</v>
      </c>
      <c r="K23" s="47">
        <v>45497</v>
      </c>
      <c r="L23" s="46">
        <v>0.58932870370370372</v>
      </c>
      <c r="M23" s="2">
        <v>1</v>
      </c>
      <c r="N23" s="2" t="s">
        <v>94</v>
      </c>
      <c r="O23" s="2">
        <v>2.0299999999999998</v>
      </c>
      <c r="P23" s="2">
        <v>0.14399999999999999</v>
      </c>
      <c r="Q23" s="2">
        <v>106</v>
      </c>
      <c r="R23" s="2" t="s">
        <v>95</v>
      </c>
      <c r="S23" s="48">
        <f t="shared" si="0"/>
        <v>106</v>
      </c>
      <c r="T23" s="2" t="s">
        <v>113</v>
      </c>
      <c r="U23" s="48">
        <v>1.8691588785046727</v>
      </c>
      <c r="V23" s="44" t="s">
        <v>97</v>
      </c>
      <c r="W23" s="44" t="s">
        <v>98</v>
      </c>
      <c r="X23" s="44" t="s">
        <v>135</v>
      </c>
      <c r="Y23" s="2" t="s">
        <v>99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 t="str">
        <f t="shared" si="4"/>
        <v>FALSE</v>
      </c>
      <c r="AM23" s="2" t="str">
        <f t="shared" si="4"/>
        <v>FALSE</v>
      </c>
      <c r="AN23" s="2" t="str">
        <f t="shared" si="4"/>
        <v>FALSE</v>
      </c>
      <c r="AO23" s="2" t="str">
        <f t="shared" si="5"/>
        <v>FALSE</v>
      </c>
      <c r="AP23" s="2" t="str">
        <f t="shared" si="5"/>
        <v>FALSE</v>
      </c>
      <c r="AQ23" s="2" t="b">
        <f>IF(AND(I23="TP",S23&lt;=150),VLOOKUP(AF23,[1]TPCalibEq150!$AZ$2:$BB$74,3,),IF(AND(I23="TDP",S23&lt;=150),VLOOKUP(AF23,[1]TPCalibEq150!$AZ$2:$BB$74,3,)))</f>
        <v>0</v>
      </c>
      <c r="AR23" s="2" t="b">
        <f>IF(AND(I23="TP",S23&lt;=300),VLOOKUP(AF23,[1]TPCalibEq300!$AZ$2:$BB$76,3,),IF(AND(I23="TDP",S23&lt;=300),VLOOKUP(AF23,[1]TPCalibEq300!$AZ$2:$BB$76,3,)))</f>
        <v>0</v>
      </c>
      <c r="AS23" s="2" t="b">
        <f>IF(AND(I23="TP",S23&lt;=500),VLOOKUP(AF23,[1]TPCalibEq500!$AZ$2:$BB$88,3,),IF(AND(I23="TDP",S23&lt;=500),VLOOKUP(AF23,[1]TPCalibEq500!$AZ$2:$BB$88,3,)))</f>
        <v>0</v>
      </c>
      <c r="AT23" s="2" t="b">
        <f>IF(AND(I23="TN",S23&lt;=2800),VLOOKUP(AF23,[1]TNCalibEq2500!$AZ$2:$BB$80,3,),IF(AND(I23="TDN",S23&lt;=2800),VLOOKUP(AF23,[1]TNCalibEq2500!$AZ$2:$BB$80,3,)))</f>
        <v>0</v>
      </c>
      <c r="AU23" s="2" t="b">
        <f>IF(I23="TP",VLOOKUP(AF23,[1]TPCalibEqFull!$AZ$2:$BB$164,3),IF(I23="TDP",VLOOKUP(AF23,[1]TPCalibEqFull!$AZ$2:$BB$164,3),IF(I23="TDN",VLOOKUP(AF23,[1]TNCalibEqFull!$AZ$2:$BB$116,3),IF(I23="TN",VLOOKUP(AF23,[1]TNCalibEqFull!$AZ$2:$BB$118,3),FALSE))))</f>
        <v>0</v>
      </c>
      <c r="AV23" s="2" t="str">
        <f t="shared" si="3"/>
        <v>0712 12:00:00-C2BNF-0-C-2-SW-DUP</v>
      </c>
      <c r="AW23" s="2"/>
      <c r="AX23" s="2"/>
      <c r="AY23" s="2"/>
    </row>
    <row r="24" spans="1:51" x14ac:dyDescent="0.35">
      <c r="A24" s="45">
        <v>45485</v>
      </c>
      <c r="B24" s="46">
        <v>0.5</v>
      </c>
      <c r="C24" s="2" t="s">
        <v>133</v>
      </c>
      <c r="D24" s="2">
        <v>0</v>
      </c>
      <c r="E24" s="2" t="s">
        <v>108</v>
      </c>
      <c r="F24" s="2">
        <v>2</v>
      </c>
      <c r="G24" s="2" t="s">
        <v>125</v>
      </c>
      <c r="H24" s="2" t="s">
        <v>117</v>
      </c>
      <c r="I24" s="2" t="s">
        <v>93</v>
      </c>
      <c r="J24" s="2">
        <v>84</v>
      </c>
      <c r="K24" s="47">
        <v>45497</v>
      </c>
      <c r="L24" s="46">
        <v>0.59015046296296292</v>
      </c>
      <c r="M24" s="2">
        <v>1</v>
      </c>
      <c r="N24" s="2" t="s">
        <v>94</v>
      </c>
      <c r="O24" s="2">
        <v>14.1</v>
      </c>
      <c r="P24" s="2">
        <v>1.1200000000000001</v>
      </c>
      <c r="Q24" s="2">
        <v>753</v>
      </c>
      <c r="R24" s="2" t="s">
        <v>95</v>
      </c>
      <c r="S24" s="48">
        <f t="shared" si="0"/>
        <v>753</v>
      </c>
      <c r="T24" s="2" t="s">
        <v>113</v>
      </c>
      <c r="U24" s="48">
        <v>103.52</v>
      </c>
      <c r="V24" s="44">
        <v>625</v>
      </c>
      <c r="W24" s="44" t="s">
        <v>98</v>
      </c>
      <c r="X24" s="44" t="s">
        <v>118</v>
      </c>
      <c r="Y24" s="2" t="s">
        <v>99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 t="str">
        <f t="shared" si="4"/>
        <v>FALSE</v>
      </c>
      <c r="AM24" s="2" t="str">
        <f t="shared" si="4"/>
        <v>FALSE</v>
      </c>
      <c r="AN24" s="2" t="str">
        <f t="shared" si="4"/>
        <v>FALSE</v>
      </c>
      <c r="AO24" s="2" t="str">
        <f t="shared" si="5"/>
        <v>FALSE</v>
      </c>
      <c r="AP24" s="2" t="str">
        <f t="shared" si="5"/>
        <v>FALSE</v>
      </c>
      <c r="AQ24" s="2" t="b">
        <f>IF(AND(I24="TP",S24&lt;=150),VLOOKUP(AF24,[1]TPCalibEq150!$AZ$2:$BB$74,3,),IF(AND(I24="TDP",S24&lt;=150),VLOOKUP(AF24,[1]TPCalibEq150!$AZ$2:$BB$74,3,)))</f>
        <v>0</v>
      </c>
      <c r="AR24" s="2" t="b">
        <f>IF(AND(I24="TP",S24&lt;=300),VLOOKUP(AF24,[1]TPCalibEq300!$AZ$2:$BB$76,3,),IF(AND(I24="TDP",S24&lt;=300),VLOOKUP(AF24,[1]TPCalibEq300!$AZ$2:$BB$76,3,)))</f>
        <v>0</v>
      </c>
      <c r="AS24" s="2" t="b">
        <f>IF(AND(I24="TP",S24&lt;=500),VLOOKUP(AF24,[1]TPCalibEq500!$AZ$2:$BB$88,3,),IF(AND(I24="TDP",S24&lt;=500),VLOOKUP(AF24,[1]TPCalibEq500!$AZ$2:$BB$88,3,)))</f>
        <v>0</v>
      </c>
      <c r="AT24" s="2" t="b">
        <f>IF(AND(I24="TN",S24&lt;=2800),VLOOKUP(AF24,[1]TNCalibEq2500!$AZ$2:$BB$80,3,),IF(AND(I24="TDN",S24&lt;=2800),VLOOKUP(AF24,[1]TNCalibEq2500!$AZ$2:$BB$80,3,)))</f>
        <v>0</v>
      </c>
      <c r="AU24" s="2" t="b">
        <f>IF(I24="TP",VLOOKUP(AF24,[1]TPCalibEqFull!$AZ$2:$BB$164,3),IF(I24="TDP",VLOOKUP(AF24,[1]TPCalibEqFull!$AZ$2:$BB$164,3),IF(I24="TDN",VLOOKUP(AF24,[1]TNCalibEqFull!$AZ$2:$BB$116,3),IF(I24="TN",VLOOKUP(AF24,[1]TNCalibEqFull!$AZ$2:$BB$118,3),FALSE))))</f>
        <v>0</v>
      </c>
      <c r="AV24" s="2" t="str">
        <f t="shared" si="3"/>
        <v>0712 12:00:00-C2BNF-0-C-2-SW-SPK</v>
      </c>
      <c r="AW24" s="2"/>
      <c r="AX24" s="2"/>
      <c r="AY24" s="2"/>
    </row>
    <row r="25" spans="1:51" x14ac:dyDescent="0.35">
      <c r="A25" s="45">
        <v>45497</v>
      </c>
      <c r="B25" s="46">
        <v>0.375</v>
      </c>
      <c r="C25" s="2" t="s">
        <v>88</v>
      </c>
      <c r="D25" s="2" t="s">
        <v>89</v>
      </c>
      <c r="E25" s="2" t="s">
        <v>106</v>
      </c>
      <c r="F25" s="2">
        <v>1</v>
      </c>
      <c r="G25" s="2" t="s">
        <v>91</v>
      </c>
      <c r="H25" s="2" t="s">
        <v>122</v>
      </c>
      <c r="I25" s="2" t="s">
        <v>93</v>
      </c>
      <c r="J25" s="2">
        <v>201</v>
      </c>
      <c r="K25" s="47">
        <v>45497</v>
      </c>
      <c r="L25" s="46">
        <v>0.59262731481481479</v>
      </c>
      <c r="M25" s="2">
        <v>1</v>
      </c>
      <c r="N25" s="2" t="s">
        <v>94</v>
      </c>
      <c r="O25" s="2">
        <v>5.7</v>
      </c>
      <c r="P25" s="2">
        <v>0.46600000000000003</v>
      </c>
      <c r="Q25" s="2">
        <v>300</v>
      </c>
      <c r="R25" s="2" t="s">
        <v>95</v>
      </c>
      <c r="S25" s="48">
        <f t="shared" si="0"/>
        <v>300</v>
      </c>
      <c r="T25" s="2" t="s">
        <v>113</v>
      </c>
      <c r="U25" s="48">
        <v>100</v>
      </c>
      <c r="V25" s="44">
        <v>300</v>
      </c>
      <c r="W25" s="44" t="s">
        <v>98</v>
      </c>
      <c r="X25" s="44" t="s">
        <v>123</v>
      </c>
      <c r="Y25" s="2" t="s">
        <v>99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 t="str">
        <f t="shared" si="4"/>
        <v>FALSE</v>
      </c>
      <c r="AM25" s="2" t="str">
        <f t="shared" si="4"/>
        <v>FALSE</v>
      </c>
      <c r="AN25" s="2" t="str">
        <f t="shared" si="4"/>
        <v>FALSE</v>
      </c>
      <c r="AO25" s="2" t="str">
        <f t="shared" si="5"/>
        <v>FALSE</v>
      </c>
      <c r="AP25" s="2" t="str">
        <f t="shared" si="5"/>
        <v>FALSE</v>
      </c>
      <c r="AQ25" s="2" t="b">
        <f>IF(AND(I25="TP",S25&lt;=150),VLOOKUP(AF25,[1]TPCalibEq150!$AZ$2:$BB$74,3,),IF(AND(I25="TDP",S25&lt;=150),VLOOKUP(AF25,[1]TPCalibEq150!$AZ$2:$BB$74,3,)))</f>
        <v>0</v>
      </c>
      <c r="AR25" s="2" t="b">
        <f>IF(AND(I25="TP",S25&lt;=300),VLOOKUP(AF25,[1]TPCalibEq300!$AZ$2:$BB$76,3,),IF(AND(I25="TDP",S25&lt;=300),VLOOKUP(AF25,[1]TPCalibEq300!$AZ$2:$BB$76,3,)))</f>
        <v>0</v>
      </c>
      <c r="AS25" s="2" t="b">
        <f>IF(AND(I25="TP",S25&lt;=500),VLOOKUP(AF25,[1]TPCalibEq500!$AZ$2:$BB$88,3,),IF(AND(I25="TDP",S25&lt;=500),VLOOKUP(AF25,[1]TPCalibEq500!$AZ$2:$BB$88,3,)))</f>
        <v>0</v>
      </c>
      <c r="AT25" s="2" t="b">
        <f>IF(AND(I25="TN",S25&lt;=2800),VLOOKUP(AF25,[1]TNCalibEq2500!$AZ$2:$BB$80,3,),IF(AND(I25="TDN",S25&lt;=2800),VLOOKUP(AF25,[1]TNCalibEq2500!$AZ$2:$BB$80,3,)))</f>
        <v>0</v>
      </c>
      <c r="AU25" s="2" t="b">
        <f>IF(I25="TP",VLOOKUP(AF25,[1]TPCalibEqFull!$AZ$2:$BB$164,3),IF(I25="TDP",VLOOKUP(AF25,[1]TPCalibEqFull!$AZ$2:$BB$164,3),IF(I25="TDN",VLOOKUP(AF25,[1]TNCalibEqFull!$AZ$2:$BB$116,3),IF(I25="TN",VLOOKUP(AF25,[1]TNCalibEqFull!$AZ$2:$BB$118,3),FALSE))))</f>
        <v>0</v>
      </c>
      <c r="AV25" s="2" t="str">
        <f t="shared" si="3"/>
        <v>0724 09:00:00-QAC-STD-D-1-DI-CHK</v>
      </c>
      <c r="AW25" s="2"/>
      <c r="AX25" s="2"/>
      <c r="AY25" s="2"/>
    </row>
    <row r="26" spans="1:51" x14ac:dyDescent="0.35">
      <c r="A26" s="45">
        <v>45497</v>
      </c>
      <c r="B26" s="46">
        <v>0.375</v>
      </c>
      <c r="C26" s="2" t="s">
        <v>88</v>
      </c>
      <c r="D26" s="2" t="s">
        <v>89</v>
      </c>
      <c r="E26" s="2" t="s">
        <v>106</v>
      </c>
      <c r="F26" s="2">
        <v>1</v>
      </c>
      <c r="G26" s="2" t="s">
        <v>91</v>
      </c>
      <c r="H26" s="2" t="s">
        <v>122</v>
      </c>
      <c r="I26" s="2" t="s">
        <v>93</v>
      </c>
      <c r="J26" s="2">
        <v>199</v>
      </c>
      <c r="K26" s="47">
        <v>45497</v>
      </c>
      <c r="L26" s="46">
        <v>0.63590277777777782</v>
      </c>
      <c r="M26" s="2">
        <v>1</v>
      </c>
      <c r="N26" s="2" t="s">
        <v>94</v>
      </c>
      <c r="O26" s="2">
        <v>5.74</v>
      </c>
      <c r="P26" s="2">
        <v>0.46899999999999997</v>
      </c>
      <c r="Q26" s="2">
        <v>302</v>
      </c>
      <c r="R26" s="2" t="s">
        <v>95</v>
      </c>
      <c r="S26" s="48">
        <f t="shared" si="0"/>
        <v>302</v>
      </c>
      <c r="T26" s="2" t="s">
        <v>113</v>
      </c>
      <c r="U26" s="48">
        <v>100.66666666666666</v>
      </c>
      <c r="V26" s="44">
        <v>300</v>
      </c>
      <c r="W26" s="44" t="s">
        <v>98</v>
      </c>
      <c r="X26" s="44" t="s">
        <v>123</v>
      </c>
      <c r="Y26" s="2" t="s">
        <v>99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 t="str">
        <f t="shared" si="4"/>
        <v>FALSE</v>
      </c>
      <c r="AM26" s="2" t="str">
        <f t="shared" si="4"/>
        <v>FALSE</v>
      </c>
      <c r="AN26" s="2" t="str">
        <f t="shared" si="4"/>
        <v>FALSE</v>
      </c>
      <c r="AO26" s="2" t="str">
        <f t="shared" si="5"/>
        <v>FALSE</v>
      </c>
      <c r="AP26" s="2" t="str">
        <f t="shared" si="5"/>
        <v>FALSE</v>
      </c>
      <c r="AQ26" s="2" t="b">
        <f>IF(AND(I26="TP",S26&lt;=150),VLOOKUP(AF26,[1]TPCalibEq150!$AZ$2:$BB$74,3,),IF(AND(I26="TDP",S26&lt;=150),VLOOKUP(AF26,[1]TPCalibEq150!$AZ$2:$BB$74,3,)))</f>
        <v>0</v>
      </c>
      <c r="AR26" s="2" t="b">
        <f>IF(AND(I26="TP",S26&lt;=300),VLOOKUP(AF26,[1]TPCalibEq300!$AZ$2:$BB$76,3,),IF(AND(I26="TDP",S26&lt;=300),VLOOKUP(AF26,[1]TPCalibEq300!$AZ$2:$BB$76,3,)))</f>
        <v>0</v>
      </c>
      <c r="AS26" s="2" t="b">
        <f>IF(AND(I26="TP",S26&lt;=500),VLOOKUP(AF26,[1]TPCalibEq500!$AZ$2:$BB$88,3,),IF(AND(I26="TDP",S26&lt;=500),VLOOKUP(AF26,[1]TPCalibEq500!$AZ$2:$BB$88,3,)))</f>
        <v>0</v>
      </c>
      <c r="AT26" s="2" t="b">
        <f>IF(AND(I26="TN",S26&lt;=2800),VLOOKUP(AF26,[1]TNCalibEq2500!$AZ$2:$BB$80,3,),IF(AND(I26="TDN",S26&lt;=2800),VLOOKUP(AF26,[1]TNCalibEq2500!$AZ$2:$BB$80,3,)))</f>
        <v>0</v>
      </c>
      <c r="AU26" s="2" t="b">
        <f>IF(I26="TP",VLOOKUP(AF26,[1]TPCalibEqFull!$AZ$2:$BB$164,3),IF(I26="TDP",VLOOKUP(AF26,[1]TPCalibEqFull!$AZ$2:$BB$164,3),IF(I26="TDN",VLOOKUP(AF26,[1]TNCalibEqFull!$AZ$2:$BB$116,3),IF(I26="TN",VLOOKUP(AF26,[1]TNCalibEqFull!$AZ$2:$BB$118,3),FALSE))))</f>
        <v>0</v>
      </c>
      <c r="AV26" s="2" t="str">
        <f t="shared" si="3"/>
        <v>0724 09:00:00-QAC-STD-D-1-DI-CHK</v>
      </c>
      <c r="AW26" s="2"/>
      <c r="AX26" s="2"/>
      <c r="AY26" s="2"/>
    </row>
    <row r="27" spans="1:51" x14ac:dyDescent="0.35">
      <c r="A27" s="45">
        <v>45485</v>
      </c>
      <c r="B27" s="46">
        <v>0.5</v>
      </c>
      <c r="C27" s="2" t="s">
        <v>136</v>
      </c>
      <c r="D27" s="2">
        <v>0</v>
      </c>
      <c r="E27" s="2" t="s">
        <v>137</v>
      </c>
      <c r="F27" s="2">
        <v>1</v>
      </c>
      <c r="G27" s="2" t="s">
        <v>125</v>
      </c>
      <c r="H27" s="2" t="s">
        <v>126</v>
      </c>
      <c r="I27" s="2" t="s">
        <v>138</v>
      </c>
      <c r="J27" s="2">
        <v>73</v>
      </c>
      <c r="K27" s="47">
        <v>45497</v>
      </c>
      <c r="L27" s="46">
        <v>0.63673611111111106</v>
      </c>
      <c r="M27" s="2">
        <v>1</v>
      </c>
      <c r="N27" s="2" t="s">
        <v>94</v>
      </c>
      <c r="O27" s="2">
        <v>0.25</v>
      </c>
      <c r="P27" s="2">
        <v>2.0299999999999999E-2</v>
      </c>
      <c r="Q27" s="2">
        <v>13.1</v>
      </c>
      <c r="R27" s="2" t="s">
        <v>95</v>
      </c>
      <c r="S27" s="48">
        <f t="shared" si="0"/>
        <v>13.1</v>
      </c>
      <c r="T27" s="2" t="s">
        <v>113</v>
      </c>
      <c r="U27" s="48" t="s">
        <v>97</v>
      </c>
      <c r="V27" s="44" t="s">
        <v>97</v>
      </c>
      <c r="W27" s="44" t="s">
        <v>98</v>
      </c>
      <c r="X27" s="44" t="s">
        <v>97</v>
      </c>
      <c r="Y27" s="2" t="s">
        <v>99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 t="str">
        <f t="shared" si="4"/>
        <v>FALSE</v>
      </c>
      <c r="AM27" s="2" t="str">
        <f t="shared" si="4"/>
        <v>FALSE</v>
      </c>
      <c r="AN27" s="2" t="str">
        <f t="shared" si="4"/>
        <v>FALSE</v>
      </c>
      <c r="AO27" s="2" t="str">
        <f t="shared" si="5"/>
        <v>FALSE</v>
      </c>
      <c r="AP27" s="2" t="str">
        <f t="shared" si="5"/>
        <v>FALSE</v>
      </c>
      <c r="AQ27" s="2" t="b">
        <f>IF(AND(I27="TP",S27&lt;=150),VLOOKUP(AF27,[1]TPCalibEq150!$AZ$2:$BB$74,3,),IF(AND(I27="TDP",S27&lt;=150),VLOOKUP(AF27,[1]TPCalibEq150!$AZ$2:$BB$74,3,)))</f>
        <v>0</v>
      </c>
      <c r="AR27" s="2" t="b">
        <f>IF(AND(I27="TP",S27&lt;=300),VLOOKUP(AF27,[1]TPCalibEq300!$AZ$2:$BB$76,3,),IF(AND(I27="TDP",S27&lt;=300),VLOOKUP(AF27,[1]TPCalibEq300!$AZ$2:$BB$76,3,)))</f>
        <v>0</v>
      </c>
      <c r="AS27" s="2" t="b">
        <f>IF(AND(I27="TP",S27&lt;=500),VLOOKUP(AF27,[1]TPCalibEq500!$AZ$2:$BB$88,3,),IF(AND(I27="TDP",S27&lt;=500),VLOOKUP(AF27,[1]TPCalibEq500!$AZ$2:$BB$88,3,)))</f>
        <v>0</v>
      </c>
      <c r="AT27" s="2" t="b">
        <f>IF(AND(I27="TN",S27&lt;=2800),VLOOKUP(AF27,[1]TNCalibEq2500!$AZ$2:$BB$80,3,),IF(AND(I27="TDN",S27&lt;=2800),VLOOKUP(AF27,[1]TNCalibEq2500!$AZ$2:$BB$80,3,)))</f>
        <v>0</v>
      </c>
      <c r="AU27" s="2" t="b">
        <f>IF(I27="TP",VLOOKUP(AF27,[1]TPCalibEqFull!$AZ$2:$BB$164,3),IF(I27="TDP",VLOOKUP(AF27,[1]TPCalibEqFull!$AZ$2:$BB$164,3),IF(I27="TDN",VLOOKUP(AF27,[1]TNCalibEqFull!$AZ$2:$BB$116,3),IF(I27="TN",VLOOKUP(AF27,[1]TNCalibEqFull!$AZ$2:$BB$118,3),FALSE))))</f>
        <v>0</v>
      </c>
      <c r="AV27" s="2" t="str">
        <f t="shared" si="3"/>
        <v>0712 12:00:00-T1AF-0-FIL-1-SW-UKN</v>
      </c>
      <c r="AW27" s="2"/>
      <c r="AX27" s="2"/>
      <c r="AY27" s="2"/>
    </row>
    <row r="28" spans="1:51" x14ac:dyDescent="0.35">
      <c r="A28" s="45">
        <v>45474</v>
      </c>
      <c r="B28" s="46">
        <v>0.5</v>
      </c>
      <c r="C28" s="2" t="s">
        <v>139</v>
      </c>
      <c r="D28" s="2">
        <v>0</v>
      </c>
      <c r="E28" s="2" t="s">
        <v>137</v>
      </c>
      <c r="F28" s="2">
        <v>2</v>
      </c>
      <c r="G28" s="2" t="s">
        <v>125</v>
      </c>
      <c r="H28" s="2" t="s">
        <v>126</v>
      </c>
      <c r="I28" s="2" t="s">
        <v>138</v>
      </c>
      <c r="J28" s="2">
        <v>74</v>
      </c>
      <c r="K28" s="47">
        <v>45497</v>
      </c>
      <c r="L28" s="46">
        <v>0.63755787037037037</v>
      </c>
      <c r="M28" s="2">
        <v>1</v>
      </c>
      <c r="N28" s="2" t="s">
        <v>94</v>
      </c>
      <c r="O28" s="2">
        <v>0.25600000000000001</v>
      </c>
      <c r="P28" s="2">
        <v>1.9800000000000002E-2</v>
      </c>
      <c r="Q28" s="2">
        <v>13.4</v>
      </c>
      <c r="R28" s="2" t="s">
        <v>95</v>
      </c>
      <c r="S28" s="48">
        <f t="shared" si="0"/>
        <v>13.4</v>
      </c>
      <c r="T28" s="2" t="s">
        <v>113</v>
      </c>
      <c r="U28" s="48" t="s">
        <v>97</v>
      </c>
      <c r="V28" s="44" t="s">
        <v>97</v>
      </c>
      <c r="W28" s="44" t="s">
        <v>98</v>
      </c>
      <c r="X28" s="44" t="s">
        <v>97</v>
      </c>
      <c r="Y28" s="2" t="s">
        <v>99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 t="str">
        <f t="shared" si="4"/>
        <v>FALSE</v>
      </c>
      <c r="AM28" s="2" t="str">
        <f t="shared" si="4"/>
        <v>FALSE</v>
      </c>
      <c r="AN28" s="2" t="str">
        <f t="shared" si="4"/>
        <v>FALSE</v>
      </c>
      <c r="AO28" s="2" t="str">
        <f t="shared" si="5"/>
        <v>FALSE</v>
      </c>
      <c r="AP28" s="2" t="str">
        <f t="shared" si="5"/>
        <v>FALSE</v>
      </c>
      <c r="AQ28" s="2" t="b">
        <f>IF(AND(I28="TP",S28&lt;=150),VLOOKUP(AF28,[1]TPCalibEq150!$AZ$2:$BB$74,3,),IF(AND(I28="TDP",S28&lt;=150),VLOOKUP(AF28,[1]TPCalibEq150!$AZ$2:$BB$74,3,)))</f>
        <v>0</v>
      </c>
      <c r="AR28" s="2" t="b">
        <f>IF(AND(I28="TP",S28&lt;=300),VLOOKUP(AF28,[1]TPCalibEq300!$AZ$2:$BB$76,3,),IF(AND(I28="TDP",S28&lt;=300),VLOOKUP(AF28,[1]TPCalibEq300!$AZ$2:$BB$76,3,)))</f>
        <v>0</v>
      </c>
      <c r="AS28" s="2" t="b">
        <f>IF(AND(I28="TP",S28&lt;=500),VLOOKUP(AF28,[1]TPCalibEq500!$AZ$2:$BB$88,3,),IF(AND(I28="TDP",S28&lt;=500),VLOOKUP(AF28,[1]TPCalibEq500!$AZ$2:$BB$88,3,)))</f>
        <v>0</v>
      </c>
      <c r="AT28" s="2" t="b">
        <f>IF(AND(I28="TN",S28&lt;=2800),VLOOKUP(AF28,[1]TNCalibEq2500!$AZ$2:$BB$80,3,),IF(AND(I28="TDN",S28&lt;=2800),VLOOKUP(AF28,[1]TNCalibEq2500!$AZ$2:$BB$80,3,)))</f>
        <v>0</v>
      </c>
      <c r="AU28" s="2" t="b">
        <f>IF(I28="TP",VLOOKUP(AF28,[1]TPCalibEqFull!$AZ$2:$BB$164,3),IF(I28="TDP",VLOOKUP(AF28,[1]TPCalibEqFull!$AZ$2:$BB$164,3),IF(I28="TDN",VLOOKUP(AF28,[1]TNCalibEqFull!$AZ$2:$BB$116,3),IF(I28="TN",VLOOKUP(AF28,[1]TNCalibEqFull!$AZ$2:$BB$118,3),FALSE))))</f>
        <v>0</v>
      </c>
      <c r="AV28" s="2" t="str">
        <f t="shared" si="3"/>
        <v>0701 12:00:00-T1BF-0-FIL-2-SW-UKN</v>
      </c>
      <c r="AW28" s="2"/>
      <c r="AX28" s="2"/>
      <c r="AY28" s="2"/>
    </row>
    <row r="29" spans="1:51" x14ac:dyDescent="0.35">
      <c r="A29" s="45">
        <v>45485</v>
      </c>
      <c r="B29" s="46">
        <v>0.5</v>
      </c>
      <c r="C29" s="2" t="s">
        <v>140</v>
      </c>
      <c r="D29" s="2">
        <v>0</v>
      </c>
      <c r="E29" s="2" t="s">
        <v>137</v>
      </c>
      <c r="F29" s="2">
        <v>1</v>
      </c>
      <c r="G29" s="2" t="s">
        <v>125</v>
      </c>
      <c r="H29" s="2" t="s">
        <v>126</v>
      </c>
      <c r="I29" s="2" t="s">
        <v>138</v>
      </c>
      <c r="J29" s="2">
        <v>75</v>
      </c>
      <c r="K29" s="47">
        <v>45497</v>
      </c>
      <c r="L29" s="46">
        <v>0.63836805555555554</v>
      </c>
      <c r="M29" s="2">
        <v>1</v>
      </c>
      <c r="N29" s="2" t="s">
        <v>94</v>
      </c>
      <c r="O29" s="2">
        <v>0.28699999999999998</v>
      </c>
      <c r="P29" s="2">
        <v>2.2800000000000001E-2</v>
      </c>
      <c r="Q29" s="2">
        <v>15</v>
      </c>
      <c r="R29" s="2" t="s">
        <v>95</v>
      </c>
      <c r="S29" s="48">
        <f t="shared" si="0"/>
        <v>15</v>
      </c>
      <c r="T29" s="2" t="s">
        <v>113</v>
      </c>
      <c r="U29" s="48" t="s">
        <v>97</v>
      </c>
      <c r="V29" s="44" t="s">
        <v>97</v>
      </c>
      <c r="W29" s="44" t="s">
        <v>98</v>
      </c>
      <c r="X29" s="44" t="s">
        <v>97</v>
      </c>
      <c r="Y29" s="2" t="s">
        <v>99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 t="str">
        <f t="shared" si="4"/>
        <v>FALSE</v>
      </c>
      <c r="AM29" s="2" t="str">
        <f t="shared" si="4"/>
        <v>FALSE</v>
      </c>
      <c r="AN29" s="2" t="str">
        <f t="shared" si="4"/>
        <v>FALSE</v>
      </c>
      <c r="AO29" s="2" t="str">
        <f t="shared" si="5"/>
        <v>FALSE</v>
      </c>
      <c r="AP29" s="2" t="str">
        <f t="shared" si="5"/>
        <v>FALSE</v>
      </c>
      <c r="AQ29" s="2" t="b">
        <f>IF(AND(I29="TP",S29&lt;=150),VLOOKUP(AF29,[1]TPCalibEq150!$AZ$2:$BB$74,3,),IF(AND(I29="TDP",S29&lt;=150),VLOOKUP(AF29,[1]TPCalibEq150!$AZ$2:$BB$74,3,)))</f>
        <v>0</v>
      </c>
      <c r="AR29" s="2" t="b">
        <f>IF(AND(I29="TP",S29&lt;=300),VLOOKUP(AF29,[1]TPCalibEq300!$AZ$2:$BB$76,3,),IF(AND(I29="TDP",S29&lt;=300),VLOOKUP(AF29,[1]TPCalibEq300!$AZ$2:$BB$76,3,)))</f>
        <v>0</v>
      </c>
      <c r="AS29" s="2" t="b">
        <f>IF(AND(I29="TP",S29&lt;=500),VLOOKUP(AF29,[1]TPCalibEq500!$AZ$2:$BB$88,3,),IF(AND(I29="TDP",S29&lt;=500),VLOOKUP(AF29,[1]TPCalibEq500!$AZ$2:$BB$88,3,)))</f>
        <v>0</v>
      </c>
      <c r="AT29" s="2" t="b">
        <f>IF(AND(I29="TN",S29&lt;=2800),VLOOKUP(AF29,[1]TNCalibEq2500!$AZ$2:$BB$80,3,),IF(AND(I29="TDN",S29&lt;=2800),VLOOKUP(AF29,[1]TNCalibEq2500!$AZ$2:$BB$80,3,)))</f>
        <v>0</v>
      </c>
      <c r="AU29" s="2" t="b">
        <f>IF(I29="TP",VLOOKUP(AF29,[1]TPCalibEqFull!$AZ$2:$BB$164,3),IF(I29="TDP",VLOOKUP(AF29,[1]TPCalibEqFull!$AZ$2:$BB$164,3),IF(I29="TDN",VLOOKUP(AF29,[1]TNCalibEqFull!$AZ$2:$BB$116,3),IF(I29="TN",VLOOKUP(AF29,[1]TNCalibEqFull!$AZ$2:$BB$118,3),FALSE))))</f>
        <v>0</v>
      </c>
      <c r="AV29" s="2" t="str">
        <f t="shared" si="3"/>
        <v>0712 12:00:00-C1AF-0-FIL-1-SW-UKN</v>
      </c>
      <c r="AW29" s="2"/>
      <c r="AX29" s="2"/>
      <c r="AY29" s="2"/>
    </row>
    <row r="30" spans="1:51" x14ac:dyDescent="0.35">
      <c r="A30" s="45">
        <v>45485</v>
      </c>
      <c r="B30" s="46">
        <v>0.5</v>
      </c>
      <c r="C30" s="2" t="s">
        <v>141</v>
      </c>
      <c r="D30" s="2">
        <v>0</v>
      </c>
      <c r="E30" s="2" t="s">
        <v>137</v>
      </c>
      <c r="F30" s="2">
        <v>2</v>
      </c>
      <c r="G30" s="2" t="s">
        <v>125</v>
      </c>
      <c r="H30" s="2" t="s">
        <v>126</v>
      </c>
      <c r="I30" s="2" t="s">
        <v>138</v>
      </c>
      <c r="J30" s="2">
        <v>76</v>
      </c>
      <c r="K30" s="47">
        <v>45497</v>
      </c>
      <c r="L30" s="46">
        <v>0.63920138888888889</v>
      </c>
      <c r="M30" s="2">
        <v>1</v>
      </c>
      <c r="N30" s="2" t="s">
        <v>94</v>
      </c>
      <c r="O30" s="2">
        <v>0.25900000000000001</v>
      </c>
      <c r="P30" s="2">
        <v>2.0400000000000001E-2</v>
      </c>
      <c r="Q30" s="2">
        <v>13.5</v>
      </c>
      <c r="R30" s="2" t="s">
        <v>95</v>
      </c>
      <c r="S30" s="48">
        <f t="shared" si="0"/>
        <v>13.5</v>
      </c>
      <c r="T30" s="2" t="s">
        <v>113</v>
      </c>
      <c r="U30" s="48" t="s">
        <v>97</v>
      </c>
      <c r="V30" s="44" t="s">
        <v>97</v>
      </c>
      <c r="W30" s="44" t="s">
        <v>98</v>
      </c>
      <c r="X30" s="44" t="s">
        <v>97</v>
      </c>
      <c r="Y30" s="2" t="s">
        <v>99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 t="str">
        <f t="shared" si="4"/>
        <v>FALSE</v>
      </c>
      <c r="AM30" s="2" t="str">
        <f t="shared" si="4"/>
        <v>FALSE</v>
      </c>
      <c r="AN30" s="2" t="str">
        <f t="shared" si="4"/>
        <v>FALSE</v>
      </c>
      <c r="AO30" s="2" t="str">
        <f t="shared" si="5"/>
        <v>FALSE</v>
      </c>
      <c r="AP30" s="2" t="str">
        <f t="shared" si="5"/>
        <v>FALSE</v>
      </c>
      <c r="AQ30" s="2" t="b">
        <f>IF(AND(I30="TP",S30&lt;=150),VLOOKUP(AF30,[1]TPCalibEq150!$AZ$2:$BB$74,3,),IF(AND(I30="TDP",S30&lt;=150),VLOOKUP(AF30,[1]TPCalibEq150!$AZ$2:$BB$74,3,)))</f>
        <v>0</v>
      </c>
      <c r="AR30" s="2" t="b">
        <f>IF(AND(I30="TP",S30&lt;=300),VLOOKUP(AF30,[1]TPCalibEq300!$AZ$2:$BB$76,3,),IF(AND(I30="TDP",S30&lt;=300),VLOOKUP(AF30,[1]TPCalibEq300!$AZ$2:$BB$76,3,)))</f>
        <v>0</v>
      </c>
      <c r="AS30" s="2" t="b">
        <f>IF(AND(I30="TP",S30&lt;=500),VLOOKUP(AF30,[1]TPCalibEq500!$AZ$2:$BB$88,3,),IF(AND(I30="TDP",S30&lt;=500),VLOOKUP(AF30,[1]TPCalibEq500!$AZ$2:$BB$88,3,)))</f>
        <v>0</v>
      </c>
      <c r="AT30" s="2" t="b">
        <f>IF(AND(I30="TN",S30&lt;=2800),VLOOKUP(AF30,[1]TNCalibEq2500!$AZ$2:$BB$80,3,),IF(AND(I30="TDN",S30&lt;=2800),VLOOKUP(AF30,[1]TNCalibEq2500!$AZ$2:$BB$80,3,)))</f>
        <v>0</v>
      </c>
      <c r="AU30" s="2" t="b">
        <f>IF(I30="TP",VLOOKUP(AF30,[1]TPCalibEqFull!$AZ$2:$BB$164,3),IF(I30="TDP",VLOOKUP(AF30,[1]TPCalibEqFull!$AZ$2:$BB$164,3),IF(I30="TDN",VLOOKUP(AF30,[1]TNCalibEqFull!$AZ$2:$BB$116,3),IF(I30="TN",VLOOKUP(AF30,[1]TNCalibEqFull!$AZ$2:$BB$118,3),FALSE))))</f>
        <v>0</v>
      </c>
      <c r="AV30" s="2" t="str">
        <f t="shared" si="3"/>
        <v>0712 12:00:00-C1BF-0-FIL-2-SW-UKN</v>
      </c>
      <c r="AW30" s="2"/>
      <c r="AX30" s="2"/>
      <c r="AY30" s="2"/>
    </row>
    <row r="31" spans="1:51" x14ac:dyDescent="0.35">
      <c r="A31" s="45">
        <v>45485</v>
      </c>
      <c r="B31" s="46">
        <v>0.5</v>
      </c>
      <c r="C31" s="2" t="s">
        <v>142</v>
      </c>
      <c r="D31" s="2">
        <v>0</v>
      </c>
      <c r="E31" s="2" t="s">
        <v>137</v>
      </c>
      <c r="F31" s="2">
        <v>1</v>
      </c>
      <c r="G31" s="2" t="s">
        <v>125</v>
      </c>
      <c r="H31" s="2" t="s">
        <v>126</v>
      </c>
      <c r="I31" s="2" t="s">
        <v>138</v>
      </c>
      <c r="J31" s="2">
        <v>77</v>
      </c>
      <c r="K31" s="47">
        <v>45497</v>
      </c>
      <c r="L31" s="46">
        <v>0.64003472222222224</v>
      </c>
      <c r="M31" s="2">
        <v>1</v>
      </c>
      <c r="N31" s="2" t="s">
        <v>94</v>
      </c>
      <c r="O31" s="2">
        <v>0.26</v>
      </c>
      <c r="P31" s="2">
        <v>2.0899999999999998E-2</v>
      </c>
      <c r="Q31" s="2">
        <v>13.6</v>
      </c>
      <c r="R31" s="2" t="s">
        <v>95</v>
      </c>
      <c r="S31" s="48">
        <f t="shared" si="0"/>
        <v>13.6</v>
      </c>
      <c r="T31" s="2" t="s">
        <v>113</v>
      </c>
      <c r="U31" s="48" t="s">
        <v>97</v>
      </c>
      <c r="V31" s="44" t="s">
        <v>97</v>
      </c>
      <c r="W31" s="44" t="s">
        <v>98</v>
      </c>
      <c r="X31" s="44" t="s">
        <v>97</v>
      </c>
      <c r="Y31" s="2" t="s">
        <v>99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 t="str">
        <f t="shared" si="4"/>
        <v>FALSE</v>
      </c>
      <c r="AM31" s="2" t="str">
        <f t="shared" si="4"/>
        <v>FALSE</v>
      </c>
      <c r="AN31" s="2" t="str">
        <f t="shared" si="4"/>
        <v>FALSE</v>
      </c>
      <c r="AO31" s="2" t="str">
        <f t="shared" si="5"/>
        <v>FALSE</v>
      </c>
      <c r="AP31" s="2" t="str">
        <f t="shared" si="5"/>
        <v>FALSE</v>
      </c>
      <c r="AQ31" s="2" t="b">
        <f>IF(AND(I31="TP",S31&lt;=150),VLOOKUP(AF31,[1]TPCalibEq150!$AZ$2:$BB$74,3,),IF(AND(I31="TDP",S31&lt;=150),VLOOKUP(AF31,[1]TPCalibEq150!$AZ$2:$BB$74,3,)))</f>
        <v>0</v>
      </c>
      <c r="AR31" s="2" t="b">
        <f>IF(AND(I31="TP",S31&lt;=300),VLOOKUP(AF31,[1]TPCalibEq300!$AZ$2:$BB$76,3,),IF(AND(I31="TDP",S31&lt;=300),VLOOKUP(AF31,[1]TPCalibEq300!$AZ$2:$BB$76,3,)))</f>
        <v>0</v>
      </c>
      <c r="AS31" s="2" t="b">
        <f>IF(AND(I31="TP",S31&lt;=500),VLOOKUP(AF31,[1]TPCalibEq500!$AZ$2:$BB$88,3,),IF(AND(I31="TDP",S31&lt;=500),VLOOKUP(AF31,[1]TPCalibEq500!$AZ$2:$BB$88,3,)))</f>
        <v>0</v>
      </c>
      <c r="AT31" s="2" t="b">
        <f>IF(AND(I31="TN",S31&lt;=2800),VLOOKUP(AF31,[1]TNCalibEq2500!$AZ$2:$BB$80,3,),IF(AND(I31="TDN",S31&lt;=2800),VLOOKUP(AF31,[1]TNCalibEq2500!$AZ$2:$BB$80,3,)))</f>
        <v>0</v>
      </c>
      <c r="AU31" s="2" t="b">
        <f>IF(I31="TP",VLOOKUP(AF31,[1]TPCalibEqFull!$AZ$2:$BB$164,3),IF(I31="TDP",VLOOKUP(AF31,[1]TPCalibEqFull!$AZ$2:$BB$164,3),IF(I31="TDN",VLOOKUP(AF31,[1]TNCalibEqFull!$AZ$2:$BB$116,3),IF(I31="TN",VLOOKUP(AF31,[1]TNCalibEqFull!$AZ$2:$BB$118,3),FALSE))))</f>
        <v>0</v>
      </c>
      <c r="AV31" s="2" t="str">
        <f t="shared" si="3"/>
        <v>0712 12:00:00-T2AF-0-FIL-1-SW-UKN</v>
      </c>
      <c r="AW31" s="2"/>
      <c r="AX31" s="2"/>
      <c r="AY31" s="2"/>
    </row>
    <row r="32" spans="1:51" x14ac:dyDescent="0.35">
      <c r="A32" s="45">
        <v>45485</v>
      </c>
      <c r="B32" s="46">
        <v>0.5</v>
      </c>
      <c r="C32" s="2" t="s">
        <v>143</v>
      </c>
      <c r="D32" s="2">
        <v>0</v>
      </c>
      <c r="E32" s="2" t="s">
        <v>137</v>
      </c>
      <c r="F32" s="2">
        <v>2</v>
      </c>
      <c r="G32" s="2" t="s">
        <v>125</v>
      </c>
      <c r="H32" s="2" t="s">
        <v>126</v>
      </c>
      <c r="I32" s="2" t="s">
        <v>138</v>
      </c>
      <c r="J32" s="2">
        <v>78</v>
      </c>
      <c r="K32" s="47">
        <v>45497</v>
      </c>
      <c r="L32" s="46">
        <v>0.64086805555555559</v>
      </c>
      <c r="M32" s="2">
        <v>1</v>
      </c>
      <c r="N32" s="2" t="s">
        <v>94</v>
      </c>
      <c r="O32" s="2">
        <v>0.27400000000000002</v>
      </c>
      <c r="P32" s="2">
        <v>2.2200000000000001E-2</v>
      </c>
      <c r="Q32" s="2">
        <v>14.3</v>
      </c>
      <c r="R32" s="2" t="s">
        <v>95</v>
      </c>
      <c r="S32" s="48">
        <f t="shared" si="0"/>
        <v>14.3</v>
      </c>
      <c r="T32" s="2" t="s">
        <v>113</v>
      </c>
      <c r="U32" s="48" t="s">
        <v>97</v>
      </c>
      <c r="V32" s="44" t="s">
        <v>97</v>
      </c>
      <c r="W32" s="44" t="s">
        <v>98</v>
      </c>
      <c r="X32" s="44" t="s">
        <v>97</v>
      </c>
      <c r="Y32" s="2" t="s">
        <v>99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 t="str">
        <f t="shared" si="4"/>
        <v>FALSE</v>
      </c>
      <c r="AM32" s="2" t="str">
        <f t="shared" si="4"/>
        <v>FALSE</v>
      </c>
      <c r="AN32" s="2" t="str">
        <f t="shared" si="4"/>
        <v>FALSE</v>
      </c>
      <c r="AO32" s="2" t="str">
        <f t="shared" si="5"/>
        <v>FALSE</v>
      </c>
      <c r="AP32" s="2" t="str">
        <f t="shared" si="5"/>
        <v>FALSE</v>
      </c>
      <c r="AQ32" s="2" t="b">
        <f>IF(AND(I32="TP",S32&lt;=150),VLOOKUP(AF32,[1]TPCalibEq150!$AZ$2:$BB$74,3,),IF(AND(I32="TDP",S32&lt;=150),VLOOKUP(AF32,[1]TPCalibEq150!$AZ$2:$BB$74,3,)))</f>
        <v>0</v>
      </c>
      <c r="AR32" s="2" t="b">
        <f>IF(AND(I32="TP",S32&lt;=300),VLOOKUP(AF32,[1]TPCalibEq300!$AZ$2:$BB$76,3,),IF(AND(I32="TDP",S32&lt;=300),VLOOKUP(AF32,[1]TPCalibEq300!$AZ$2:$BB$76,3,)))</f>
        <v>0</v>
      </c>
      <c r="AS32" s="2" t="b">
        <f>IF(AND(I32="TP",S32&lt;=500),VLOOKUP(AF32,[1]TPCalibEq500!$AZ$2:$BB$88,3,),IF(AND(I32="TDP",S32&lt;=500),VLOOKUP(AF32,[1]TPCalibEq500!$AZ$2:$BB$88,3,)))</f>
        <v>0</v>
      </c>
      <c r="AT32" s="2" t="b">
        <f>IF(AND(I32="TN",S32&lt;=2800),VLOOKUP(AF32,[1]TNCalibEq2500!$AZ$2:$BB$80,3,),IF(AND(I32="TDN",S32&lt;=2800),VLOOKUP(AF32,[1]TNCalibEq2500!$AZ$2:$BB$80,3,)))</f>
        <v>0</v>
      </c>
      <c r="AU32" s="2" t="b">
        <f>IF(I32="TP",VLOOKUP(AF32,[1]TPCalibEqFull!$AZ$2:$BB$164,3),IF(I32="TDP",VLOOKUP(AF32,[1]TPCalibEqFull!$AZ$2:$BB$164,3),IF(I32="TDN",VLOOKUP(AF32,[1]TNCalibEqFull!$AZ$2:$BB$116,3),IF(I32="TN",VLOOKUP(AF32,[1]TNCalibEqFull!$AZ$2:$BB$118,3),FALSE))))</f>
        <v>0</v>
      </c>
      <c r="AV32" s="2" t="str">
        <f t="shared" si="3"/>
        <v>0712 12:00:00-T2BF-0-FIL-2-SW-UKN</v>
      </c>
      <c r="AW32" s="2"/>
      <c r="AX32" s="2"/>
      <c r="AY32" s="2"/>
    </row>
    <row r="33" spans="1:51" x14ac:dyDescent="0.35">
      <c r="A33" s="45">
        <v>45485</v>
      </c>
      <c r="B33" s="46">
        <v>0.5</v>
      </c>
      <c r="C33" s="2" t="s">
        <v>144</v>
      </c>
      <c r="D33" s="2">
        <v>0</v>
      </c>
      <c r="E33" s="2" t="s">
        <v>137</v>
      </c>
      <c r="F33" s="2">
        <v>1</v>
      </c>
      <c r="G33" s="2" t="s">
        <v>125</v>
      </c>
      <c r="H33" s="2" t="s">
        <v>126</v>
      </c>
      <c r="I33" s="2" t="s">
        <v>138</v>
      </c>
      <c r="J33" s="2">
        <v>79</v>
      </c>
      <c r="K33" s="47">
        <v>45497</v>
      </c>
      <c r="L33" s="46">
        <v>0.6416898148148148</v>
      </c>
      <c r="M33" s="2">
        <v>1</v>
      </c>
      <c r="N33" s="2" t="s">
        <v>94</v>
      </c>
      <c r="O33" s="2">
        <v>0.34200000000000003</v>
      </c>
      <c r="P33" s="2">
        <v>2.7099999999999999E-2</v>
      </c>
      <c r="Q33" s="2">
        <v>17.899999999999999</v>
      </c>
      <c r="R33" s="2" t="s">
        <v>95</v>
      </c>
      <c r="S33" s="48">
        <f t="shared" si="0"/>
        <v>17.899999999999999</v>
      </c>
      <c r="T33" s="2" t="s">
        <v>113</v>
      </c>
      <c r="U33" s="48" t="s">
        <v>97</v>
      </c>
      <c r="V33" s="44" t="s">
        <v>97</v>
      </c>
      <c r="W33" s="44" t="s">
        <v>98</v>
      </c>
      <c r="X33" s="44" t="s">
        <v>97</v>
      </c>
      <c r="Y33" s="2" t="s">
        <v>99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 t="str">
        <f t="shared" si="4"/>
        <v>FALSE</v>
      </c>
      <c r="AM33" s="2" t="str">
        <f t="shared" si="4"/>
        <v>FALSE</v>
      </c>
      <c r="AN33" s="2" t="str">
        <f t="shared" si="4"/>
        <v>FALSE</v>
      </c>
      <c r="AO33" s="2" t="str">
        <f t="shared" si="5"/>
        <v>FALSE</v>
      </c>
      <c r="AP33" s="2" t="str">
        <f t="shared" si="5"/>
        <v>FALSE</v>
      </c>
      <c r="AQ33" s="2" t="b">
        <f>IF(AND(I33="TP",S33&lt;=150),VLOOKUP(AF33,[1]TPCalibEq150!$AZ$2:$BB$74,3,),IF(AND(I33="TDP",S33&lt;=150),VLOOKUP(AF33,[1]TPCalibEq150!$AZ$2:$BB$74,3,)))</f>
        <v>0</v>
      </c>
      <c r="AR33" s="2" t="b">
        <f>IF(AND(I33="TP",S33&lt;=300),VLOOKUP(AF33,[1]TPCalibEq300!$AZ$2:$BB$76,3,),IF(AND(I33="TDP",S33&lt;=300),VLOOKUP(AF33,[1]TPCalibEq300!$AZ$2:$BB$76,3,)))</f>
        <v>0</v>
      </c>
      <c r="AS33" s="2" t="b">
        <f>IF(AND(I33="TP",S33&lt;=500),VLOOKUP(AF33,[1]TPCalibEq500!$AZ$2:$BB$88,3,),IF(AND(I33="TDP",S33&lt;=500),VLOOKUP(AF33,[1]TPCalibEq500!$AZ$2:$BB$88,3,)))</f>
        <v>0</v>
      </c>
      <c r="AT33" s="2" t="b">
        <f>IF(AND(I33="TN",S33&lt;=2800),VLOOKUP(AF33,[1]TNCalibEq2500!$AZ$2:$BB$80,3,),IF(AND(I33="TDN",S33&lt;=2800),VLOOKUP(AF33,[1]TNCalibEq2500!$AZ$2:$BB$80,3,)))</f>
        <v>0</v>
      </c>
      <c r="AU33" s="2" t="b">
        <f>IF(I33="TP",VLOOKUP(AF33,[1]TPCalibEqFull!$AZ$2:$BB$164,3),IF(I33="TDP",VLOOKUP(AF33,[1]TPCalibEqFull!$AZ$2:$BB$164,3),IF(I33="TDN",VLOOKUP(AF33,[1]TNCalibEqFull!$AZ$2:$BB$116,3),IF(I33="TN",VLOOKUP(AF33,[1]TNCalibEqFull!$AZ$2:$BB$118,3),FALSE))))</f>
        <v>0</v>
      </c>
      <c r="AV33" s="2" t="str">
        <f t="shared" si="3"/>
        <v>0712 12:00:00-C2AF-0-FIL-1-SW-UKN</v>
      </c>
      <c r="AW33" s="2"/>
      <c r="AX33" s="2"/>
      <c r="AY33" s="2"/>
    </row>
    <row r="34" spans="1:51" x14ac:dyDescent="0.35">
      <c r="A34" s="45">
        <v>45485</v>
      </c>
      <c r="B34" s="46">
        <v>0.5</v>
      </c>
      <c r="C34" s="2" t="s">
        <v>145</v>
      </c>
      <c r="D34" s="2">
        <v>0</v>
      </c>
      <c r="E34" s="2" t="s">
        <v>137</v>
      </c>
      <c r="F34" s="2">
        <v>2</v>
      </c>
      <c r="G34" s="2" t="s">
        <v>125</v>
      </c>
      <c r="H34" s="2" t="s">
        <v>126</v>
      </c>
      <c r="I34" s="2" t="s">
        <v>138</v>
      </c>
      <c r="J34" s="2">
        <v>80</v>
      </c>
      <c r="K34" s="47">
        <v>45497</v>
      </c>
      <c r="L34" s="46">
        <v>0.64256944444444442</v>
      </c>
      <c r="M34" s="2">
        <v>1</v>
      </c>
      <c r="N34" s="2" t="s">
        <v>94</v>
      </c>
      <c r="O34" s="2">
        <v>0.33500000000000002</v>
      </c>
      <c r="P34" s="2">
        <v>2.69E-2</v>
      </c>
      <c r="Q34" s="2">
        <v>17.5</v>
      </c>
      <c r="R34" s="2" t="s">
        <v>95</v>
      </c>
      <c r="S34" s="48">
        <f t="shared" si="0"/>
        <v>17.5</v>
      </c>
      <c r="T34" s="2" t="s">
        <v>113</v>
      </c>
      <c r="U34" s="48" t="s">
        <v>97</v>
      </c>
      <c r="V34" s="44" t="s">
        <v>97</v>
      </c>
      <c r="W34" s="44" t="s">
        <v>98</v>
      </c>
      <c r="X34" s="44" t="s">
        <v>97</v>
      </c>
      <c r="Y34" s="2" t="s">
        <v>99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 t="str">
        <f t="shared" ref="AL34:AN59" si="6">IF($O34="", "", IF(AQ34&lt;&gt;"", SUBSTITUTE(SUBSTITUTE(AQ34, "x", "*"&amp;$O34&amp;"^", 1), "x", "*"&amp;$O34, 1), ""))</f>
        <v>FALSE</v>
      </c>
      <c r="AM34" s="2" t="str">
        <f t="shared" si="6"/>
        <v>FALSE</v>
      </c>
      <c r="AN34" s="2" t="str">
        <f t="shared" si="6"/>
        <v>FALSE</v>
      </c>
      <c r="AO34" s="2" t="str">
        <f t="shared" ref="AO34:AP59" si="7">IF($O34="", "FALSE", IF(AT34&lt;&gt;"FALSE", SUBSTITUTE(SUBSTITUTE(AT34, "x", "*"&amp;$O34&amp;"^", 1), "x", "*"&amp;$O34, 1), ""))</f>
        <v>FALSE</v>
      </c>
      <c r="AP34" s="2" t="str">
        <f t="shared" si="7"/>
        <v>FALSE</v>
      </c>
      <c r="AQ34" s="2" t="b">
        <f>IF(AND(I34="TP",S34&lt;=150),VLOOKUP(AF34,[1]TPCalibEq150!$AZ$2:$BB$74,3,),IF(AND(I34="TDP",S34&lt;=150),VLOOKUP(AF34,[1]TPCalibEq150!$AZ$2:$BB$74,3,)))</f>
        <v>0</v>
      </c>
      <c r="AR34" s="2" t="b">
        <f>IF(AND(I34="TP",S34&lt;=300),VLOOKUP(AF34,[1]TPCalibEq300!$AZ$2:$BB$76,3,),IF(AND(I34="TDP",S34&lt;=300),VLOOKUP(AF34,[1]TPCalibEq300!$AZ$2:$BB$76,3,)))</f>
        <v>0</v>
      </c>
      <c r="AS34" s="2" t="b">
        <f>IF(AND(I34="TP",S34&lt;=500),VLOOKUP(AF34,[1]TPCalibEq500!$AZ$2:$BB$88,3,),IF(AND(I34="TDP",S34&lt;=500),VLOOKUP(AF34,[1]TPCalibEq500!$AZ$2:$BB$88,3,)))</f>
        <v>0</v>
      </c>
      <c r="AT34" s="2" t="b">
        <f>IF(AND(I34="TN",S34&lt;=2800),VLOOKUP(AF34,[1]TNCalibEq2500!$AZ$2:$BB$80,3,),IF(AND(I34="TDN",S34&lt;=2800),VLOOKUP(AF34,[1]TNCalibEq2500!$AZ$2:$BB$80,3,)))</f>
        <v>0</v>
      </c>
      <c r="AU34" s="2" t="b">
        <f>IF(I34="TP",VLOOKUP(AF34,[1]TPCalibEqFull!$AZ$2:$BB$164,3),IF(I34="TDP",VLOOKUP(AF34,[1]TPCalibEqFull!$AZ$2:$BB$164,3),IF(I34="TDN",VLOOKUP(AF34,[1]TNCalibEqFull!$AZ$2:$BB$116,3),IF(I34="TN",VLOOKUP(AF34,[1]TNCalibEqFull!$AZ$2:$BB$118,3),FALSE))))</f>
        <v>0</v>
      </c>
      <c r="AV34" s="2" t="str">
        <f t="shared" si="3"/>
        <v>0712 12:00:00-C2BF-0-FIL-2-SW-UKN</v>
      </c>
      <c r="AW34" s="2"/>
      <c r="AX34" s="2"/>
      <c r="AY34" s="2"/>
    </row>
    <row r="35" spans="1:51" x14ac:dyDescent="0.35">
      <c r="A35" s="45">
        <v>45485</v>
      </c>
      <c r="B35" s="46">
        <v>0.5</v>
      </c>
      <c r="C35" s="2" t="s">
        <v>145</v>
      </c>
      <c r="D35" s="2">
        <v>0</v>
      </c>
      <c r="E35" s="2" t="s">
        <v>137</v>
      </c>
      <c r="F35" s="2">
        <v>2</v>
      </c>
      <c r="G35" s="2" t="s">
        <v>125</v>
      </c>
      <c r="H35" s="2" t="s">
        <v>134</v>
      </c>
      <c r="I35" s="2" t="s">
        <v>138</v>
      </c>
      <c r="J35" s="2">
        <v>80</v>
      </c>
      <c r="K35" s="47">
        <v>45497</v>
      </c>
      <c r="L35" s="46">
        <v>0.6433564814814815</v>
      </c>
      <c r="M35" s="2">
        <v>1</v>
      </c>
      <c r="N35" s="2" t="s">
        <v>94</v>
      </c>
      <c r="O35" s="2">
        <v>0.34300000000000003</v>
      </c>
      <c r="P35" s="2">
        <v>2.8199999999999999E-2</v>
      </c>
      <c r="Q35" s="2">
        <v>18</v>
      </c>
      <c r="R35" s="2" t="s">
        <v>95</v>
      </c>
      <c r="S35" s="48">
        <f t="shared" si="0"/>
        <v>18</v>
      </c>
      <c r="T35" s="2" t="s">
        <v>113</v>
      </c>
      <c r="U35" s="48">
        <v>2.8169014084507045</v>
      </c>
      <c r="V35" s="44" t="s">
        <v>97</v>
      </c>
      <c r="W35" s="44" t="s">
        <v>98</v>
      </c>
      <c r="X35" s="44" t="s">
        <v>135</v>
      </c>
      <c r="Y35" s="2" t="s">
        <v>99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 t="str">
        <f t="shared" si="6"/>
        <v>FALSE</v>
      </c>
      <c r="AM35" s="2" t="str">
        <f t="shared" si="6"/>
        <v>FALSE</v>
      </c>
      <c r="AN35" s="2" t="str">
        <f t="shared" si="6"/>
        <v>FALSE</v>
      </c>
      <c r="AO35" s="2" t="str">
        <f t="shared" si="7"/>
        <v>FALSE</v>
      </c>
      <c r="AP35" s="2" t="str">
        <f t="shared" si="7"/>
        <v>FALSE</v>
      </c>
      <c r="AQ35" s="2" t="b">
        <f>IF(AND(I35="TP",S35&lt;=150),VLOOKUP(AF35,[1]TPCalibEq150!$AZ$2:$BB$74,3,),IF(AND(I35="TDP",S35&lt;=150),VLOOKUP(AF35,[1]TPCalibEq150!$AZ$2:$BB$74,3,)))</f>
        <v>0</v>
      </c>
      <c r="AR35" s="2" t="b">
        <f>IF(AND(I35="TP",S35&lt;=300),VLOOKUP(AF35,[1]TPCalibEq300!$AZ$2:$BB$76,3,),IF(AND(I35="TDP",S35&lt;=300),VLOOKUP(AF35,[1]TPCalibEq300!$AZ$2:$BB$76,3,)))</f>
        <v>0</v>
      </c>
      <c r="AS35" s="2" t="b">
        <f>IF(AND(I35="TP",S35&lt;=500),VLOOKUP(AF35,[1]TPCalibEq500!$AZ$2:$BB$88,3,),IF(AND(I35="TDP",S35&lt;=500),VLOOKUP(AF35,[1]TPCalibEq500!$AZ$2:$BB$88,3,)))</f>
        <v>0</v>
      </c>
      <c r="AT35" s="2" t="b">
        <f>IF(AND(I35="TN",S35&lt;=2800),VLOOKUP(AF35,[1]TNCalibEq2500!$AZ$2:$BB$80,3,),IF(AND(I35="TDN",S35&lt;=2800),VLOOKUP(AF35,[1]TNCalibEq2500!$AZ$2:$BB$80,3,)))</f>
        <v>0</v>
      </c>
      <c r="AU35" s="2" t="b">
        <f>IF(I35="TP",VLOOKUP(AF35,[1]TPCalibEqFull!$AZ$2:$BB$164,3),IF(I35="TDP",VLOOKUP(AF35,[1]TPCalibEqFull!$AZ$2:$BB$164,3),IF(I35="TDN",VLOOKUP(AF35,[1]TNCalibEqFull!$AZ$2:$BB$116,3),IF(I35="TN",VLOOKUP(AF35,[1]TNCalibEqFull!$AZ$2:$BB$118,3),FALSE))))</f>
        <v>0</v>
      </c>
      <c r="AV35" s="2" t="str">
        <f t="shared" si="3"/>
        <v>0712 12:00:00-C2BF-0-FIL-2-SW-DUP</v>
      </c>
      <c r="AW35" s="2"/>
      <c r="AX35" s="2"/>
      <c r="AY35" s="2"/>
    </row>
    <row r="36" spans="1:51" x14ac:dyDescent="0.35">
      <c r="A36" s="45">
        <v>45485</v>
      </c>
      <c r="B36" s="46">
        <v>0.5</v>
      </c>
      <c r="C36" s="2" t="s">
        <v>145</v>
      </c>
      <c r="D36" s="2">
        <v>0</v>
      </c>
      <c r="E36" s="2" t="s">
        <v>137</v>
      </c>
      <c r="F36" s="2">
        <v>2</v>
      </c>
      <c r="G36" s="2" t="s">
        <v>125</v>
      </c>
      <c r="H36" s="2" t="s">
        <v>117</v>
      </c>
      <c r="I36" s="2" t="s">
        <v>138</v>
      </c>
      <c r="J36" s="2">
        <v>88</v>
      </c>
      <c r="K36" s="47">
        <v>45497</v>
      </c>
      <c r="L36" s="46">
        <v>0.64416666666666667</v>
      </c>
      <c r="M36" s="2">
        <v>1</v>
      </c>
      <c r="N36" s="2" t="s">
        <v>94</v>
      </c>
      <c r="O36" s="2">
        <v>12.2</v>
      </c>
      <c r="P36" s="2">
        <v>1</v>
      </c>
      <c r="Q36" s="2">
        <v>648</v>
      </c>
      <c r="R36" s="2" t="s">
        <v>95</v>
      </c>
      <c r="S36" s="48">
        <f t="shared" si="0"/>
        <v>648</v>
      </c>
      <c r="T36" s="2" t="s">
        <v>113</v>
      </c>
      <c r="U36" s="48">
        <v>100.8</v>
      </c>
      <c r="V36" s="44">
        <v>625</v>
      </c>
      <c r="W36" s="44" t="s">
        <v>98</v>
      </c>
      <c r="X36" s="44" t="s">
        <v>118</v>
      </c>
      <c r="Y36" s="2" t="s">
        <v>99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 t="str">
        <f t="shared" si="6"/>
        <v>FALSE</v>
      </c>
      <c r="AM36" s="2" t="str">
        <f t="shared" si="6"/>
        <v>FALSE</v>
      </c>
      <c r="AN36" s="2" t="str">
        <f t="shared" si="6"/>
        <v>FALSE</v>
      </c>
      <c r="AO36" s="2" t="str">
        <f t="shared" si="7"/>
        <v>FALSE</v>
      </c>
      <c r="AP36" s="2" t="str">
        <f t="shared" si="7"/>
        <v>FALSE</v>
      </c>
      <c r="AQ36" s="2" t="b">
        <f>IF(AND(I36="TP",S36&lt;=150),VLOOKUP(AF36,[1]TPCalibEq150!$AZ$2:$BB$74,3,),IF(AND(I36="TDP",S36&lt;=150),VLOOKUP(AF36,[1]TPCalibEq150!$AZ$2:$BB$74,3,)))</f>
        <v>0</v>
      </c>
      <c r="AR36" s="2" t="b">
        <f>IF(AND(I36="TP",S36&lt;=300),VLOOKUP(AF36,[1]TPCalibEq300!$AZ$2:$BB$76,3,),IF(AND(I36="TDP",S36&lt;=300),VLOOKUP(AF36,[1]TPCalibEq300!$AZ$2:$BB$76,3,)))</f>
        <v>0</v>
      </c>
      <c r="AS36" s="2" t="b">
        <f>IF(AND(I36="TP",S36&lt;=500),VLOOKUP(AF36,[1]TPCalibEq500!$AZ$2:$BB$88,3,),IF(AND(I36="TDP",S36&lt;=500),VLOOKUP(AF36,[1]TPCalibEq500!$AZ$2:$BB$88,3,)))</f>
        <v>0</v>
      </c>
      <c r="AT36" s="2" t="b">
        <f>IF(AND(I36="TN",S36&lt;=2800),VLOOKUP(AF36,[1]TNCalibEq2500!$AZ$2:$BB$80,3,),IF(AND(I36="TDN",S36&lt;=2800),VLOOKUP(AF36,[1]TNCalibEq2500!$AZ$2:$BB$80,3,)))</f>
        <v>0</v>
      </c>
      <c r="AU36" s="2" t="b">
        <f>IF(I36="TP",VLOOKUP(AF36,[1]TPCalibEqFull!$AZ$2:$BB$164,3),IF(I36="TDP",VLOOKUP(AF36,[1]TPCalibEqFull!$AZ$2:$BB$164,3),IF(I36="TDN",VLOOKUP(AF36,[1]TNCalibEqFull!$AZ$2:$BB$116,3),IF(I36="TN",VLOOKUP(AF36,[1]TNCalibEqFull!$AZ$2:$BB$118,3),FALSE))))</f>
        <v>0</v>
      </c>
      <c r="AV36" s="2" t="str">
        <f t="shared" si="3"/>
        <v>0712 12:00:00-C2BF-0-FIL-2-SW-SPK</v>
      </c>
      <c r="AW36" s="2"/>
      <c r="AX36" s="2"/>
      <c r="AY36" s="2"/>
    </row>
    <row r="37" spans="1:51" x14ac:dyDescent="0.35">
      <c r="A37" s="45">
        <v>45497</v>
      </c>
      <c r="B37" s="46">
        <v>0.375</v>
      </c>
      <c r="C37" s="2" t="s">
        <v>88</v>
      </c>
      <c r="D37" s="2" t="s">
        <v>89</v>
      </c>
      <c r="E37" s="2" t="s">
        <v>106</v>
      </c>
      <c r="F37" s="2">
        <v>1</v>
      </c>
      <c r="G37" s="2" t="s">
        <v>91</v>
      </c>
      <c r="H37" s="2" t="s">
        <v>122</v>
      </c>
      <c r="I37" s="2" t="s">
        <v>138</v>
      </c>
      <c r="J37" s="2">
        <v>199</v>
      </c>
      <c r="K37" s="47">
        <v>45497</v>
      </c>
      <c r="L37" s="46">
        <v>0.64500000000000002</v>
      </c>
      <c r="M37" s="2">
        <v>1</v>
      </c>
      <c r="N37" s="2" t="s">
        <v>94</v>
      </c>
      <c r="O37" s="2">
        <v>5.74</v>
      </c>
      <c r="P37" s="2">
        <v>0.46899999999999997</v>
      </c>
      <c r="Q37" s="2">
        <v>302</v>
      </c>
      <c r="R37" s="2" t="s">
        <v>95</v>
      </c>
      <c r="S37" s="48">
        <f t="shared" si="0"/>
        <v>302</v>
      </c>
      <c r="T37" s="2" t="s">
        <v>113</v>
      </c>
      <c r="U37" s="48">
        <v>100.66666666666666</v>
      </c>
      <c r="V37" s="44">
        <v>300</v>
      </c>
      <c r="W37" s="44" t="s">
        <v>98</v>
      </c>
      <c r="X37" s="44" t="s">
        <v>123</v>
      </c>
      <c r="Y37" s="2" t="s">
        <v>99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 t="str">
        <f t="shared" si="6"/>
        <v>FALSE</v>
      </c>
      <c r="AM37" s="2" t="str">
        <f t="shared" si="6"/>
        <v>FALSE</v>
      </c>
      <c r="AN37" s="2" t="str">
        <f t="shared" si="6"/>
        <v>FALSE</v>
      </c>
      <c r="AO37" s="2" t="str">
        <f t="shared" si="7"/>
        <v>FALSE</v>
      </c>
      <c r="AP37" s="2" t="str">
        <f t="shared" si="7"/>
        <v>FALSE</v>
      </c>
      <c r="AQ37" s="2" t="b">
        <f>IF(AND(I37="TP",S37&lt;=150),VLOOKUP(AF37,[1]TPCalibEq150!$AZ$2:$BB$74,3,),IF(AND(I37="TDP",S37&lt;=150),VLOOKUP(AF37,[1]TPCalibEq150!$AZ$2:$BB$74,3,)))</f>
        <v>0</v>
      </c>
      <c r="AR37" s="2" t="b">
        <f>IF(AND(I37="TP",S37&lt;=300),VLOOKUP(AF37,[1]TPCalibEq300!$AZ$2:$BB$76,3,),IF(AND(I37="TDP",S37&lt;=300),VLOOKUP(AF37,[1]TPCalibEq300!$AZ$2:$BB$76,3,)))</f>
        <v>0</v>
      </c>
      <c r="AS37" s="2" t="b">
        <f>IF(AND(I37="TP",S37&lt;=500),VLOOKUP(AF37,[1]TPCalibEq500!$AZ$2:$BB$88,3,),IF(AND(I37="TDP",S37&lt;=500),VLOOKUP(AF37,[1]TPCalibEq500!$AZ$2:$BB$88,3,)))</f>
        <v>0</v>
      </c>
      <c r="AT37" s="2" t="b">
        <f>IF(AND(I37="TN",S37&lt;=2800),VLOOKUP(AF37,[1]TNCalibEq2500!$AZ$2:$BB$80,3,),IF(AND(I37="TDN",S37&lt;=2800),VLOOKUP(AF37,[1]TNCalibEq2500!$AZ$2:$BB$80,3,)))</f>
        <v>0</v>
      </c>
      <c r="AU37" s="2" t="b">
        <f>IF(I37="TP",VLOOKUP(AF37,[1]TPCalibEqFull!$AZ$2:$BB$164,3),IF(I37="TDP",VLOOKUP(AF37,[1]TPCalibEqFull!$AZ$2:$BB$164,3),IF(I37="TDN",VLOOKUP(AF37,[1]TNCalibEqFull!$AZ$2:$BB$116,3),IF(I37="TN",VLOOKUP(AF37,[1]TNCalibEqFull!$AZ$2:$BB$118,3),FALSE))))</f>
        <v>0</v>
      </c>
      <c r="AV37" s="2" t="str">
        <f t="shared" si="3"/>
        <v>0724 09:00:00-QAC-STD-D-1-DI-CHK</v>
      </c>
      <c r="AW37" s="2"/>
      <c r="AX37" s="2"/>
      <c r="AY37" s="2"/>
    </row>
    <row r="38" spans="1:51" x14ac:dyDescent="0.35">
      <c r="A38" s="45">
        <v>45496</v>
      </c>
      <c r="B38" s="46">
        <v>0.20208333333333331</v>
      </c>
      <c r="C38" s="2" t="s">
        <v>88</v>
      </c>
      <c r="D38" s="2" t="s">
        <v>114</v>
      </c>
      <c r="E38" s="2" t="s">
        <v>112</v>
      </c>
      <c r="F38" s="2">
        <v>1</v>
      </c>
      <c r="G38" s="2" t="s">
        <v>91</v>
      </c>
      <c r="H38" s="2" t="s">
        <v>146</v>
      </c>
      <c r="I38" s="2" t="s">
        <v>93</v>
      </c>
      <c r="J38" s="2">
        <v>135</v>
      </c>
      <c r="K38" s="47">
        <v>45497</v>
      </c>
      <c r="L38" s="46">
        <v>0.64582175925925933</v>
      </c>
      <c r="M38" s="2">
        <v>1</v>
      </c>
      <c r="N38" s="2" t="s">
        <v>94</v>
      </c>
      <c r="O38" s="2">
        <v>5.1900000000000002E-2</v>
      </c>
      <c r="P38" s="2">
        <v>4.0600000000000002E-3</v>
      </c>
      <c r="Q38" s="2">
        <v>2.71</v>
      </c>
      <c r="R38" s="2" t="s">
        <v>95</v>
      </c>
      <c r="S38" s="48">
        <f t="shared" si="0"/>
        <v>2.71</v>
      </c>
      <c r="T38" s="2" t="s">
        <v>113</v>
      </c>
      <c r="U38" s="48">
        <v>2.71</v>
      </c>
      <c r="V38" s="44" t="s">
        <v>97</v>
      </c>
      <c r="W38" s="44" t="s">
        <v>98</v>
      </c>
      <c r="X38" s="44" t="s">
        <v>116</v>
      </c>
      <c r="Y38" s="2" t="s">
        <v>99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 t="str">
        <f t="shared" si="6"/>
        <v>FALSE</v>
      </c>
      <c r="AM38" s="2" t="str">
        <f t="shared" si="6"/>
        <v>FALSE</v>
      </c>
      <c r="AN38" s="2" t="str">
        <f t="shared" si="6"/>
        <v>FALSE</v>
      </c>
      <c r="AO38" s="2" t="str">
        <f t="shared" si="7"/>
        <v>FALSE</v>
      </c>
      <c r="AP38" s="2" t="str">
        <f t="shared" si="7"/>
        <v>FALSE</v>
      </c>
      <c r="AQ38" s="2" t="b">
        <f>IF(AND(I38="TP",S38&lt;=150),VLOOKUP(AF38,[1]TPCalibEq150!$AZ$2:$BB$74,3,),IF(AND(I38="TDP",S38&lt;=150),VLOOKUP(AF38,[1]TPCalibEq150!$AZ$2:$BB$74,3,)))</f>
        <v>0</v>
      </c>
      <c r="AR38" s="2" t="b">
        <f>IF(AND(I38="TP",S38&lt;=300),VLOOKUP(AF38,[1]TPCalibEq300!$AZ$2:$BB$76,3,),IF(AND(I38="TDP",S38&lt;=300),VLOOKUP(AF38,[1]TPCalibEq300!$AZ$2:$BB$76,3,)))</f>
        <v>0</v>
      </c>
      <c r="AS38" s="2" t="b">
        <f>IF(AND(I38="TP",S38&lt;=500),VLOOKUP(AF38,[1]TPCalibEq500!$AZ$2:$BB$88,3,),IF(AND(I38="TDP",S38&lt;=500),VLOOKUP(AF38,[1]TPCalibEq500!$AZ$2:$BB$88,3,)))</f>
        <v>0</v>
      </c>
      <c r="AT38" s="2" t="b">
        <f>IF(AND(I38="TN",S38&lt;=2800),VLOOKUP(AF38,[1]TNCalibEq2500!$AZ$2:$BB$80,3,),IF(AND(I38="TDN",S38&lt;=2800),VLOOKUP(AF38,[1]TNCalibEq2500!$AZ$2:$BB$80,3,)))</f>
        <v>0</v>
      </c>
      <c r="AU38" s="2" t="b">
        <f>IF(I38="TP",VLOOKUP(AF38,[1]TPCalibEqFull!$AZ$2:$BB$164,3),IF(I38="TDP",VLOOKUP(AF38,[1]TPCalibEqFull!$AZ$2:$BB$164,3),IF(I38="TDN",VLOOKUP(AF38,[1]TNCalibEqFull!$AZ$2:$BB$116,3),IF(I38="TN",VLOOKUP(AF38,[1]TNCalibEqFull!$AZ$2:$BB$118,3),FALSE))))</f>
        <v>0</v>
      </c>
      <c r="AV38" s="2" t="str">
        <f t="shared" si="3"/>
        <v>0723 04:51:00-QAC-BLK-A-1-DI-FLD</v>
      </c>
      <c r="AW38" s="2"/>
      <c r="AX38" s="2"/>
      <c r="AY38" s="2"/>
    </row>
    <row r="39" spans="1:51" x14ac:dyDescent="0.35">
      <c r="A39" s="45">
        <v>45496</v>
      </c>
      <c r="B39" s="46">
        <v>0.20208333333333331</v>
      </c>
      <c r="C39" s="2" t="s">
        <v>88</v>
      </c>
      <c r="D39" s="2" t="s">
        <v>114</v>
      </c>
      <c r="E39" s="2" t="s">
        <v>137</v>
      </c>
      <c r="F39" s="2">
        <v>1</v>
      </c>
      <c r="G39" s="2" t="s">
        <v>91</v>
      </c>
      <c r="H39" s="2" t="s">
        <v>146</v>
      </c>
      <c r="I39" s="2" t="s">
        <v>138</v>
      </c>
      <c r="J39" s="2">
        <v>136</v>
      </c>
      <c r="K39" s="47">
        <v>45497</v>
      </c>
      <c r="L39" s="46">
        <v>0.64665509259259257</v>
      </c>
      <c r="M39" s="2">
        <v>1</v>
      </c>
      <c r="N39" s="2" t="s">
        <v>94</v>
      </c>
      <c r="O39" s="2">
        <v>0.93899999999999995</v>
      </c>
      <c r="P39" s="2">
        <v>7.7399999999999997E-2</v>
      </c>
      <c r="Q39" s="2">
        <v>49.1</v>
      </c>
      <c r="R39" s="2" t="s">
        <v>95</v>
      </c>
      <c r="S39" s="48">
        <f t="shared" si="0"/>
        <v>49.1</v>
      </c>
      <c r="T39" s="2" t="s">
        <v>113</v>
      </c>
      <c r="U39" s="48">
        <v>49.1</v>
      </c>
      <c r="V39" s="44" t="s">
        <v>97</v>
      </c>
      <c r="W39" s="44" t="s">
        <v>147</v>
      </c>
      <c r="X39" s="44" t="s">
        <v>116</v>
      </c>
      <c r="Y39" s="2" t="s">
        <v>99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 t="str">
        <f t="shared" si="6"/>
        <v>FALSE</v>
      </c>
      <c r="AM39" s="2" t="str">
        <f t="shared" si="6"/>
        <v>FALSE</v>
      </c>
      <c r="AN39" s="2" t="str">
        <f t="shared" si="6"/>
        <v>FALSE</v>
      </c>
      <c r="AO39" s="2" t="str">
        <f t="shared" si="7"/>
        <v>FALSE</v>
      </c>
      <c r="AP39" s="2" t="str">
        <f t="shared" si="7"/>
        <v>FALSE</v>
      </c>
      <c r="AQ39" s="2" t="b">
        <f>IF(AND(I39="TP",S39&lt;=150),VLOOKUP(AF39,[1]TPCalibEq150!$AZ$2:$BB$74,3,),IF(AND(I39="TDP",S39&lt;=150),VLOOKUP(AF39,[1]TPCalibEq150!$AZ$2:$BB$74,3,)))</f>
        <v>0</v>
      </c>
      <c r="AR39" s="2" t="b">
        <f>IF(AND(I39="TP",S39&lt;=300),VLOOKUP(AF39,[1]TPCalibEq300!$AZ$2:$BB$76,3,),IF(AND(I39="TDP",S39&lt;=300),VLOOKUP(AF39,[1]TPCalibEq300!$AZ$2:$BB$76,3,)))</f>
        <v>0</v>
      </c>
      <c r="AS39" s="2" t="b">
        <f>IF(AND(I39="TP",S39&lt;=500),VLOOKUP(AF39,[1]TPCalibEq500!$AZ$2:$BB$88,3,),IF(AND(I39="TDP",S39&lt;=500),VLOOKUP(AF39,[1]TPCalibEq500!$AZ$2:$BB$88,3,)))</f>
        <v>0</v>
      </c>
      <c r="AT39" s="2" t="b">
        <f>IF(AND(I39="TN",S39&lt;=2800),VLOOKUP(AF39,[1]TNCalibEq2500!$AZ$2:$BB$80,3,),IF(AND(I39="TDN",S39&lt;=2800),VLOOKUP(AF39,[1]TNCalibEq2500!$AZ$2:$BB$80,3,)))</f>
        <v>0</v>
      </c>
      <c r="AU39" s="2" t="b">
        <f>IF(I39="TP",VLOOKUP(AF39,[1]TPCalibEqFull!$AZ$2:$BB$164,3),IF(I39="TDP",VLOOKUP(AF39,[1]TPCalibEqFull!$AZ$2:$BB$164,3),IF(I39="TDN",VLOOKUP(AF39,[1]TNCalibEqFull!$AZ$2:$BB$116,3),IF(I39="TN",VLOOKUP(AF39,[1]TNCalibEqFull!$AZ$2:$BB$118,3),FALSE))))</f>
        <v>0</v>
      </c>
      <c r="AV39" s="2" t="str">
        <f t="shared" si="3"/>
        <v>0723 04:51:00-QAC-BLK-FIL-1-DI-FLD</v>
      </c>
      <c r="AW39" s="2"/>
      <c r="AX39" s="2"/>
      <c r="AY39" s="2"/>
    </row>
    <row r="40" spans="1:51" x14ac:dyDescent="0.35">
      <c r="A40" s="45">
        <v>45497</v>
      </c>
      <c r="B40" s="46">
        <v>0.375</v>
      </c>
      <c r="C40" s="2" t="s">
        <v>88</v>
      </c>
      <c r="D40" s="2" t="s">
        <v>89</v>
      </c>
      <c r="E40" s="2" t="s">
        <v>90</v>
      </c>
      <c r="F40" s="2">
        <v>1</v>
      </c>
      <c r="G40" s="2" t="s">
        <v>91</v>
      </c>
      <c r="H40" s="2" t="s">
        <v>92</v>
      </c>
      <c r="I40" s="2" t="s">
        <v>148</v>
      </c>
      <c r="J40" s="2">
        <v>181</v>
      </c>
      <c r="K40" s="47">
        <v>45497</v>
      </c>
      <c r="L40" s="46">
        <v>0.50521990740740741</v>
      </c>
      <c r="M40" s="2">
        <v>1</v>
      </c>
      <c r="N40" s="2" t="s">
        <v>149</v>
      </c>
      <c r="O40" s="2">
        <v>4.9699999999999996E-3</v>
      </c>
      <c r="P40" s="2">
        <v>5.4600000000000004E-4</v>
      </c>
      <c r="Q40" s="2">
        <v>0</v>
      </c>
      <c r="R40" s="2" t="s">
        <v>150</v>
      </c>
      <c r="S40" s="48">
        <f t="shared" si="0"/>
        <v>0</v>
      </c>
      <c r="T40" s="2" t="s">
        <v>151</v>
      </c>
      <c r="U40" s="48" t="s">
        <v>97</v>
      </c>
      <c r="V40" s="44" t="s">
        <v>97</v>
      </c>
      <c r="W40" s="44" t="s">
        <v>98</v>
      </c>
      <c r="X40" s="44" t="s">
        <v>97</v>
      </c>
      <c r="Y40" s="2" t="s">
        <v>99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 t="str">
        <f t="shared" si="6"/>
        <v>FALSE</v>
      </c>
      <c r="AM40" s="2" t="str">
        <f t="shared" si="6"/>
        <v>FALSE</v>
      </c>
      <c r="AN40" s="2" t="str">
        <f t="shared" si="6"/>
        <v>FALSE</v>
      </c>
      <c r="AO40" s="2" t="str">
        <f t="shared" si="7"/>
        <v>FALSE</v>
      </c>
      <c r="AP40" s="2" t="str">
        <f t="shared" si="7"/>
        <v>FALSE</v>
      </c>
      <c r="AQ40" s="2" t="b">
        <f>IF(AND(I40="TP",S40&lt;=150),VLOOKUP(AF40,[1]TPCalibEq150!$AZ$2:$BB$74,3,),IF(AND(I40="TDP",S40&lt;=150),VLOOKUP(AF40,[1]TPCalibEq150!$AZ$2:$BB$74,3,)))</f>
        <v>0</v>
      </c>
      <c r="AR40" s="2" t="b">
        <f>IF(AND(I40="TP",S40&lt;=300),VLOOKUP(AF40,[1]TPCalibEq300!$AZ$2:$BB$76,3,),IF(AND(I40="TDP",S40&lt;=300),VLOOKUP(AF40,[1]TPCalibEq300!$AZ$2:$BB$76,3,)))</f>
        <v>0</v>
      </c>
      <c r="AS40" s="2" t="b">
        <f>IF(AND(I40="TP",S40&lt;=500),VLOOKUP(AF40,[1]TPCalibEq500!$AZ$2:$BB$88,3,),IF(AND(I40="TDP",S40&lt;=500),VLOOKUP(AF40,[1]TPCalibEq500!$AZ$2:$BB$88,3,)))</f>
        <v>0</v>
      </c>
      <c r="AT40" s="2" t="b">
        <f>IF(AND(I40="TN",S40&lt;=2800),VLOOKUP(AF40,[1]TNCalibEq2500!$AZ$2:$BB$80,3,),IF(AND(I40="TDN",S40&lt;=2800),VLOOKUP(AF40,[1]TNCalibEq2500!$AZ$2:$BB$80,3,)))</f>
        <v>0</v>
      </c>
      <c r="AU40" s="2" t="b">
        <f>IF(I40="TP",VLOOKUP(AF40,[1]TPCalibEqFull!$AZ$2:$BB$164,3),IF(I40="TDP",VLOOKUP(AF40,[1]TPCalibEqFull!$AZ$2:$BB$164,3),IF(I40="TDN",VLOOKUP(AF40,[1]TNCalibEqFull!$AZ$2:$BB$116,3),IF(I40="TN",VLOOKUP(AF40,[1]TNCalibEqFull!$AZ$2:$BB$118,3),FALSE))))</f>
        <v>0</v>
      </c>
      <c r="AV40" s="2" t="str">
        <f t="shared" si="3"/>
        <v>0724 09:00:00-QAC-STD-H-1-DI-CAL</v>
      </c>
      <c r="AW40" s="2"/>
      <c r="AX40" s="2"/>
      <c r="AY40" s="2"/>
    </row>
    <row r="41" spans="1:51" x14ac:dyDescent="0.35">
      <c r="A41" s="45">
        <v>45497</v>
      </c>
      <c r="B41" s="46">
        <v>0.375</v>
      </c>
      <c r="C41" s="2" t="s">
        <v>88</v>
      </c>
      <c r="D41" s="2" t="s">
        <v>89</v>
      </c>
      <c r="E41" s="2" t="s">
        <v>100</v>
      </c>
      <c r="F41" s="2">
        <v>1</v>
      </c>
      <c r="G41" s="2" t="s">
        <v>91</v>
      </c>
      <c r="H41" s="2" t="s">
        <v>92</v>
      </c>
      <c r="I41" s="2" t="s">
        <v>148</v>
      </c>
      <c r="J41" s="2">
        <v>182</v>
      </c>
      <c r="K41" s="47">
        <v>45497</v>
      </c>
      <c r="L41" s="46">
        <v>0.5060648148148148</v>
      </c>
      <c r="M41" s="2">
        <v>1</v>
      </c>
      <c r="N41" s="2" t="s">
        <v>149</v>
      </c>
      <c r="O41" s="2">
        <v>3.4500000000000003E-2</v>
      </c>
      <c r="P41" s="2">
        <v>2.7499999999999998E-3</v>
      </c>
      <c r="Q41" s="2">
        <v>5</v>
      </c>
      <c r="R41" s="2" t="s">
        <v>150</v>
      </c>
      <c r="S41" s="48">
        <f t="shared" si="0"/>
        <v>5</v>
      </c>
      <c r="T41" s="2" t="s">
        <v>152</v>
      </c>
      <c r="U41" s="48" t="s">
        <v>97</v>
      </c>
      <c r="V41" s="44" t="s">
        <v>97</v>
      </c>
      <c r="W41" s="44" t="s">
        <v>98</v>
      </c>
      <c r="X41" s="44" t="s">
        <v>97</v>
      </c>
      <c r="Y41" s="2" t="s">
        <v>99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 t="str">
        <f t="shared" si="6"/>
        <v>FALSE</v>
      </c>
      <c r="AM41" s="2" t="str">
        <f t="shared" si="6"/>
        <v>FALSE</v>
      </c>
      <c r="AN41" s="2" t="str">
        <f t="shared" si="6"/>
        <v>FALSE</v>
      </c>
      <c r="AO41" s="2" t="str">
        <f t="shared" si="7"/>
        <v>FALSE</v>
      </c>
      <c r="AP41" s="2" t="str">
        <f t="shared" si="7"/>
        <v>FALSE</v>
      </c>
      <c r="AQ41" s="2" t="b">
        <f>IF(AND(I41="TP",S41&lt;=150),VLOOKUP(AF41,[1]TPCalibEq150!$AZ$2:$BB$74,3,),IF(AND(I41="TDP",S41&lt;=150),VLOOKUP(AF41,[1]TPCalibEq150!$AZ$2:$BB$74,3,)))</f>
        <v>0</v>
      </c>
      <c r="AR41" s="2" t="b">
        <f>IF(AND(I41="TP",S41&lt;=300),VLOOKUP(AF41,[1]TPCalibEq300!$AZ$2:$BB$76,3,),IF(AND(I41="TDP",S41&lt;=300),VLOOKUP(AF41,[1]TPCalibEq300!$AZ$2:$BB$76,3,)))</f>
        <v>0</v>
      </c>
      <c r="AS41" s="2" t="b">
        <f>IF(AND(I41="TP",S41&lt;=500),VLOOKUP(AF41,[1]TPCalibEq500!$AZ$2:$BB$88,3,),IF(AND(I41="TDP",S41&lt;=500),VLOOKUP(AF41,[1]TPCalibEq500!$AZ$2:$BB$88,3,)))</f>
        <v>0</v>
      </c>
      <c r="AT41" s="2" t="b">
        <f>IF(AND(I41="TN",S41&lt;=2800),VLOOKUP(AF41,[1]TNCalibEq2500!$AZ$2:$BB$80,3,),IF(AND(I41="TDN",S41&lt;=2800),VLOOKUP(AF41,[1]TNCalibEq2500!$AZ$2:$BB$80,3,)))</f>
        <v>0</v>
      </c>
      <c r="AU41" s="2" t="b">
        <f>IF(I41="TP",VLOOKUP(AF41,[1]TPCalibEqFull!$AZ$2:$BB$164,3),IF(I41="TDP",VLOOKUP(AF41,[1]TPCalibEqFull!$AZ$2:$BB$164,3),IF(I41="TDN",VLOOKUP(AF41,[1]TNCalibEqFull!$AZ$2:$BB$116,3),IF(I41="TN",VLOOKUP(AF41,[1]TNCalibEqFull!$AZ$2:$BB$118,3),FALSE))))</f>
        <v>0</v>
      </c>
      <c r="AV41" s="2" t="str">
        <f t="shared" si="3"/>
        <v>0724 09:00:00-QAC-STD-G-1-DI-CAL</v>
      </c>
      <c r="AW41" s="2"/>
      <c r="AX41" s="2"/>
      <c r="AY41" s="2"/>
    </row>
    <row r="42" spans="1:51" x14ac:dyDescent="0.35">
      <c r="A42" s="45">
        <v>45497</v>
      </c>
      <c r="B42" s="46">
        <v>0.375</v>
      </c>
      <c r="C42" s="2" t="s">
        <v>88</v>
      </c>
      <c r="D42" s="2" t="s">
        <v>89</v>
      </c>
      <c r="E42" s="2" t="s">
        <v>102</v>
      </c>
      <c r="F42" s="2">
        <v>1</v>
      </c>
      <c r="G42" s="2" t="s">
        <v>91</v>
      </c>
      <c r="H42" s="2" t="s">
        <v>92</v>
      </c>
      <c r="I42" s="2" t="s">
        <v>148</v>
      </c>
      <c r="J42" s="2">
        <v>183</v>
      </c>
      <c r="K42" s="47">
        <v>45497</v>
      </c>
      <c r="L42" s="46">
        <v>0.50692129629629623</v>
      </c>
      <c r="M42" s="2">
        <v>1</v>
      </c>
      <c r="N42" s="2" t="s">
        <v>149</v>
      </c>
      <c r="O42" s="2">
        <v>8.4199999999999997E-2</v>
      </c>
      <c r="P42" s="2">
        <v>7.3600000000000002E-3</v>
      </c>
      <c r="Q42" s="2">
        <v>15</v>
      </c>
      <c r="R42" s="2" t="s">
        <v>150</v>
      </c>
      <c r="S42" s="48">
        <f t="shared" si="0"/>
        <v>15</v>
      </c>
      <c r="T42" s="2" t="s">
        <v>153</v>
      </c>
      <c r="U42" s="48" t="s">
        <v>97</v>
      </c>
      <c r="V42" s="44" t="s">
        <v>97</v>
      </c>
      <c r="W42" s="44" t="s">
        <v>98</v>
      </c>
      <c r="X42" s="44" t="s">
        <v>97</v>
      </c>
      <c r="Y42" s="2" t="s">
        <v>99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 t="str">
        <f t="shared" si="6"/>
        <v>FALSE</v>
      </c>
      <c r="AM42" s="2" t="str">
        <f t="shared" si="6"/>
        <v>FALSE</v>
      </c>
      <c r="AN42" s="2" t="str">
        <f t="shared" si="6"/>
        <v>FALSE</v>
      </c>
      <c r="AO42" s="2" t="str">
        <f t="shared" si="7"/>
        <v>FALSE</v>
      </c>
      <c r="AP42" s="2" t="str">
        <f t="shared" si="7"/>
        <v>FALSE</v>
      </c>
      <c r="AQ42" s="2" t="b">
        <f>IF(AND(I42="TP",S42&lt;=150),VLOOKUP(AF42,[1]TPCalibEq150!$AZ$2:$BB$74,3,),IF(AND(I42="TDP",S42&lt;=150),VLOOKUP(AF42,[1]TPCalibEq150!$AZ$2:$BB$74,3,)))</f>
        <v>0</v>
      </c>
      <c r="AR42" s="2" t="b">
        <f>IF(AND(I42="TP",S42&lt;=300),VLOOKUP(AF42,[1]TPCalibEq300!$AZ$2:$BB$76,3,),IF(AND(I42="TDP",S42&lt;=300),VLOOKUP(AF42,[1]TPCalibEq300!$AZ$2:$BB$76,3,)))</f>
        <v>0</v>
      </c>
      <c r="AS42" s="2" t="b">
        <f>IF(AND(I42="TP",S42&lt;=500),VLOOKUP(AF42,[1]TPCalibEq500!$AZ$2:$BB$88,3,),IF(AND(I42="TDP",S42&lt;=500),VLOOKUP(AF42,[1]TPCalibEq500!$AZ$2:$BB$88,3,)))</f>
        <v>0</v>
      </c>
      <c r="AT42" s="2" t="b">
        <f>IF(AND(I42="TN",S42&lt;=2800),VLOOKUP(AF42,[1]TNCalibEq2500!$AZ$2:$BB$80,3,),IF(AND(I42="TDN",S42&lt;=2800),VLOOKUP(AF42,[1]TNCalibEq2500!$AZ$2:$BB$80,3,)))</f>
        <v>0</v>
      </c>
      <c r="AU42" s="2" t="b">
        <f>IF(I42="TP",VLOOKUP(AF42,[1]TPCalibEqFull!$AZ$2:$BB$164,3),IF(I42="TDP",VLOOKUP(AF42,[1]TPCalibEqFull!$AZ$2:$BB$164,3),IF(I42="TDN",VLOOKUP(AF42,[1]TNCalibEqFull!$AZ$2:$BB$116,3),IF(I42="TN",VLOOKUP(AF42,[1]TNCalibEqFull!$AZ$2:$BB$118,3),FALSE))))</f>
        <v>0</v>
      </c>
      <c r="AV42" s="2" t="str">
        <f t="shared" si="3"/>
        <v>0724 09:00:00-QAC-STD-F-1-DI-CAL</v>
      </c>
      <c r="AW42" s="2"/>
      <c r="AX42" s="2"/>
      <c r="AY42" s="2"/>
    </row>
    <row r="43" spans="1:51" x14ac:dyDescent="0.35">
      <c r="A43" s="45">
        <v>45497</v>
      </c>
      <c r="B43" s="46">
        <v>0.375</v>
      </c>
      <c r="C43" s="2" t="s">
        <v>88</v>
      </c>
      <c r="D43" s="2" t="s">
        <v>89</v>
      </c>
      <c r="E43" s="2" t="s">
        <v>104</v>
      </c>
      <c r="F43" s="2">
        <v>1</v>
      </c>
      <c r="G43" s="2" t="s">
        <v>91</v>
      </c>
      <c r="H43" s="2" t="s">
        <v>92</v>
      </c>
      <c r="I43" s="2" t="s">
        <v>148</v>
      </c>
      <c r="J43" s="2">
        <v>184</v>
      </c>
      <c r="K43" s="47">
        <v>45497</v>
      </c>
      <c r="L43" s="46">
        <v>0.50774305555555554</v>
      </c>
      <c r="M43" s="2">
        <v>1</v>
      </c>
      <c r="N43" s="2" t="s">
        <v>149</v>
      </c>
      <c r="O43" s="2">
        <v>0.107</v>
      </c>
      <c r="P43" s="2">
        <v>1.01E-2</v>
      </c>
      <c r="Q43" s="2">
        <v>20</v>
      </c>
      <c r="R43" s="2" t="s">
        <v>150</v>
      </c>
      <c r="S43" s="48">
        <f t="shared" si="0"/>
        <v>20</v>
      </c>
      <c r="T43" s="2" t="s">
        <v>154</v>
      </c>
      <c r="U43" s="48" t="s">
        <v>97</v>
      </c>
      <c r="V43" s="44" t="s">
        <v>97</v>
      </c>
      <c r="W43" s="44" t="s">
        <v>98</v>
      </c>
      <c r="X43" s="44" t="s">
        <v>97</v>
      </c>
      <c r="Y43" s="2" t="s">
        <v>99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 t="str">
        <f t="shared" si="6"/>
        <v>FALSE</v>
      </c>
      <c r="AM43" s="2" t="str">
        <f t="shared" si="6"/>
        <v>FALSE</v>
      </c>
      <c r="AN43" s="2" t="str">
        <f t="shared" si="6"/>
        <v>FALSE</v>
      </c>
      <c r="AO43" s="2" t="str">
        <f t="shared" si="7"/>
        <v>FALSE</v>
      </c>
      <c r="AP43" s="2" t="str">
        <f t="shared" si="7"/>
        <v>FALSE</v>
      </c>
      <c r="AQ43" s="2" t="b">
        <f>IF(AND(I43="TP",S43&lt;=150),VLOOKUP(AF43,[1]TPCalibEq150!$AZ$2:$BB$74,3,),IF(AND(I43="TDP",S43&lt;=150),VLOOKUP(AF43,[1]TPCalibEq150!$AZ$2:$BB$74,3,)))</f>
        <v>0</v>
      </c>
      <c r="AR43" s="2" t="b">
        <f>IF(AND(I43="TP",S43&lt;=300),VLOOKUP(AF43,[1]TPCalibEq300!$AZ$2:$BB$76,3,),IF(AND(I43="TDP",S43&lt;=300),VLOOKUP(AF43,[1]TPCalibEq300!$AZ$2:$BB$76,3,)))</f>
        <v>0</v>
      </c>
      <c r="AS43" s="2" t="b">
        <f>IF(AND(I43="TP",S43&lt;=500),VLOOKUP(AF43,[1]TPCalibEq500!$AZ$2:$BB$88,3,),IF(AND(I43="TDP",S43&lt;=500),VLOOKUP(AF43,[1]TPCalibEq500!$AZ$2:$BB$88,3,)))</f>
        <v>0</v>
      </c>
      <c r="AT43" s="2" t="b">
        <f>IF(AND(I43="TN",S43&lt;=2800),VLOOKUP(AF43,[1]TNCalibEq2500!$AZ$2:$BB$80,3,),IF(AND(I43="TDN",S43&lt;=2800),VLOOKUP(AF43,[1]TNCalibEq2500!$AZ$2:$BB$80,3,)))</f>
        <v>0</v>
      </c>
      <c r="AU43" s="2" t="b">
        <f>IF(I43="TP",VLOOKUP(AF43,[1]TPCalibEqFull!$AZ$2:$BB$164,3),IF(I43="TDP",VLOOKUP(AF43,[1]TPCalibEqFull!$AZ$2:$BB$164,3),IF(I43="TDN",VLOOKUP(AF43,[1]TNCalibEqFull!$AZ$2:$BB$116,3),IF(I43="TN",VLOOKUP(AF43,[1]TNCalibEqFull!$AZ$2:$BB$118,3),FALSE))))</f>
        <v>0</v>
      </c>
      <c r="AV43" s="2" t="str">
        <f t="shared" si="3"/>
        <v>0724 09:00:00-QAC-STD-E-1-DI-CAL</v>
      </c>
      <c r="AW43" s="2"/>
      <c r="AX43" s="2"/>
      <c r="AY43" s="2"/>
    </row>
    <row r="44" spans="1:51" x14ac:dyDescent="0.35">
      <c r="A44" s="45">
        <v>45497</v>
      </c>
      <c r="B44" s="46">
        <v>0.375</v>
      </c>
      <c r="C44" s="2" t="s">
        <v>88</v>
      </c>
      <c r="D44" s="2" t="s">
        <v>89</v>
      </c>
      <c r="E44" s="2" t="s">
        <v>106</v>
      </c>
      <c r="F44" s="2">
        <v>1</v>
      </c>
      <c r="G44" s="2" t="s">
        <v>91</v>
      </c>
      <c r="H44" s="2" t="s">
        <v>92</v>
      </c>
      <c r="I44" s="2" t="s">
        <v>148</v>
      </c>
      <c r="J44" s="2">
        <v>185</v>
      </c>
      <c r="K44" s="47">
        <v>45497</v>
      </c>
      <c r="L44" s="46">
        <v>0.50858796296296294</v>
      </c>
      <c r="M44" s="2">
        <v>1</v>
      </c>
      <c r="N44" s="2" t="s">
        <v>149</v>
      </c>
      <c r="O44" s="2">
        <v>0.41599999999999998</v>
      </c>
      <c r="P44" s="2">
        <v>4.0899999999999999E-2</v>
      </c>
      <c r="Q44" s="2">
        <v>75</v>
      </c>
      <c r="R44" s="2" t="s">
        <v>150</v>
      </c>
      <c r="S44" s="48">
        <f t="shared" si="0"/>
        <v>75</v>
      </c>
      <c r="T44" s="2" t="s">
        <v>155</v>
      </c>
      <c r="U44" s="48" t="s">
        <v>97</v>
      </c>
      <c r="V44" s="44" t="s">
        <v>97</v>
      </c>
      <c r="W44" s="44" t="s">
        <v>98</v>
      </c>
      <c r="X44" s="44" t="s">
        <v>97</v>
      </c>
      <c r="Y44" s="2" t="s">
        <v>99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 t="str">
        <f t="shared" si="6"/>
        <v>FALSE</v>
      </c>
      <c r="AM44" s="2" t="str">
        <f t="shared" si="6"/>
        <v>FALSE</v>
      </c>
      <c r="AN44" s="2" t="str">
        <f t="shared" si="6"/>
        <v>FALSE</v>
      </c>
      <c r="AO44" s="2" t="str">
        <f t="shared" si="7"/>
        <v>FALSE</v>
      </c>
      <c r="AP44" s="2" t="str">
        <f t="shared" si="7"/>
        <v>FALSE</v>
      </c>
      <c r="AQ44" s="2" t="b">
        <f>IF(AND(I44="TP",S44&lt;=150),VLOOKUP(AF44,[1]TPCalibEq150!$AZ$2:$BB$74,3,),IF(AND(I44="TDP",S44&lt;=150),VLOOKUP(AF44,[1]TPCalibEq150!$AZ$2:$BB$74,3,)))</f>
        <v>0</v>
      </c>
      <c r="AR44" s="2" t="b">
        <f>IF(AND(I44="TP",S44&lt;=300),VLOOKUP(AF44,[1]TPCalibEq300!$AZ$2:$BB$76,3,),IF(AND(I44="TDP",S44&lt;=300),VLOOKUP(AF44,[1]TPCalibEq300!$AZ$2:$BB$76,3,)))</f>
        <v>0</v>
      </c>
      <c r="AS44" s="2" t="b">
        <f>IF(AND(I44="TP",S44&lt;=500),VLOOKUP(AF44,[1]TPCalibEq500!$AZ$2:$BB$88,3,),IF(AND(I44="TDP",S44&lt;=500),VLOOKUP(AF44,[1]TPCalibEq500!$AZ$2:$BB$88,3,)))</f>
        <v>0</v>
      </c>
      <c r="AT44" s="2" t="b">
        <f>IF(AND(I44="TN",S44&lt;=2800),VLOOKUP(AF44,[1]TNCalibEq2500!$AZ$2:$BB$80,3,),IF(AND(I44="TDN",S44&lt;=2800),VLOOKUP(AF44,[1]TNCalibEq2500!$AZ$2:$BB$80,3,)))</f>
        <v>0</v>
      </c>
      <c r="AU44" s="2" t="b">
        <f>IF(I44="TP",VLOOKUP(AF44,[1]TPCalibEqFull!$AZ$2:$BB$164,3),IF(I44="TDP",VLOOKUP(AF44,[1]TPCalibEqFull!$AZ$2:$BB$164,3),IF(I44="TDN",VLOOKUP(AF44,[1]TNCalibEqFull!$AZ$2:$BB$116,3),IF(I44="TN",VLOOKUP(AF44,[1]TNCalibEqFull!$AZ$2:$BB$118,3),FALSE))))</f>
        <v>0</v>
      </c>
      <c r="AV44" s="2" t="str">
        <f t="shared" si="3"/>
        <v>0724 09:00:00-QAC-STD-D-1-DI-CAL</v>
      </c>
      <c r="AW44" s="2"/>
      <c r="AX44" s="2"/>
      <c r="AY44" s="2"/>
    </row>
    <row r="45" spans="1:51" x14ac:dyDescent="0.35">
      <c r="A45" s="45">
        <v>45497</v>
      </c>
      <c r="B45" s="46">
        <v>0.375</v>
      </c>
      <c r="C45" s="2" t="s">
        <v>88</v>
      </c>
      <c r="D45" s="2" t="s">
        <v>89</v>
      </c>
      <c r="E45" s="2" t="s">
        <v>108</v>
      </c>
      <c r="F45" s="2">
        <v>1</v>
      </c>
      <c r="G45" s="2" t="s">
        <v>91</v>
      </c>
      <c r="H45" s="2" t="s">
        <v>92</v>
      </c>
      <c r="I45" s="2" t="s">
        <v>148</v>
      </c>
      <c r="J45" s="2">
        <v>186</v>
      </c>
      <c r="K45" s="47">
        <v>45497</v>
      </c>
      <c r="L45" s="46">
        <v>0.50940972222222225</v>
      </c>
      <c r="M45" s="2">
        <v>1</v>
      </c>
      <c r="N45" s="2" t="s">
        <v>149</v>
      </c>
      <c r="O45" s="2">
        <v>0.94</v>
      </c>
      <c r="P45" s="2">
        <v>9.3299999999999994E-2</v>
      </c>
      <c r="Q45" s="2">
        <v>150</v>
      </c>
      <c r="R45" s="2" t="s">
        <v>150</v>
      </c>
      <c r="S45" s="48">
        <f t="shared" si="0"/>
        <v>150</v>
      </c>
      <c r="T45" s="2" t="s">
        <v>156</v>
      </c>
      <c r="U45" s="48" t="s">
        <v>97</v>
      </c>
      <c r="V45" s="44" t="s">
        <v>97</v>
      </c>
      <c r="W45" s="44" t="s">
        <v>98</v>
      </c>
      <c r="X45" s="44" t="s">
        <v>97</v>
      </c>
      <c r="Y45" s="2" t="s">
        <v>99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 t="str">
        <f t="shared" si="6"/>
        <v>FALSE</v>
      </c>
      <c r="AM45" s="2" t="str">
        <f t="shared" si="6"/>
        <v>FALSE</v>
      </c>
      <c r="AN45" s="2" t="str">
        <f t="shared" si="6"/>
        <v>FALSE</v>
      </c>
      <c r="AO45" s="2" t="str">
        <f t="shared" si="7"/>
        <v>FALSE</v>
      </c>
      <c r="AP45" s="2" t="str">
        <f t="shared" si="7"/>
        <v>FALSE</v>
      </c>
      <c r="AQ45" s="2" t="b">
        <f>IF(AND(I45="TP",S45&lt;=150),VLOOKUP(AF45,[1]TPCalibEq150!$AZ$2:$BB$74,3,),IF(AND(I45="TDP",S45&lt;=150),VLOOKUP(AF45,[1]TPCalibEq150!$AZ$2:$BB$74,3,)))</f>
        <v>0</v>
      </c>
      <c r="AR45" s="2" t="b">
        <f>IF(AND(I45="TP",S45&lt;=300),VLOOKUP(AF45,[1]TPCalibEq300!$AZ$2:$BB$76,3,),IF(AND(I45="TDP",S45&lt;=300),VLOOKUP(AF45,[1]TPCalibEq300!$AZ$2:$BB$76,3,)))</f>
        <v>0</v>
      </c>
      <c r="AS45" s="2" t="b">
        <f>IF(AND(I45="TP",S45&lt;=500),VLOOKUP(AF45,[1]TPCalibEq500!$AZ$2:$BB$88,3,),IF(AND(I45="TDP",S45&lt;=500),VLOOKUP(AF45,[1]TPCalibEq500!$AZ$2:$BB$88,3,)))</f>
        <v>0</v>
      </c>
      <c r="AT45" s="2" t="b">
        <f>IF(AND(I45="TN",S45&lt;=2800),VLOOKUP(AF45,[1]TNCalibEq2500!$AZ$2:$BB$80,3,),IF(AND(I45="TDN",S45&lt;=2800),VLOOKUP(AF45,[1]TNCalibEq2500!$AZ$2:$BB$80,3,)))</f>
        <v>0</v>
      </c>
      <c r="AU45" s="2" t="b">
        <f>IF(I45="TP",VLOOKUP(AF45,[1]TPCalibEqFull!$AZ$2:$BB$164,3),IF(I45="TDP",VLOOKUP(AF45,[1]TPCalibEqFull!$AZ$2:$BB$164,3),IF(I45="TDN",VLOOKUP(AF45,[1]TNCalibEqFull!$AZ$2:$BB$116,3),IF(I45="TN",VLOOKUP(AF45,[1]TNCalibEqFull!$AZ$2:$BB$118,3),FALSE))))</f>
        <v>0</v>
      </c>
      <c r="AV45" s="2" t="str">
        <f t="shared" si="3"/>
        <v>0724 09:00:00-QAC-STD-C-1-DI-CAL</v>
      </c>
      <c r="AW45" s="2"/>
      <c r="AX45" s="2"/>
      <c r="AY45" s="2"/>
    </row>
    <row r="46" spans="1:51" x14ac:dyDescent="0.35">
      <c r="A46" s="45">
        <v>45497</v>
      </c>
      <c r="B46" s="46">
        <v>0.375</v>
      </c>
      <c r="C46" s="2" t="s">
        <v>88</v>
      </c>
      <c r="D46" s="2" t="s">
        <v>89</v>
      </c>
      <c r="E46" s="2" t="s">
        <v>110</v>
      </c>
      <c r="F46" s="2">
        <v>1</v>
      </c>
      <c r="G46" s="2" t="s">
        <v>91</v>
      </c>
      <c r="H46" s="2" t="s">
        <v>92</v>
      </c>
      <c r="I46" s="2" t="s">
        <v>148</v>
      </c>
      <c r="J46" s="2">
        <v>187</v>
      </c>
      <c r="K46" s="47">
        <v>45497</v>
      </c>
      <c r="L46" s="46">
        <v>0.5102430555555556</v>
      </c>
      <c r="M46" s="2">
        <v>1</v>
      </c>
      <c r="N46" s="2" t="s">
        <v>149</v>
      </c>
      <c r="O46" s="2">
        <v>1.65</v>
      </c>
      <c r="P46" s="2">
        <v>0.16600000000000001</v>
      </c>
      <c r="Q46" s="2">
        <v>300</v>
      </c>
      <c r="R46" s="2" t="s">
        <v>150</v>
      </c>
      <c r="S46" s="48">
        <f t="shared" si="0"/>
        <v>300</v>
      </c>
      <c r="T46" s="2" t="s">
        <v>157</v>
      </c>
      <c r="U46" s="48" t="s">
        <v>97</v>
      </c>
      <c r="V46" s="44" t="s">
        <v>97</v>
      </c>
      <c r="W46" s="44" t="s">
        <v>98</v>
      </c>
      <c r="X46" s="44" t="s">
        <v>97</v>
      </c>
      <c r="Y46" s="2" t="s">
        <v>99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 t="str">
        <f t="shared" si="6"/>
        <v>FALSE</v>
      </c>
      <c r="AM46" s="2" t="str">
        <f t="shared" si="6"/>
        <v>FALSE</v>
      </c>
      <c r="AN46" s="2" t="str">
        <f t="shared" si="6"/>
        <v>FALSE</v>
      </c>
      <c r="AO46" s="2" t="str">
        <f t="shared" si="7"/>
        <v>FALSE</v>
      </c>
      <c r="AP46" s="2" t="str">
        <f t="shared" si="7"/>
        <v>FALSE</v>
      </c>
      <c r="AQ46" s="2" t="b">
        <f>IF(AND(I46="TP",S46&lt;=150),VLOOKUP(AF46,[1]TPCalibEq150!$AZ$2:$BB$74,3,),IF(AND(I46="TDP",S46&lt;=150),VLOOKUP(AF46,[1]TPCalibEq150!$AZ$2:$BB$74,3,)))</f>
        <v>0</v>
      </c>
      <c r="AR46" s="2" t="b">
        <f>IF(AND(I46="TP",S46&lt;=300),VLOOKUP(AF46,[1]TPCalibEq300!$AZ$2:$BB$76,3,),IF(AND(I46="TDP",S46&lt;=300),VLOOKUP(AF46,[1]TPCalibEq300!$AZ$2:$BB$76,3,)))</f>
        <v>0</v>
      </c>
      <c r="AS46" s="2" t="b">
        <f>IF(AND(I46="TP",S46&lt;=500),VLOOKUP(AF46,[1]TPCalibEq500!$AZ$2:$BB$88,3,),IF(AND(I46="TDP",S46&lt;=500),VLOOKUP(AF46,[1]TPCalibEq500!$AZ$2:$BB$88,3,)))</f>
        <v>0</v>
      </c>
      <c r="AT46" s="2" t="b">
        <f>IF(AND(I46="TN",S46&lt;=2800),VLOOKUP(AF46,[1]TNCalibEq2500!$AZ$2:$BB$80,3,),IF(AND(I46="TDN",S46&lt;=2800),VLOOKUP(AF46,[1]TNCalibEq2500!$AZ$2:$BB$80,3,)))</f>
        <v>0</v>
      </c>
      <c r="AU46" s="2" t="b">
        <f>IF(I46="TP",VLOOKUP(AF46,[1]TPCalibEqFull!$AZ$2:$BB$164,3),IF(I46="TDP",VLOOKUP(AF46,[1]TPCalibEqFull!$AZ$2:$BB$164,3),IF(I46="TDN",VLOOKUP(AF46,[1]TNCalibEqFull!$AZ$2:$BB$116,3),IF(I46="TN",VLOOKUP(AF46,[1]TNCalibEqFull!$AZ$2:$BB$118,3),FALSE))))</f>
        <v>0</v>
      </c>
      <c r="AV46" s="2" t="str">
        <f t="shared" si="3"/>
        <v>0724 09:00:00-QAC-STD-B-1-DI-CAL</v>
      </c>
      <c r="AW46" s="2"/>
      <c r="AX46" s="2"/>
      <c r="AY46" s="2"/>
    </row>
    <row r="47" spans="1:51" x14ac:dyDescent="0.35">
      <c r="A47" s="45">
        <v>45497</v>
      </c>
      <c r="B47" s="46">
        <v>0.375</v>
      </c>
      <c r="C47" s="2" t="s">
        <v>88</v>
      </c>
      <c r="D47" s="2" t="s">
        <v>89</v>
      </c>
      <c r="E47" s="2" t="s">
        <v>112</v>
      </c>
      <c r="F47" s="2">
        <v>1</v>
      </c>
      <c r="G47" s="2" t="s">
        <v>91</v>
      </c>
      <c r="H47" s="2" t="s">
        <v>92</v>
      </c>
      <c r="I47" s="2" t="s">
        <v>148</v>
      </c>
      <c r="J47" s="2">
        <v>188</v>
      </c>
      <c r="K47" s="47">
        <v>45497</v>
      </c>
      <c r="L47" s="46">
        <v>0.51106481481481481</v>
      </c>
      <c r="M47" s="2">
        <v>1</v>
      </c>
      <c r="N47" s="2" t="s">
        <v>149</v>
      </c>
      <c r="O47" s="2">
        <v>2.8</v>
      </c>
      <c r="P47" s="2">
        <v>0.28499999999999998</v>
      </c>
      <c r="Q47" s="2">
        <v>500</v>
      </c>
      <c r="R47" s="2" t="s">
        <v>150</v>
      </c>
      <c r="S47" s="48">
        <f t="shared" si="0"/>
        <v>500</v>
      </c>
      <c r="T47" s="2" t="s">
        <v>158</v>
      </c>
      <c r="U47" s="48" t="s">
        <v>97</v>
      </c>
      <c r="V47" s="44" t="s">
        <v>97</v>
      </c>
      <c r="W47" s="44" t="s">
        <v>98</v>
      </c>
      <c r="X47" s="44" t="s">
        <v>97</v>
      </c>
      <c r="Y47" s="2" t="s">
        <v>99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 t="str">
        <f t="shared" si="6"/>
        <v>FALSE</v>
      </c>
      <c r="AM47" s="2" t="str">
        <f t="shared" si="6"/>
        <v>FALSE</v>
      </c>
      <c r="AN47" s="2" t="str">
        <f t="shared" si="6"/>
        <v>FALSE</v>
      </c>
      <c r="AO47" s="2" t="str">
        <f t="shared" si="7"/>
        <v>FALSE</v>
      </c>
      <c r="AP47" s="2" t="str">
        <f t="shared" si="7"/>
        <v>FALSE</v>
      </c>
      <c r="AQ47" s="2" t="b">
        <f>IF(AND(I47="TP",S47&lt;=150),VLOOKUP(AF47,[1]TPCalibEq150!$AZ$2:$BB$74,3,),IF(AND(I47="TDP",S47&lt;=150),VLOOKUP(AF47,[1]TPCalibEq150!$AZ$2:$BB$74,3,)))</f>
        <v>0</v>
      </c>
      <c r="AR47" s="2" t="b">
        <f>IF(AND(I47="TP",S47&lt;=300),VLOOKUP(AF47,[1]TPCalibEq300!$AZ$2:$BB$76,3,),IF(AND(I47="TDP",S47&lt;=300),VLOOKUP(AF47,[1]TPCalibEq300!$AZ$2:$BB$76,3,)))</f>
        <v>0</v>
      </c>
      <c r="AS47" s="2" t="b">
        <f>IF(AND(I47="TP",S47&lt;=500),VLOOKUP(AF47,[1]TPCalibEq500!$AZ$2:$BB$88,3,),IF(AND(I47="TDP",S47&lt;=500),VLOOKUP(AF47,[1]TPCalibEq500!$AZ$2:$BB$88,3,)))</f>
        <v>0</v>
      </c>
      <c r="AT47" s="2" t="b">
        <f>IF(AND(I47="TN",S47&lt;=2800),VLOOKUP(AF47,[1]TNCalibEq2500!$AZ$2:$BB$80,3,),IF(AND(I47="TDN",S47&lt;=2800),VLOOKUP(AF47,[1]TNCalibEq2500!$AZ$2:$BB$80,3,)))</f>
        <v>0</v>
      </c>
      <c r="AU47" s="2" t="b">
        <f>IF(I47="TP",VLOOKUP(AF47,[1]TPCalibEqFull!$AZ$2:$BB$164,3),IF(I47="TDP",VLOOKUP(AF47,[1]TPCalibEqFull!$AZ$2:$BB$164,3),IF(I47="TDN",VLOOKUP(AF47,[1]TNCalibEqFull!$AZ$2:$BB$116,3),IF(I47="TN",VLOOKUP(AF47,[1]TNCalibEqFull!$AZ$2:$BB$118,3),FALSE))))</f>
        <v>0</v>
      </c>
      <c r="AV47" s="2" t="str">
        <f t="shared" si="3"/>
        <v>0724 09:00:00-QAC-STD-A-1-DI-CAL</v>
      </c>
      <c r="AW47" s="2"/>
      <c r="AX47" s="2"/>
      <c r="AY47" s="2"/>
    </row>
    <row r="48" spans="1:51" x14ac:dyDescent="0.35">
      <c r="A48" s="45">
        <v>45497</v>
      </c>
      <c r="B48" s="46">
        <v>0.375</v>
      </c>
      <c r="C48" s="2" t="s">
        <v>88</v>
      </c>
      <c r="D48" s="2" t="s">
        <v>114</v>
      </c>
      <c r="E48" s="2" t="s">
        <v>112</v>
      </c>
      <c r="F48" s="2">
        <v>1</v>
      </c>
      <c r="G48" s="2" t="s">
        <v>91</v>
      </c>
      <c r="H48" s="2" t="s">
        <v>115</v>
      </c>
      <c r="I48" s="2" t="s">
        <v>148</v>
      </c>
      <c r="J48" s="2">
        <v>198</v>
      </c>
      <c r="K48" s="47">
        <v>45497</v>
      </c>
      <c r="L48" s="46">
        <v>0.51271990740740747</v>
      </c>
      <c r="M48" s="2">
        <v>1</v>
      </c>
      <c r="N48" s="2" t="s">
        <v>149</v>
      </c>
      <c r="O48" s="2">
        <v>1.8800000000000001E-2</v>
      </c>
      <c r="P48" s="2">
        <v>1.0200000000000001E-3</v>
      </c>
      <c r="Q48" s="2">
        <v>3.34</v>
      </c>
      <c r="R48" s="2" t="s">
        <v>150</v>
      </c>
      <c r="S48" s="48">
        <f t="shared" si="0"/>
        <v>3.34</v>
      </c>
      <c r="T48" s="2" t="s">
        <v>158</v>
      </c>
      <c r="U48" s="48">
        <v>3.34</v>
      </c>
      <c r="V48" s="44" t="s">
        <v>97</v>
      </c>
      <c r="W48" s="44" t="s">
        <v>98</v>
      </c>
      <c r="X48" s="44" t="s">
        <v>116</v>
      </c>
      <c r="Y48" s="2" t="s">
        <v>99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 t="str">
        <f t="shared" si="6"/>
        <v>FALSE</v>
      </c>
      <c r="AM48" s="2" t="str">
        <f t="shared" si="6"/>
        <v>FALSE</v>
      </c>
      <c r="AN48" s="2" t="str">
        <f t="shared" si="6"/>
        <v>FALSE</v>
      </c>
      <c r="AO48" s="2" t="str">
        <f t="shared" si="7"/>
        <v>FALSE</v>
      </c>
      <c r="AP48" s="2" t="str">
        <f t="shared" si="7"/>
        <v>FALSE</v>
      </c>
      <c r="AQ48" s="2" t="b">
        <f>IF(AND(I48="TP",S48&lt;=150),VLOOKUP(AF48,[1]TPCalibEq150!$AZ$2:$BB$74,3,),IF(AND(I48="TDP",S48&lt;=150),VLOOKUP(AF48,[1]TPCalibEq150!$AZ$2:$BB$74,3,)))</f>
        <v>0</v>
      </c>
      <c r="AR48" s="2" t="b">
        <f>IF(AND(I48="TP",S48&lt;=300),VLOOKUP(AF48,[1]TPCalibEq300!$AZ$2:$BB$76,3,),IF(AND(I48="TDP",S48&lt;=300),VLOOKUP(AF48,[1]TPCalibEq300!$AZ$2:$BB$76,3,)))</f>
        <v>0</v>
      </c>
      <c r="AS48" s="2" t="b">
        <f>IF(AND(I48="TP",S48&lt;=500),VLOOKUP(AF48,[1]TPCalibEq500!$AZ$2:$BB$88,3,),IF(AND(I48="TDP",S48&lt;=500),VLOOKUP(AF48,[1]TPCalibEq500!$AZ$2:$BB$88,3,)))</f>
        <v>0</v>
      </c>
      <c r="AT48" s="2" t="b">
        <f>IF(AND(I48="TN",S48&lt;=2800),VLOOKUP(AF48,[1]TNCalibEq2500!$AZ$2:$BB$80,3,),IF(AND(I48="TDN",S48&lt;=2800),VLOOKUP(AF48,[1]TNCalibEq2500!$AZ$2:$BB$80,3,)))</f>
        <v>0</v>
      </c>
      <c r="AU48" s="2" t="b">
        <f>IF(I48="TP",VLOOKUP(AF48,[1]TPCalibEqFull!$AZ$2:$BB$164,3),IF(I48="TDP",VLOOKUP(AF48,[1]TPCalibEqFull!$AZ$2:$BB$164,3),IF(I48="TDN",VLOOKUP(AF48,[1]TNCalibEqFull!$AZ$2:$BB$116,3),IF(I48="TN",VLOOKUP(AF48,[1]TNCalibEqFull!$AZ$2:$BB$118,3),FALSE))))</f>
        <v>0</v>
      </c>
      <c r="AV48" s="2" t="str">
        <f t="shared" si="3"/>
        <v>0724 09:00:00-QAC-BLK-A-1-DI-LAB</v>
      </c>
      <c r="AW48" s="2"/>
      <c r="AX48" s="2"/>
      <c r="AY48" s="2"/>
    </row>
    <row r="49" spans="1:51" x14ac:dyDescent="0.35">
      <c r="A49" s="45">
        <v>45497</v>
      </c>
      <c r="B49" s="46">
        <v>0.375</v>
      </c>
      <c r="C49" s="2" t="s">
        <v>88</v>
      </c>
      <c r="D49" s="2" t="s">
        <v>114</v>
      </c>
      <c r="E49" s="2" t="s">
        <v>112</v>
      </c>
      <c r="F49" s="2">
        <v>1</v>
      </c>
      <c r="G49" s="2" t="s">
        <v>91</v>
      </c>
      <c r="H49" s="2" t="s">
        <v>117</v>
      </c>
      <c r="I49" s="2" t="s">
        <v>148</v>
      </c>
      <c r="J49" s="2">
        <v>225</v>
      </c>
      <c r="K49" s="47">
        <v>45497</v>
      </c>
      <c r="L49" s="46">
        <v>0.51354166666666667</v>
      </c>
      <c r="M49" s="2">
        <v>1</v>
      </c>
      <c r="N49" s="2" t="s">
        <v>149</v>
      </c>
      <c r="O49" s="2">
        <v>0.88500000000000001</v>
      </c>
      <c r="P49" s="2">
        <v>8.6900000000000005E-2</v>
      </c>
      <c r="Q49" s="2">
        <v>157</v>
      </c>
      <c r="R49" s="2" t="s">
        <v>150</v>
      </c>
      <c r="S49" s="48">
        <f t="shared" si="0"/>
        <v>157</v>
      </c>
      <c r="T49" s="2" t="s">
        <v>158</v>
      </c>
      <c r="U49" s="48">
        <v>98.342399999999998</v>
      </c>
      <c r="V49" s="44">
        <v>156.25</v>
      </c>
      <c r="W49" s="44" t="s">
        <v>98</v>
      </c>
      <c r="X49" s="44" t="s">
        <v>118</v>
      </c>
      <c r="Y49" s="2" t="s">
        <v>99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 t="str">
        <f t="shared" si="6"/>
        <v>FALSE</v>
      </c>
      <c r="AM49" s="2" t="str">
        <f t="shared" si="6"/>
        <v>FALSE</v>
      </c>
      <c r="AN49" s="2" t="str">
        <f t="shared" si="6"/>
        <v>FALSE</v>
      </c>
      <c r="AO49" s="2" t="str">
        <f t="shared" si="7"/>
        <v>FALSE</v>
      </c>
      <c r="AP49" s="2" t="str">
        <f t="shared" si="7"/>
        <v>FALSE</v>
      </c>
      <c r="AQ49" s="2" t="b">
        <f>IF(AND(I49="TP",S49&lt;=150),VLOOKUP(AF49,[1]TPCalibEq150!$AZ$2:$BB$74,3,),IF(AND(I49="TDP",S49&lt;=150),VLOOKUP(AF49,[1]TPCalibEq150!$AZ$2:$BB$74,3,)))</f>
        <v>0</v>
      </c>
      <c r="AR49" s="2" t="b">
        <f>IF(AND(I49="TP",S49&lt;=300),VLOOKUP(AF49,[1]TPCalibEq300!$AZ$2:$BB$76,3,),IF(AND(I49="TDP",S49&lt;=300),VLOOKUP(AF49,[1]TPCalibEq300!$AZ$2:$BB$76,3,)))</f>
        <v>0</v>
      </c>
      <c r="AS49" s="2" t="b">
        <f>IF(AND(I49="TP",S49&lt;=500),VLOOKUP(AF49,[1]TPCalibEq500!$AZ$2:$BB$88,3,),IF(AND(I49="TDP",S49&lt;=500),VLOOKUP(AF49,[1]TPCalibEq500!$AZ$2:$BB$88,3,)))</f>
        <v>0</v>
      </c>
      <c r="AT49" s="2" t="b">
        <f>IF(AND(I49="TN",S49&lt;=2800),VLOOKUP(AF49,[1]TNCalibEq2500!$AZ$2:$BB$80,3,),IF(AND(I49="TDN",S49&lt;=2800),VLOOKUP(AF49,[1]TNCalibEq2500!$AZ$2:$BB$80,3,)))</f>
        <v>0</v>
      </c>
      <c r="AU49" s="2" t="b">
        <f>IF(I49="TP",VLOOKUP(AF49,[1]TPCalibEqFull!$AZ$2:$BB$164,3),IF(I49="TDP",VLOOKUP(AF49,[1]TPCalibEqFull!$AZ$2:$BB$164,3),IF(I49="TDN",VLOOKUP(AF49,[1]TNCalibEqFull!$AZ$2:$BB$116,3),IF(I49="TN",VLOOKUP(AF49,[1]TNCalibEqFull!$AZ$2:$BB$118,3),FALSE))))</f>
        <v>0</v>
      </c>
      <c r="AV49" s="2" t="str">
        <f t="shared" si="3"/>
        <v>0724 09:00:00-QAC-BLK-A-1-DI-SPK</v>
      </c>
      <c r="AW49" s="2"/>
      <c r="AX49" s="2"/>
      <c r="AY49" s="2"/>
    </row>
    <row r="50" spans="1:51" x14ac:dyDescent="0.35">
      <c r="A50" s="45">
        <v>45497</v>
      </c>
      <c r="B50" s="46">
        <v>0.375</v>
      </c>
      <c r="C50" s="2" t="s">
        <v>88</v>
      </c>
      <c r="D50" s="2" t="s">
        <v>89</v>
      </c>
      <c r="E50" s="2" t="s">
        <v>159</v>
      </c>
      <c r="F50" s="2">
        <v>1</v>
      </c>
      <c r="G50" s="2" t="s">
        <v>91</v>
      </c>
      <c r="H50" s="2" t="s">
        <v>120</v>
      </c>
      <c r="I50" s="2" t="s">
        <v>148</v>
      </c>
      <c r="J50" s="2">
        <v>197</v>
      </c>
      <c r="K50" s="47">
        <v>45497</v>
      </c>
      <c r="L50" s="46">
        <v>0.51770833333333333</v>
      </c>
      <c r="M50" s="2">
        <v>1</v>
      </c>
      <c r="N50" s="2" t="s">
        <v>149</v>
      </c>
      <c r="O50" s="2">
        <v>1.87</v>
      </c>
      <c r="P50" s="2">
        <v>0.189</v>
      </c>
      <c r="Q50" s="2">
        <v>333</v>
      </c>
      <c r="R50" s="2" t="s">
        <v>150</v>
      </c>
      <c r="S50" s="48">
        <f t="shared" si="0"/>
        <v>333</v>
      </c>
      <c r="T50" s="2" t="s">
        <v>158</v>
      </c>
      <c r="U50" s="48">
        <v>100</v>
      </c>
      <c r="V50" s="44">
        <v>333</v>
      </c>
      <c r="W50" s="44" t="s">
        <v>98</v>
      </c>
      <c r="X50" s="44" t="s">
        <v>121</v>
      </c>
      <c r="Y50" s="2" t="s">
        <v>99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 t="str">
        <f t="shared" si="6"/>
        <v>FALSE</v>
      </c>
      <c r="AM50" s="2" t="str">
        <f t="shared" si="6"/>
        <v>FALSE</v>
      </c>
      <c r="AN50" s="2" t="str">
        <f t="shared" si="6"/>
        <v>FALSE</v>
      </c>
      <c r="AO50" s="2" t="str">
        <f t="shared" si="7"/>
        <v>FALSE</v>
      </c>
      <c r="AP50" s="2" t="str">
        <f t="shared" si="7"/>
        <v>FALSE</v>
      </c>
      <c r="AQ50" s="2" t="b">
        <f>IF(AND(I50="TP",S50&lt;=150),VLOOKUP(AF50,[1]TPCalibEq150!$AZ$2:$BB$74,3,),IF(AND(I50="TDP",S50&lt;=150),VLOOKUP(AF50,[1]TPCalibEq150!$AZ$2:$BB$74,3,)))</f>
        <v>0</v>
      </c>
      <c r="AR50" s="2" t="b">
        <f>IF(AND(I50="TP",S50&lt;=300),VLOOKUP(AF50,[1]TPCalibEq300!$AZ$2:$BB$76,3,),IF(AND(I50="TDP",S50&lt;=300),VLOOKUP(AF50,[1]TPCalibEq300!$AZ$2:$BB$76,3,)))</f>
        <v>0</v>
      </c>
      <c r="AS50" s="2" t="b">
        <f>IF(AND(I50="TP",S50&lt;=500),VLOOKUP(AF50,[1]TPCalibEq500!$AZ$2:$BB$88,3,),IF(AND(I50="TDP",S50&lt;=500),VLOOKUP(AF50,[1]TPCalibEq500!$AZ$2:$BB$88,3,)))</f>
        <v>0</v>
      </c>
      <c r="AT50" s="2" t="b">
        <f>IF(AND(I50="TN",S50&lt;=2800),VLOOKUP(AF50,[1]TNCalibEq2500!$AZ$2:$BB$80,3,),IF(AND(I50="TDN",S50&lt;=2800),VLOOKUP(AF50,[1]TNCalibEq2500!$AZ$2:$BB$80,3,)))</f>
        <v>0</v>
      </c>
      <c r="AU50" s="2" t="b">
        <f>IF(I50="TP",VLOOKUP(AF50,[1]TPCalibEqFull!$AZ$2:$BB$164,3),IF(I50="TDP",VLOOKUP(AF50,[1]TPCalibEqFull!$AZ$2:$BB$164,3),IF(I50="TDN",VLOOKUP(AF50,[1]TNCalibEqFull!$AZ$2:$BB$116,3),IF(I50="TN",VLOOKUP(AF50,[1]TNCalibEqFull!$AZ$2:$BB$118,3),FALSE))))</f>
        <v>0</v>
      </c>
      <c r="AV50" s="2" t="str">
        <f t="shared" si="3"/>
        <v>0724 09:00:00-QAC-STD-24A-1-DI-PER</v>
      </c>
      <c r="AW50" s="2"/>
      <c r="AX50" s="2"/>
      <c r="AY50" s="2"/>
    </row>
    <row r="51" spans="1:51" x14ac:dyDescent="0.35">
      <c r="A51" s="45">
        <v>45497</v>
      </c>
      <c r="B51" s="46">
        <v>0.375</v>
      </c>
      <c r="C51" s="2" t="s">
        <v>88</v>
      </c>
      <c r="D51" s="2" t="s">
        <v>89</v>
      </c>
      <c r="E51" s="2" t="s">
        <v>160</v>
      </c>
      <c r="F51" s="2">
        <v>1</v>
      </c>
      <c r="G51" s="2" t="s">
        <v>91</v>
      </c>
      <c r="H51" s="2" t="s">
        <v>120</v>
      </c>
      <c r="I51" s="2" t="s">
        <v>148</v>
      </c>
      <c r="J51" s="2">
        <v>196</v>
      </c>
      <c r="K51" s="47">
        <v>45497</v>
      </c>
      <c r="L51" s="46">
        <v>0.51520833333333338</v>
      </c>
      <c r="M51" s="2">
        <v>1</v>
      </c>
      <c r="N51" s="2" t="s">
        <v>149</v>
      </c>
      <c r="O51" s="2">
        <v>1.1200000000000001</v>
      </c>
      <c r="P51" s="2">
        <v>0.112</v>
      </c>
      <c r="Q51" s="2">
        <v>199</v>
      </c>
      <c r="R51" s="2" t="s">
        <v>150</v>
      </c>
      <c r="S51" s="48">
        <f t="shared" si="0"/>
        <v>199</v>
      </c>
      <c r="T51" s="2" t="s">
        <v>158</v>
      </c>
      <c r="U51" s="48">
        <v>99.5</v>
      </c>
      <c r="V51" s="44">
        <v>200</v>
      </c>
      <c r="W51" s="44" t="s">
        <v>98</v>
      </c>
      <c r="X51" s="44" t="s">
        <v>121</v>
      </c>
      <c r="Y51" s="2" t="s">
        <v>99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 t="str">
        <f t="shared" si="6"/>
        <v>FALSE</v>
      </c>
      <c r="AM51" s="2" t="str">
        <f t="shared" si="6"/>
        <v>FALSE</v>
      </c>
      <c r="AN51" s="2" t="str">
        <f t="shared" si="6"/>
        <v>FALSE</v>
      </c>
      <c r="AO51" s="2" t="str">
        <f t="shared" si="7"/>
        <v>FALSE</v>
      </c>
      <c r="AP51" s="2" t="str">
        <f t="shared" si="7"/>
        <v>FALSE</v>
      </c>
      <c r="AQ51" s="2" t="b">
        <f>IF(AND(I51="TP",S51&lt;=150),VLOOKUP(AF51,[1]TPCalibEq150!$AZ$2:$BB$74,3,),IF(AND(I51="TDP",S51&lt;=150),VLOOKUP(AF51,[1]TPCalibEq150!$AZ$2:$BB$74,3,)))</f>
        <v>0</v>
      </c>
      <c r="AR51" s="2" t="b">
        <f>IF(AND(I51="TP",S51&lt;=300),VLOOKUP(AF51,[1]TPCalibEq300!$AZ$2:$BB$76,3,),IF(AND(I51="TDP",S51&lt;=300),VLOOKUP(AF51,[1]TPCalibEq300!$AZ$2:$BB$76,3,)))</f>
        <v>0</v>
      </c>
      <c r="AS51" s="2" t="b">
        <f>IF(AND(I51="TP",S51&lt;=500),VLOOKUP(AF51,[1]TPCalibEq500!$AZ$2:$BB$88,3,),IF(AND(I51="TDP",S51&lt;=500),VLOOKUP(AF51,[1]TPCalibEq500!$AZ$2:$BB$88,3,)))</f>
        <v>0</v>
      </c>
      <c r="AT51" s="2" t="b">
        <f>IF(AND(I51="TN",S51&lt;=2800),VLOOKUP(AF51,[1]TNCalibEq2500!$AZ$2:$BB$80,3,),IF(AND(I51="TDN",S51&lt;=2800),VLOOKUP(AF51,[1]TNCalibEq2500!$AZ$2:$BB$80,3,)))</f>
        <v>0</v>
      </c>
      <c r="AU51" s="2" t="b">
        <f>IF(I51="TP",VLOOKUP(AF51,[1]TPCalibEqFull!$AZ$2:$BB$164,3),IF(I51="TDP",VLOOKUP(AF51,[1]TPCalibEqFull!$AZ$2:$BB$164,3),IF(I51="TDN",VLOOKUP(AF51,[1]TNCalibEqFull!$AZ$2:$BB$116,3),IF(I51="TN",VLOOKUP(AF51,[1]TNCalibEqFull!$AZ$2:$BB$118,3),FALSE))))</f>
        <v>0</v>
      </c>
      <c r="AV51" s="2" t="str">
        <f t="shared" si="3"/>
        <v>0724 09:00:00-QAC-STD-22B-1-DI-PER</v>
      </c>
      <c r="AW51" s="2"/>
      <c r="AX51" s="2"/>
      <c r="AY51" s="2"/>
    </row>
    <row r="52" spans="1:51" x14ac:dyDescent="0.35">
      <c r="A52" s="45">
        <v>45497</v>
      </c>
      <c r="B52" s="46">
        <v>0.375</v>
      </c>
      <c r="C52" s="2" t="s">
        <v>88</v>
      </c>
      <c r="D52" s="2" t="s">
        <v>89</v>
      </c>
      <c r="E52" s="2" t="s">
        <v>106</v>
      </c>
      <c r="F52" s="2">
        <v>1</v>
      </c>
      <c r="G52" s="2" t="s">
        <v>91</v>
      </c>
      <c r="H52" s="2" t="s">
        <v>122</v>
      </c>
      <c r="I52" s="2" t="s">
        <v>148</v>
      </c>
      <c r="J52" s="2">
        <v>200</v>
      </c>
      <c r="K52" s="47">
        <v>45497</v>
      </c>
      <c r="L52" s="46">
        <v>0.58188657407407407</v>
      </c>
      <c r="M52" s="2">
        <v>1</v>
      </c>
      <c r="N52" s="2" t="s">
        <v>149</v>
      </c>
      <c r="O52" s="2">
        <v>0.42599999999999999</v>
      </c>
      <c r="P52" s="2">
        <v>4.0800000000000003E-2</v>
      </c>
      <c r="Q52" s="2">
        <v>75.8</v>
      </c>
      <c r="R52" s="2" t="s">
        <v>150</v>
      </c>
      <c r="S52" s="48">
        <f t="shared" si="0"/>
        <v>75.8</v>
      </c>
      <c r="T52" s="2" t="s">
        <v>158</v>
      </c>
      <c r="U52" s="48">
        <v>101.06666666666666</v>
      </c>
      <c r="V52" s="44">
        <v>75</v>
      </c>
      <c r="W52" s="44" t="s">
        <v>98</v>
      </c>
      <c r="X52" s="44" t="s">
        <v>123</v>
      </c>
      <c r="Y52" s="2" t="s">
        <v>99</v>
      </c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 t="str">
        <f t="shared" si="6"/>
        <v>FALSE</v>
      </c>
      <c r="AM52" s="2" t="str">
        <f t="shared" si="6"/>
        <v>FALSE</v>
      </c>
      <c r="AN52" s="2" t="str">
        <f t="shared" si="6"/>
        <v>FALSE</v>
      </c>
      <c r="AO52" s="2" t="str">
        <f t="shared" si="7"/>
        <v>FALSE</v>
      </c>
      <c r="AP52" s="2" t="str">
        <f t="shared" si="7"/>
        <v>FALSE</v>
      </c>
      <c r="AQ52" s="2" t="b">
        <f>IF(AND(I52="TP",S52&lt;=150),VLOOKUP(AF52,[1]TPCalibEq150!$AZ$2:$BB$74,3,),IF(AND(I52="TDP",S52&lt;=150),VLOOKUP(AF52,[1]TPCalibEq150!$AZ$2:$BB$74,3,)))</f>
        <v>0</v>
      </c>
      <c r="AR52" s="2" t="b">
        <f>IF(AND(I52="TP",S52&lt;=300),VLOOKUP(AF52,[1]TPCalibEq300!$AZ$2:$BB$76,3,),IF(AND(I52="TDP",S52&lt;=300),VLOOKUP(AF52,[1]TPCalibEq300!$AZ$2:$BB$76,3,)))</f>
        <v>0</v>
      </c>
      <c r="AS52" s="2" t="b">
        <f>IF(AND(I52="TP",S52&lt;=500),VLOOKUP(AF52,[1]TPCalibEq500!$AZ$2:$BB$88,3,),IF(AND(I52="TDP",S52&lt;=500),VLOOKUP(AF52,[1]TPCalibEq500!$AZ$2:$BB$88,3,)))</f>
        <v>0</v>
      </c>
      <c r="AT52" s="2" t="b">
        <f>IF(AND(I52="TN",S52&lt;=2800),VLOOKUP(AF52,[1]TNCalibEq2500!$AZ$2:$BB$80,3,),IF(AND(I52="TDN",S52&lt;=2800),VLOOKUP(AF52,[1]TNCalibEq2500!$AZ$2:$BB$80,3,)))</f>
        <v>0</v>
      </c>
      <c r="AU52" s="2" t="b">
        <f>IF(I52="TP",VLOOKUP(AF52,[1]TPCalibEqFull!$AZ$2:$BB$164,3),IF(I52="TDP",VLOOKUP(AF52,[1]TPCalibEqFull!$AZ$2:$BB$164,3),IF(I52="TDN",VLOOKUP(AF52,[1]TNCalibEqFull!$AZ$2:$BB$116,3),IF(I52="TN",VLOOKUP(AF52,[1]TNCalibEqFull!$AZ$2:$BB$118,3),FALSE))))</f>
        <v>0</v>
      </c>
      <c r="AV52" s="2" t="str">
        <f t="shared" si="3"/>
        <v>0724 09:00:00-QAC-STD-D-1-DI-CHK</v>
      </c>
      <c r="AW52" s="2"/>
      <c r="AX52" s="2"/>
      <c r="AY52" s="2"/>
    </row>
    <row r="53" spans="1:51" x14ac:dyDescent="0.35">
      <c r="A53" s="45">
        <v>45485</v>
      </c>
      <c r="B53" s="46">
        <v>0.5</v>
      </c>
      <c r="C53" s="2" t="s">
        <v>124</v>
      </c>
      <c r="D53" s="2">
        <v>0</v>
      </c>
      <c r="E53" s="2" t="s">
        <v>108</v>
      </c>
      <c r="F53" s="2">
        <v>1</v>
      </c>
      <c r="G53" s="2" t="s">
        <v>125</v>
      </c>
      <c r="H53" s="2" t="s">
        <v>126</v>
      </c>
      <c r="I53" s="2" t="s">
        <v>148</v>
      </c>
      <c r="J53" s="2">
        <v>33</v>
      </c>
      <c r="K53" s="47">
        <v>45497</v>
      </c>
      <c r="L53" s="46">
        <v>0.58273148148148146</v>
      </c>
      <c r="M53" s="2">
        <v>1</v>
      </c>
      <c r="N53" s="2" t="s">
        <v>149</v>
      </c>
      <c r="O53" s="2">
        <v>1.41</v>
      </c>
      <c r="P53" s="2">
        <v>0.184</v>
      </c>
      <c r="Q53" s="2">
        <v>251</v>
      </c>
      <c r="R53" s="2" t="s">
        <v>150</v>
      </c>
      <c r="S53" s="48">
        <f t="shared" si="0"/>
        <v>251</v>
      </c>
      <c r="T53" s="2" t="s">
        <v>158</v>
      </c>
      <c r="U53" s="48" t="s">
        <v>97</v>
      </c>
      <c r="V53" s="44" t="s">
        <v>97</v>
      </c>
      <c r="W53" s="44" t="s">
        <v>98</v>
      </c>
      <c r="X53" s="44" t="s">
        <v>97</v>
      </c>
      <c r="Y53" s="2" t="s">
        <v>99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 t="str">
        <f t="shared" si="6"/>
        <v>FALSE</v>
      </c>
      <c r="AM53" s="2" t="str">
        <f t="shared" si="6"/>
        <v>FALSE</v>
      </c>
      <c r="AN53" s="2" t="str">
        <f t="shared" si="6"/>
        <v>FALSE</v>
      </c>
      <c r="AO53" s="2" t="str">
        <f t="shared" si="7"/>
        <v>FALSE</v>
      </c>
      <c r="AP53" s="2" t="str">
        <f t="shared" si="7"/>
        <v>FALSE</v>
      </c>
      <c r="AQ53" s="2" t="b">
        <f>IF(AND(I53="TP",S53&lt;=150),VLOOKUP(AF53,[1]TPCalibEq150!$AZ$2:$BB$74,3,),IF(AND(I53="TDP",S53&lt;=150),VLOOKUP(AF53,[1]TPCalibEq150!$AZ$2:$BB$74,3,)))</f>
        <v>0</v>
      </c>
      <c r="AR53" s="2" t="b">
        <f>IF(AND(I53="TP",S53&lt;=300),VLOOKUP(AF53,[1]TPCalibEq300!$AZ$2:$BB$76,3,),IF(AND(I53="TDP",S53&lt;=300),VLOOKUP(AF53,[1]TPCalibEq300!$AZ$2:$BB$76,3,)))</f>
        <v>0</v>
      </c>
      <c r="AS53" s="2" t="b">
        <f>IF(AND(I53="TP",S53&lt;=500),VLOOKUP(AF53,[1]TPCalibEq500!$AZ$2:$BB$88,3,),IF(AND(I53="TDP",S53&lt;=500),VLOOKUP(AF53,[1]TPCalibEq500!$AZ$2:$BB$88,3,)))</f>
        <v>0</v>
      </c>
      <c r="AT53" s="2" t="b">
        <f>IF(AND(I53="TN",S53&lt;=2800),VLOOKUP(AF53,[1]TNCalibEq2500!$AZ$2:$BB$80,3,),IF(AND(I53="TDN",S53&lt;=2800),VLOOKUP(AF53,[1]TNCalibEq2500!$AZ$2:$BB$80,3,)))</f>
        <v>0</v>
      </c>
      <c r="AU53" s="2" t="b">
        <f>IF(I53="TP",VLOOKUP(AF53,[1]TPCalibEqFull!$AZ$2:$BB$164,3),IF(I53="TDP",VLOOKUP(AF53,[1]TPCalibEqFull!$AZ$2:$BB$164,3),IF(I53="TDN",VLOOKUP(AF53,[1]TNCalibEqFull!$AZ$2:$BB$116,3),IF(I53="TN",VLOOKUP(AF53,[1]TNCalibEqFull!$AZ$2:$BB$118,3),FALSE))))</f>
        <v>0</v>
      </c>
      <c r="AV53" s="2" t="str">
        <f t="shared" si="3"/>
        <v>0712 12:00:00-T1ANF-0-C-1-SW-UKN</v>
      </c>
      <c r="AW53" s="2"/>
      <c r="AX53" s="2"/>
      <c r="AY53" s="2"/>
    </row>
    <row r="54" spans="1:51" x14ac:dyDescent="0.35">
      <c r="A54" s="45">
        <v>45474</v>
      </c>
      <c r="B54" s="46">
        <v>0.5</v>
      </c>
      <c r="C54" s="2" t="s">
        <v>127</v>
      </c>
      <c r="D54" s="2">
        <v>0</v>
      </c>
      <c r="E54" s="2" t="s">
        <v>108</v>
      </c>
      <c r="F54" s="2">
        <v>2</v>
      </c>
      <c r="G54" s="2" t="s">
        <v>125</v>
      </c>
      <c r="H54" s="2" t="s">
        <v>126</v>
      </c>
      <c r="I54" s="2" t="s">
        <v>148</v>
      </c>
      <c r="J54" s="2">
        <v>34</v>
      </c>
      <c r="K54" s="47">
        <v>45497</v>
      </c>
      <c r="L54" s="46">
        <v>0.58356481481481481</v>
      </c>
      <c r="M54" s="2">
        <v>1</v>
      </c>
      <c r="N54" s="2" t="s">
        <v>149</v>
      </c>
      <c r="O54" s="2">
        <v>1.35</v>
      </c>
      <c r="P54" s="2">
        <v>0.17</v>
      </c>
      <c r="Q54" s="2">
        <v>239</v>
      </c>
      <c r="R54" s="2" t="s">
        <v>150</v>
      </c>
      <c r="S54" s="48">
        <f t="shared" si="0"/>
        <v>239</v>
      </c>
      <c r="T54" s="2" t="s">
        <v>158</v>
      </c>
      <c r="U54" s="48" t="s">
        <v>97</v>
      </c>
      <c r="V54" s="44" t="s">
        <v>97</v>
      </c>
      <c r="W54" s="44" t="s">
        <v>98</v>
      </c>
      <c r="X54" s="44" t="s">
        <v>97</v>
      </c>
      <c r="Y54" s="2" t="s">
        <v>99</v>
      </c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 t="str">
        <f t="shared" si="6"/>
        <v>FALSE</v>
      </c>
      <c r="AM54" s="2" t="str">
        <f t="shared" si="6"/>
        <v>FALSE</v>
      </c>
      <c r="AN54" s="2" t="str">
        <f t="shared" si="6"/>
        <v>FALSE</v>
      </c>
      <c r="AO54" s="2" t="str">
        <f t="shared" si="7"/>
        <v>FALSE</v>
      </c>
      <c r="AP54" s="2" t="str">
        <f t="shared" si="7"/>
        <v>FALSE</v>
      </c>
      <c r="AQ54" s="2" t="b">
        <f>IF(AND(I54="TP",S54&lt;=150),VLOOKUP(AF54,[1]TPCalibEq150!$AZ$2:$BB$74,3,),IF(AND(I54="TDP",S54&lt;=150),VLOOKUP(AF54,[1]TPCalibEq150!$AZ$2:$BB$74,3,)))</f>
        <v>0</v>
      </c>
      <c r="AR54" s="2" t="b">
        <f>IF(AND(I54="TP",S54&lt;=300),VLOOKUP(AF54,[1]TPCalibEq300!$AZ$2:$BB$76,3,),IF(AND(I54="TDP",S54&lt;=300),VLOOKUP(AF54,[1]TPCalibEq300!$AZ$2:$BB$76,3,)))</f>
        <v>0</v>
      </c>
      <c r="AS54" s="2" t="b">
        <f>IF(AND(I54="TP",S54&lt;=500),VLOOKUP(AF54,[1]TPCalibEq500!$AZ$2:$BB$88,3,),IF(AND(I54="TDP",S54&lt;=500),VLOOKUP(AF54,[1]TPCalibEq500!$AZ$2:$BB$88,3,)))</f>
        <v>0</v>
      </c>
      <c r="AT54" s="2" t="b">
        <f>IF(AND(I54="TN",S54&lt;=2800),VLOOKUP(AF54,[1]TNCalibEq2500!$AZ$2:$BB$80,3,),IF(AND(I54="TDN",S54&lt;=2800),VLOOKUP(AF54,[1]TNCalibEq2500!$AZ$2:$BB$80,3,)))</f>
        <v>0</v>
      </c>
      <c r="AU54" s="2" t="b">
        <f>IF(I54="TP",VLOOKUP(AF54,[1]TPCalibEqFull!$AZ$2:$BB$164,3),IF(I54="TDP",VLOOKUP(AF54,[1]TPCalibEqFull!$AZ$2:$BB$164,3),IF(I54="TDN",VLOOKUP(AF54,[1]TNCalibEqFull!$AZ$2:$BB$116,3),IF(I54="TN",VLOOKUP(AF54,[1]TNCalibEqFull!$AZ$2:$BB$118,3),FALSE))))</f>
        <v>0</v>
      </c>
      <c r="AV54" s="2" t="str">
        <f t="shared" si="3"/>
        <v>0701 12:00:00-T1BNF-0-C-2-SW-UKN</v>
      </c>
      <c r="AW54" s="2"/>
      <c r="AX54" s="2"/>
      <c r="AY54" s="2"/>
    </row>
    <row r="55" spans="1:51" x14ac:dyDescent="0.35">
      <c r="A55" s="45">
        <v>45485</v>
      </c>
      <c r="B55" s="46">
        <v>0.5</v>
      </c>
      <c r="C55" s="2" t="s">
        <v>128</v>
      </c>
      <c r="D55" s="2">
        <v>0</v>
      </c>
      <c r="E55" s="2" t="s">
        <v>108</v>
      </c>
      <c r="F55" s="2">
        <v>1</v>
      </c>
      <c r="G55" s="2" t="s">
        <v>125</v>
      </c>
      <c r="H55" s="2" t="s">
        <v>126</v>
      </c>
      <c r="I55" s="2" t="s">
        <v>148</v>
      </c>
      <c r="J55" s="2">
        <v>35</v>
      </c>
      <c r="K55" s="47">
        <v>45497</v>
      </c>
      <c r="L55" s="46">
        <v>0.58438657407407402</v>
      </c>
      <c r="M55" s="2">
        <v>1</v>
      </c>
      <c r="N55" s="2" t="s">
        <v>149</v>
      </c>
      <c r="O55" s="2">
        <v>1.4</v>
      </c>
      <c r="P55" s="2">
        <v>0.161</v>
      </c>
      <c r="Q55" s="2">
        <v>248</v>
      </c>
      <c r="R55" s="2" t="s">
        <v>150</v>
      </c>
      <c r="S55" s="48">
        <f t="shared" si="0"/>
        <v>248</v>
      </c>
      <c r="T55" s="2" t="s">
        <v>158</v>
      </c>
      <c r="U55" s="48" t="s">
        <v>97</v>
      </c>
      <c r="V55" s="44" t="s">
        <v>97</v>
      </c>
      <c r="W55" s="44" t="s">
        <v>98</v>
      </c>
      <c r="X55" s="44" t="s">
        <v>97</v>
      </c>
      <c r="Y55" s="2" t="s">
        <v>99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 t="str">
        <f t="shared" si="6"/>
        <v>FALSE</v>
      </c>
      <c r="AM55" s="2" t="str">
        <f t="shared" si="6"/>
        <v>FALSE</v>
      </c>
      <c r="AN55" s="2" t="str">
        <f t="shared" si="6"/>
        <v>FALSE</v>
      </c>
      <c r="AO55" s="2" t="str">
        <f t="shared" si="7"/>
        <v>FALSE</v>
      </c>
      <c r="AP55" s="2" t="str">
        <f t="shared" si="7"/>
        <v>FALSE</v>
      </c>
      <c r="AQ55" s="2" t="b">
        <f>IF(AND(I55="TP",S55&lt;=150),VLOOKUP(AF55,[1]TPCalibEq150!$AZ$2:$BB$74,3,),IF(AND(I55="TDP",S55&lt;=150),VLOOKUP(AF55,[1]TPCalibEq150!$AZ$2:$BB$74,3,)))</f>
        <v>0</v>
      </c>
      <c r="AR55" s="2" t="b">
        <f>IF(AND(I55="TP",S55&lt;=300),VLOOKUP(AF55,[1]TPCalibEq300!$AZ$2:$BB$76,3,),IF(AND(I55="TDP",S55&lt;=300),VLOOKUP(AF55,[1]TPCalibEq300!$AZ$2:$BB$76,3,)))</f>
        <v>0</v>
      </c>
      <c r="AS55" s="2" t="b">
        <f>IF(AND(I55="TP",S55&lt;=500),VLOOKUP(AF55,[1]TPCalibEq500!$AZ$2:$BB$88,3,),IF(AND(I55="TDP",S55&lt;=500),VLOOKUP(AF55,[1]TPCalibEq500!$AZ$2:$BB$88,3,)))</f>
        <v>0</v>
      </c>
      <c r="AT55" s="2" t="b">
        <f>IF(AND(I55="TN",S55&lt;=2800),VLOOKUP(AF55,[1]TNCalibEq2500!$AZ$2:$BB$80,3,),IF(AND(I55="TDN",S55&lt;=2800),VLOOKUP(AF55,[1]TNCalibEq2500!$AZ$2:$BB$80,3,)))</f>
        <v>0</v>
      </c>
      <c r="AU55" s="2" t="b">
        <f>IF(I55="TP",VLOOKUP(AF55,[1]TPCalibEqFull!$AZ$2:$BB$164,3),IF(I55="TDP",VLOOKUP(AF55,[1]TPCalibEqFull!$AZ$2:$BB$164,3),IF(I55="TDN",VLOOKUP(AF55,[1]TNCalibEqFull!$AZ$2:$BB$116,3),IF(I55="TN",VLOOKUP(AF55,[1]TNCalibEqFull!$AZ$2:$BB$118,3),FALSE))))</f>
        <v>0</v>
      </c>
      <c r="AV55" s="2" t="str">
        <f t="shared" si="3"/>
        <v>0712 12:00:00-C1ANF-0-C-1-SW-UKN</v>
      </c>
      <c r="AW55" s="2"/>
      <c r="AX55" s="2"/>
      <c r="AY55" s="2"/>
    </row>
    <row r="56" spans="1:51" x14ac:dyDescent="0.35">
      <c r="A56" s="45">
        <v>45485</v>
      </c>
      <c r="B56" s="46">
        <v>0.5</v>
      </c>
      <c r="C56" s="2" t="s">
        <v>129</v>
      </c>
      <c r="D56" s="2">
        <v>0</v>
      </c>
      <c r="E56" s="2" t="s">
        <v>108</v>
      </c>
      <c r="F56" s="2">
        <v>2</v>
      </c>
      <c r="G56" s="2" t="s">
        <v>125</v>
      </c>
      <c r="H56" s="2" t="s">
        <v>126</v>
      </c>
      <c r="I56" s="2" t="s">
        <v>148</v>
      </c>
      <c r="J56" s="2">
        <v>36</v>
      </c>
      <c r="K56" s="47">
        <v>45497</v>
      </c>
      <c r="L56" s="46">
        <v>0.58520833333333333</v>
      </c>
      <c r="M56" s="2">
        <v>1</v>
      </c>
      <c r="N56" s="2" t="s">
        <v>149</v>
      </c>
      <c r="O56" s="2">
        <v>1.43</v>
      </c>
      <c r="P56" s="2">
        <v>0.17100000000000001</v>
      </c>
      <c r="Q56" s="2">
        <v>254</v>
      </c>
      <c r="R56" s="2" t="s">
        <v>150</v>
      </c>
      <c r="S56" s="48">
        <f t="shared" si="0"/>
        <v>254</v>
      </c>
      <c r="T56" s="2" t="s">
        <v>158</v>
      </c>
      <c r="U56" s="48" t="s">
        <v>97</v>
      </c>
      <c r="V56" s="44" t="s">
        <v>97</v>
      </c>
      <c r="W56" s="44" t="s">
        <v>98</v>
      </c>
      <c r="X56" s="44" t="s">
        <v>97</v>
      </c>
      <c r="Y56" s="2" t="s">
        <v>99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 t="str">
        <f t="shared" si="6"/>
        <v>FALSE</v>
      </c>
      <c r="AM56" s="2" t="str">
        <f t="shared" si="6"/>
        <v>FALSE</v>
      </c>
      <c r="AN56" s="2" t="str">
        <f t="shared" si="6"/>
        <v>FALSE</v>
      </c>
      <c r="AO56" s="2" t="str">
        <f t="shared" si="7"/>
        <v>FALSE</v>
      </c>
      <c r="AP56" s="2" t="str">
        <f t="shared" si="7"/>
        <v>FALSE</v>
      </c>
      <c r="AQ56" s="2" t="b">
        <f>IF(AND(I56="TP",S56&lt;=150),VLOOKUP(AF56,[1]TPCalibEq150!$AZ$2:$BB$74,3,),IF(AND(I56="TDP",S56&lt;=150),VLOOKUP(AF56,[1]TPCalibEq150!$AZ$2:$BB$74,3,)))</f>
        <v>0</v>
      </c>
      <c r="AR56" s="2" t="b">
        <f>IF(AND(I56="TP",S56&lt;=300),VLOOKUP(AF56,[1]TPCalibEq300!$AZ$2:$BB$76,3,),IF(AND(I56="TDP",S56&lt;=300),VLOOKUP(AF56,[1]TPCalibEq300!$AZ$2:$BB$76,3,)))</f>
        <v>0</v>
      </c>
      <c r="AS56" s="2" t="b">
        <f>IF(AND(I56="TP",S56&lt;=500),VLOOKUP(AF56,[1]TPCalibEq500!$AZ$2:$BB$88,3,),IF(AND(I56="TDP",S56&lt;=500),VLOOKUP(AF56,[1]TPCalibEq500!$AZ$2:$BB$88,3,)))</f>
        <v>0</v>
      </c>
      <c r="AT56" s="2" t="b">
        <f>IF(AND(I56="TN",S56&lt;=2800),VLOOKUP(AF56,[1]TNCalibEq2500!$AZ$2:$BB$80,3,),IF(AND(I56="TDN",S56&lt;=2800),VLOOKUP(AF56,[1]TNCalibEq2500!$AZ$2:$BB$80,3,)))</f>
        <v>0</v>
      </c>
      <c r="AU56" s="2" t="b">
        <f>IF(I56="TP",VLOOKUP(AF56,[1]TPCalibEqFull!$AZ$2:$BB$164,3),IF(I56="TDP",VLOOKUP(AF56,[1]TPCalibEqFull!$AZ$2:$BB$164,3),IF(I56="TDN",VLOOKUP(AF56,[1]TNCalibEqFull!$AZ$2:$BB$116,3),IF(I56="TN",VLOOKUP(AF56,[1]TNCalibEqFull!$AZ$2:$BB$118,3),FALSE))))</f>
        <v>0</v>
      </c>
      <c r="AV56" s="2" t="str">
        <f t="shared" si="3"/>
        <v>0712 12:00:00-C1BNF-0-C-2-SW-UKN</v>
      </c>
      <c r="AW56" s="2"/>
      <c r="AX56" s="2"/>
      <c r="AY56" s="2"/>
    </row>
    <row r="57" spans="1:51" x14ac:dyDescent="0.35">
      <c r="A57" s="45">
        <v>45485</v>
      </c>
      <c r="B57" s="46">
        <v>0.5</v>
      </c>
      <c r="C57" s="2" t="s">
        <v>130</v>
      </c>
      <c r="D57" s="2">
        <v>0</v>
      </c>
      <c r="E57" s="2" t="s">
        <v>108</v>
      </c>
      <c r="F57" s="2">
        <v>1</v>
      </c>
      <c r="G57" s="2" t="s">
        <v>125</v>
      </c>
      <c r="H57" s="2" t="s">
        <v>126</v>
      </c>
      <c r="I57" s="2" t="s">
        <v>148</v>
      </c>
      <c r="J57" s="2">
        <v>37</v>
      </c>
      <c r="K57" s="47">
        <v>45497</v>
      </c>
      <c r="L57" s="46">
        <v>0.58604166666666668</v>
      </c>
      <c r="M57" s="2">
        <v>1</v>
      </c>
      <c r="N57" s="2" t="s">
        <v>149</v>
      </c>
      <c r="O57" s="2">
        <v>1.99</v>
      </c>
      <c r="P57" s="2">
        <v>0.214</v>
      </c>
      <c r="Q57" s="2">
        <v>354</v>
      </c>
      <c r="R57" s="2" t="s">
        <v>150</v>
      </c>
      <c r="S57" s="48">
        <f t="shared" si="0"/>
        <v>354</v>
      </c>
      <c r="T57" s="2" t="s">
        <v>158</v>
      </c>
      <c r="U57" s="48" t="s">
        <v>97</v>
      </c>
      <c r="V57" s="44" t="s">
        <v>97</v>
      </c>
      <c r="W57" s="44" t="s">
        <v>98</v>
      </c>
      <c r="X57" s="44" t="s">
        <v>97</v>
      </c>
      <c r="Y57" s="2" t="s">
        <v>99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 t="str">
        <f t="shared" si="6"/>
        <v>FALSE</v>
      </c>
      <c r="AM57" s="2" t="str">
        <f t="shared" si="6"/>
        <v>FALSE</v>
      </c>
      <c r="AN57" s="2" t="str">
        <f t="shared" si="6"/>
        <v>FALSE</v>
      </c>
      <c r="AO57" s="2" t="str">
        <f t="shared" si="7"/>
        <v>FALSE</v>
      </c>
      <c r="AP57" s="2" t="str">
        <f t="shared" si="7"/>
        <v>FALSE</v>
      </c>
      <c r="AQ57" s="2" t="b">
        <f>IF(AND(I57="TP",S57&lt;=150),VLOOKUP(AF57,[1]TPCalibEq150!$AZ$2:$BB$74,3,),IF(AND(I57="TDP",S57&lt;=150),VLOOKUP(AF57,[1]TPCalibEq150!$AZ$2:$BB$74,3,)))</f>
        <v>0</v>
      </c>
      <c r="AR57" s="2" t="b">
        <f>IF(AND(I57="TP",S57&lt;=300),VLOOKUP(AF57,[1]TPCalibEq300!$AZ$2:$BB$76,3,),IF(AND(I57="TDP",S57&lt;=300),VLOOKUP(AF57,[1]TPCalibEq300!$AZ$2:$BB$76,3,)))</f>
        <v>0</v>
      </c>
      <c r="AS57" s="2" t="b">
        <f>IF(AND(I57="TP",S57&lt;=500),VLOOKUP(AF57,[1]TPCalibEq500!$AZ$2:$BB$88,3,),IF(AND(I57="TDP",S57&lt;=500),VLOOKUP(AF57,[1]TPCalibEq500!$AZ$2:$BB$88,3,)))</f>
        <v>0</v>
      </c>
      <c r="AT57" s="2" t="b">
        <f>IF(AND(I57="TN",S57&lt;=2800),VLOOKUP(AF57,[1]TNCalibEq2500!$AZ$2:$BB$80,3,),IF(AND(I57="TDN",S57&lt;=2800),VLOOKUP(AF57,[1]TNCalibEq2500!$AZ$2:$BB$80,3,)))</f>
        <v>0</v>
      </c>
      <c r="AU57" s="2" t="b">
        <f>IF(I57="TP",VLOOKUP(AF57,[1]TPCalibEqFull!$AZ$2:$BB$164,3),IF(I57="TDP",VLOOKUP(AF57,[1]TPCalibEqFull!$AZ$2:$BB$164,3),IF(I57="TDN",VLOOKUP(AF57,[1]TNCalibEqFull!$AZ$2:$BB$116,3),IF(I57="TN",VLOOKUP(AF57,[1]TNCalibEqFull!$AZ$2:$BB$118,3),FALSE))))</f>
        <v>0</v>
      </c>
      <c r="AV57" s="2" t="str">
        <f t="shared" si="3"/>
        <v>0712 12:00:00-T2ANF-0-C-1-SW-UKN</v>
      </c>
      <c r="AW57" s="2"/>
      <c r="AX57" s="2"/>
      <c r="AY57" s="2"/>
    </row>
    <row r="58" spans="1:51" x14ac:dyDescent="0.35">
      <c r="A58" s="45">
        <v>45485</v>
      </c>
      <c r="B58" s="46">
        <v>0.5</v>
      </c>
      <c r="C58" s="2" t="s">
        <v>131</v>
      </c>
      <c r="D58" s="2">
        <v>0</v>
      </c>
      <c r="E58" s="2" t="s">
        <v>108</v>
      </c>
      <c r="F58" s="2">
        <v>2</v>
      </c>
      <c r="G58" s="2" t="s">
        <v>125</v>
      </c>
      <c r="H58" s="2" t="s">
        <v>126</v>
      </c>
      <c r="I58" s="2" t="s">
        <v>148</v>
      </c>
      <c r="J58" s="2">
        <v>38</v>
      </c>
      <c r="K58" s="47">
        <v>45497</v>
      </c>
      <c r="L58" s="46">
        <v>0.58686342592592589</v>
      </c>
      <c r="M58" s="2">
        <v>1</v>
      </c>
      <c r="N58" s="2" t="s">
        <v>149</v>
      </c>
      <c r="O58" s="2">
        <v>1.97</v>
      </c>
      <c r="P58" s="2">
        <v>0.21099999999999999</v>
      </c>
      <c r="Q58" s="2">
        <v>350</v>
      </c>
      <c r="R58" s="2" t="s">
        <v>150</v>
      </c>
      <c r="S58" s="48">
        <f t="shared" si="0"/>
        <v>350</v>
      </c>
      <c r="T58" s="2" t="s">
        <v>158</v>
      </c>
      <c r="U58" s="48" t="s">
        <v>97</v>
      </c>
      <c r="V58" s="44" t="s">
        <v>97</v>
      </c>
      <c r="W58" s="44" t="s">
        <v>98</v>
      </c>
      <c r="X58" s="44" t="s">
        <v>97</v>
      </c>
      <c r="Y58" s="2" t="s">
        <v>99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 t="str">
        <f t="shared" si="6"/>
        <v>FALSE</v>
      </c>
      <c r="AM58" s="2" t="str">
        <f t="shared" si="6"/>
        <v>FALSE</v>
      </c>
      <c r="AN58" s="2" t="str">
        <f t="shared" si="6"/>
        <v>FALSE</v>
      </c>
      <c r="AO58" s="2" t="str">
        <f t="shared" si="7"/>
        <v>FALSE</v>
      </c>
      <c r="AP58" s="2" t="str">
        <f t="shared" si="7"/>
        <v>FALSE</v>
      </c>
      <c r="AQ58" s="2" t="b">
        <f>IF(AND(I58="TP",S58&lt;=150),VLOOKUP(AF58,[1]TPCalibEq150!$AZ$2:$BB$74,3,),IF(AND(I58="TDP",S58&lt;=150),VLOOKUP(AF58,[1]TPCalibEq150!$AZ$2:$BB$74,3,)))</f>
        <v>0</v>
      </c>
      <c r="AR58" s="2" t="b">
        <f>IF(AND(I58="TP",S58&lt;=300),VLOOKUP(AF58,[1]TPCalibEq300!$AZ$2:$BB$76,3,),IF(AND(I58="TDP",S58&lt;=300),VLOOKUP(AF58,[1]TPCalibEq300!$AZ$2:$BB$76,3,)))</f>
        <v>0</v>
      </c>
      <c r="AS58" s="2" t="b">
        <f>IF(AND(I58="TP",S58&lt;=500),VLOOKUP(AF58,[1]TPCalibEq500!$AZ$2:$BB$88,3,),IF(AND(I58="TDP",S58&lt;=500),VLOOKUP(AF58,[1]TPCalibEq500!$AZ$2:$BB$88,3,)))</f>
        <v>0</v>
      </c>
      <c r="AT58" s="2" t="b">
        <f>IF(AND(I58="TN",S58&lt;=2800),VLOOKUP(AF58,[1]TNCalibEq2500!$AZ$2:$BB$80,3,),IF(AND(I58="TDN",S58&lt;=2800),VLOOKUP(AF58,[1]TNCalibEq2500!$AZ$2:$BB$80,3,)))</f>
        <v>0</v>
      </c>
      <c r="AU58" s="2" t="b">
        <f>IF(I58="TP",VLOOKUP(AF58,[1]TPCalibEqFull!$AZ$2:$BB$164,3),IF(I58="TDP",VLOOKUP(AF58,[1]TPCalibEqFull!$AZ$2:$BB$164,3),IF(I58="TDN",VLOOKUP(AF58,[1]TNCalibEqFull!$AZ$2:$BB$116,3),IF(I58="TN",VLOOKUP(AF58,[1]TNCalibEqFull!$AZ$2:$BB$118,3),FALSE))))</f>
        <v>0</v>
      </c>
      <c r="AV58" s="2" t="str">
        <f t="shared" si="3"/>
        <v>0712 12:00:00-T2BNF-0-C-2-SW-UKN</v>
      </c>
      <c r="AW58" s="2"/>
      <c r="AX58" s="2"/>
      <c r="AY58" s="2"/>
    </row>
    <row r="59" spans="1:51" x14ac:dyDescent="0.35">
      <c r="A59" s="45">
        <v>45485</v>
      </c>
      <c r="B59" s="46">
        <v>0.5</v>
      </c>
      <c r="C59" s="2" t="s">
        <v>132</v>
      </c>
      <c r="D59" s="2">
        <v>0</v>
      </c>
      <c r="E59" s="2" t="s">
        <v>108</v>
      </c>
      <c r="F59" s="2">
        <v>1</v>
      </c>
      <c r="G59" s="2" t="s">
        <v>125</v>
      </c>
      <c r="H59" s="2" t="s">
        <v>126</v>
      </c>
      <c r="I59" s="2" t="s">
        <v>148</v>
      </c>
      <c r="J59" s="2">
        <v>39</v>
      </c>
      <c r="K59" s="47">
        <v>45497</v>
      </c>
      <c r="L59" s="46">
        <v>0.5876851851851852</v>
      </c>
      <c r="M59" s="2">
        <v>1</v>
      </c>
      <c r="N59" s="2" t="s">
        <v>149</v>
      </c>
      <c r="O59" s="2">
        <v>1.19</v>
      </c>
      <c r="P59" s="2">
        <v>0.13500000000000001</v>
      </c>
      <c r="Q59" s="2">
        <v>212</v>
      </c>
      <c r="R59" s="2" t="s">
        <v>150</v>
      </c>
      <c r="S59" s="48">
        <f t="shared" si="0"/>
        <v>212</v>
      </c>
      <c r="T59" s="2" t="s">
        <v>158</v>
      </c>
      <c r="U59" s="48" t="s">
        <v>97</v>
      </c>
      <c r="V59" s="44" t="s">
        <v>97</v>
      </c>
      <c r="W59" s="44" t="s">
        <v>98</v>
      </c>
      <c r="X59" s="44" t="s">
        <v>97</v>
      </c>
      <c r="Y59" s="2" t="s">
        <v>99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 t="str">
        <f t="shared" si="6"/>
        <v>FALSE</v>
      </c>
      <c r="AM59" s="2" t="str">
        <f t="shared" si="6"/>
        <v>FALSE</v>
      </c>
      <c r="AN59" s="2" t="str">
        <f t="shared" si="6"/>
        <v>FALSE</v>
      </c>
      <c r="AO59" s="2" t="str">
        <f t="shared" si="7"/>
        <v>FALSE</v>
      </c>
      <c r="AP59" s="2" t="str">
        <f t="shared" si="7"/>
        <v>FALSE</v>
      </c>
      <c r="AQ59" s="2" t="b">
        <f>IF(AND(I59="TP",S59&lt;=150),VLOOKUP(AF59,[1]TPCalibEq150!$AZ$2:$BB$74,3,),IF(AND(I59="TDP",S59&lt;=150),VLOOKUP(AF59,[1]TPCalibEq150!$AZ$2:$BB$74,3,)))</f>
        <v>0</v>
      </c>
      <c r="AR59" s="2" t="b">
        <f>IF(AND(I59="TP",S59&lt;=300),VLOOKUP(AF59,[1]TPCalibEq300!$AZ$2:$BB$76,3,),IF(AND(I59="TDP",S59&lt;=300),VLOOKUP(AF59,[1]TPCalibEq300!$AZ$2:$BB$76,3,)))</f>
        <v>0</v>
      </c>
      <c r="AS59" s="2" t="b">
        <f>IF(AND(I59="TP",S59&lt;=500),VLOOKUP(AF59,[1]TPCalibEq500!$AZ$2:$BB$88,3,),IF(AND(I59="TDP",S59&lt;=500),VLOOKUP(AF59,[1]TPCalibEq500!$AZ$2:$BB$88,3,)))</f>
        <v>0</v>
      </c>
      <c r="AT59" s="2" t="b">
        <f>IF(AND(I59="TN",S59&lt;=2800),VLOOKUP(AF59,[1]TNCalibEq2500!$AZ$2:$BB$80,3,),IF(AND(I59="TDN",S59&lt;=2800),VLOOKUP(AF59,[1]TNCalibEq2500!$AZ$2:$BB$80,3,)))</f>
        <v>0</v>
      </c>
      <c r="AU59" s="2" t="b">
        <f>IF(I59="TP",VLOOKUP(AF59,[1]TPCalibEqFull!$AZ$2:$BB$164,3),IF(I59="TDP",VLOOKUP(AF59,[1]TPCalibEqFull!$AZ$2:$BB$164,3),IF(I59="TDN",VLOOKUP(AF59,[1]TNCalibEqFull!$AZ$2:$BB$116,3),IF(I59="TN",VLOOKUP(AF59,[1]TNCalibEqFull!$AZ$2:$BB$118,3),FALSE))))</f>
        <v>0</v>
      </c>
      <c r="AV59" s="2" t="str">
        <f t="shared" si="3"/>
        <v>0712 12:00:00-C2ANF-0-C-1-SW-UKN</v>
      </c>
      <c r="AW59" s="2"/>
      <c r="AX59" s="2"/>
      <c r="AY59" s="2"/>
    </row>
    <row r="60" spans="1:51" x14ac:dyDescent="0.35">
      <c r="A60" s="45">
        <v>45485</v>
      </c>
      <c r="B60" s="46">
        <v>0.5</v>
      </c>
      <c r="C60" s="2" t="s">
        <v>133</v>
      </c>
      <c r="D60" s="2">
        <v>0</v>
      </c>
      <c r="E60" s="2" t="s">
        <v>108</v>
      </c>
      <c r="F60" s="2">
        <v>2</v>
      </c>
      <c r="G60" s="2" t="s">
        <v>125</v>
      </c>
      <c r="H60" s="2" t="s">
        <v>126</v>
      </c>
      <c r="I60" s="2" t="s">
        <v>148</v>
      </c>
      <c r="J60" s="2">
        <v>40</v>
      </c>
      <c r="K60" s="47">
        <v>45497</v>
      </c>
      <c r="L60" s="46">
        <v>0.58850694444444451</v>
      </c>
      <c r="M60" s="2">
        <v>1</v>
      </c>
      <c r="N60" s="2" t="s">
        <v>149</v>
      </c>
      <c r="O60" s="2">
        <v>1.17</v>
      </c>
      <c r="P60" s="2">
        <v>0.13400000000000001</v>
      </c>
      <c r="Q60" s="2">
        <v>208</v>
      </c>
      <c r="R60" s="2" t="s">
        <v>150</v>
      </c>
      <c r="S60" s="48">
        <f t="shared" si="0"/>
        <v>208</v>
      </c>
      <c r="T60" s="2" t="s">
        <v>158</v>
      </c>
      <c r="U60" s="48" t="s">
        <v>97</v>
      </c>
      <c r="V60" s="44" t="s">
        <v>97</v>
      </c>
      <c r="W60" s="44" t="s">
        <v>98</v>
      </c>
      <c r="X60" s="44" t="s">
        <v>97</v>
      </c>
      <c r="Y60" s="2" t="s">
        <v>99</v>
      </c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 t="str">
        <f t="shared" ref="AL60:AN75" si="8">IF($O60="", "", IF(AQ60&lt;&gt;"", SUBSTITUTE(SUBSTITUTE(AQ60, "x", "*"&amp;$O60&amp;"^", 1), "x", "*"&amp;$O60, 1), ""))</f>
        <v>FALSE</v>
      </c>
      <c r="AM60" s="2" t="str">
        <f t="shared" si="8"/>
        <v>FALSE</v>
      </c>
      <c r="AN60" s="2" t="str">
        <f t="shared" si="8"/>
        <v>FALSE</v>
      </c>
      <c r="AO60" s="2" t="str">
        <f t="shared" ref="AO60:AP75" si="9">IF($O60="", "FALSE", IF(AT60&lt;&gt;"FALSE", SUBSTITUTE(SUBSTITUTE(AT60, "x", "*"&amp;$O60&amp;"^", 1), "x", "*"&amp;$O60, 1), ""))</f>
        <v>FALSE</v>
      </c>
      <c r="AP60" s="2" t="str">
        <f t="shared" si="9"/>
        <v>FALSE</v>
      </c>
      <c r="AQ60" s="2" t="b">
        <f>IF(AND(I60="TP",S60&lt;=150),VLOOKUP(AF60,[1]TPCalibEq150!$AZ$2:$BB$74,3,),IF(AND(I60="TDP",S60&lt;=150),VLOOKUP(AF60,[1]TPCalibEq150!$AZ$2:$BB$74,3,)))</f>
        <v>0</v>
      </c>
      <c r="AR60" s="2" t="b">
        <f>IF(AND(I60="TP",S60&lt;=300),VLOOKUP(AF60,[1]TPCalibEq300!$AZ$2:$BB$76,3,),IF(AND(I60="TDP",S60&lt;=300),VLOOKUP(AF60,[1]TPCalibEq300!$AZ$2:$BB$76,3,)))</f>
        <v>0</v>
      </c>
      <c r="AS60" s="2" t="b">
        <f>IF(AND(I60="TP",S60&lt;=500),VLOOKUP(AF60,[1]TPCalibEq500!$AZ$2:$BB$88,3,),IF(AND(I60="TDP",S60&lt;=500),VLOOKUP(AF60,[1]TPCalibEq500!$AZ$2:$BB$88,3,)))</f>
        <v>0</v>
      </c>
      <c r="AT60" s="2" t="b">
        <f>IF(AND(I60="TN",S60&lt;=2800),VLOOKUP(AF60,[1]TNCalibEq2500!$AZ$2:$BB$80,3,),IF(AND(I60="TDN",S60&lt;=2800),VLOOKUP(AF60,[1]TNCalibEq2500!$AZ$2:$BB$80,3,)))</f>
        <v>0</v>
      </c>
      <c r="AU60" s="2" t="b">
        <f>IF(I60="TP",VLOOKUP(AF60,[1]TPCalibEqFull!$AZ$2:$BB$164,3),IF(I60="TDP",VLOOKUP(AF60,[1]TPCalibEqFull!$AZ$2:$BB$164,3),IF(I60="TDN",VLOOKUP(AF60,[1]TNCalibEqFull!$AZ$2:$BB$116,3),IF(I60="TN",VLOOKUP(AF60,[1]TNCalibEqFull!$AZ$2:$BB$118,3),FALSE))))</f>
        <v>0</v>
      </c>
      <c r="AV60" s="2" t="str">
        <f t="shared" si="3"/>
        <v>0712 12:00:00-C2BNF-0-C-2-SW-UKN</v>
      </c>
      <c r="AW60" s="2"/>
      <c r="AX60" s="2"/>
      <c r="AY60" s="2"/>
    </row>
    <row r="61" spans="1:51" x14ac:dyDescent="0.35">
      <c r="A61" s="45">
        <v>45485</v>
      </c>
      <c r="B61" s="46">
        <v>0.5</v>
      </c>
      <c r="C61" s="2" t="s">
        <v>133</v>
      </c>
      <c r="D61" s="2">
        <v>0</v>
      </c>
      <c r="E61" s="2" t="s">
        <v>108</v>
      </c>
      <c r="F61" s="2">
        <v>2</v>
      </c>
      <c r="G61" s="2" t="s">
        <v>125</v>
      </c>
      <c r="H61" s="2" t="s">
        <v>134</v>
      </c>
      <c r="I61" s="2" t="s">
        <v>148</v>
      </c>
      <c r="J61" s="2">
        <v>40</v>
      </c>
      <c r="K61" s="47">
        <v>45497</v>
      </c>
      <c r="L61" s="46">
        <v>0.58932870370370372</v>
      </c>
      <c r="M61" s="2">
        <v>1</v>
      </c>
      <c r="N61" s="2" t="s">
        <v>149</v>
      </c>
      <c r="O61" s="2">
        <v>1.1499999999999999</v>
      </c>
      <c r="P61" s="2">
        <v>0.13100000000000001</v>
      </c>
      <c r="Q61" s="2">
        <v>205</v>
      </c>
      <c r="R61" s="2" t="s">
        <v>150</v>
      </c>
      <c r="S61" s="48">
        <f t="shared" si="0"/>
        <v>205</v>
      </c>
      <c r="T61" s="2" t="s">
        <v>158</v>
      </c>
      <c r="U61" s="48">
        <v>1.4527845036319613</v>
      </c>
      <c r="V61" s="44" t="s">
        <v>97</v>
      </c>
      <c r="W61" s="44" t="s">
        <v>98</v>
      </c>
      <c r="X61" s="44" t="s">
        <v>135</v>
      </c>
      <c r="Y61" s="2" t="s">
        <v>99</v>
      </c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 t="str">
        <f t="shared" si="8"/>
        <v>FALSE</v>
      </c>
      <c r="AM61" s="2" t="str">
        <f t="shared" si="8"/>
        <v>FALSE</v>
      </c>
      <c r="AN61" s="2" t="str">
        <f t="shared" si="8"/>
        <v>FALSE</v>
      </c>
      <c r="AO61" s="2" t="str">
        <f t="shared" si="9"/>
        <v>FALSE</v>
      </c>
      <c r="AP61" s="2" t="str">
        <f t="shared" si="9"/>
        <v>FALSE</v>
      </c>
      <c r="AQ61" s="2" t="b">
        <f>IF(AND(I61="TP",S61&lt;=150),VLOOKUP(AF61,[1]TPCalibEq150!$AZ$2:$BB$74,3,),IF(AND(I61="TDP",S61&lt;=150),VLOOKUP(AF61,[1]TPCalibEq150!$AZ$2:$BB$74,3,)))</f>
        <v>0</v>
      </c>
      <c r="AR61" s="2" t="b">
        <f>IF(AND(I61="TP",S61&lt;=300),VLOOKUP(AF61,[1]TPCalibEq300!$AZ$2:$BB$76,3,),IF(AND(I61="TDP",S61&lt;=300),VLOOKUP(AF61,[1]TPCalibEq300!$AZ$2:$BB$76,3,)))</f>
        <v>0</v>
      </c>
      <c r="AS61" s="2" t="b">
        <f>IF(AND(I61="TP",S61&lt;=500),VLOOKUP(AF61,[1]TPCalibEq500!$AZ$2:$BB$88,3,),IF(AND(I61="TDP",S61&lt;=500),VLOOKUP(AF61,[1]TPCalibEq500!$AZ$2:$BB$88,3,)))</f>
        <v>0</v>
      </c>
      <c r="AT61" s="2" t="b">
        <f>IF(AND(I61="TN",S61&lt;=2800),VLOOKUP(AF61,[1]TNCalibEq2500!$AZ$2:$BB$80,3,),IF(AND(I61="TDN",S61&lt;=2800),VLOOKUP(AF61,[1]TNCalibEq2500!$AZ$2:$BB$80,3,)))</f>
        <v>0</v>
      </c>
      <c r="AU61" s="2" t="b">
        <f>IF(I61="TP",VLOOKUP(AF61,[1]TPCalibEqFull!$AZ$2:$BB$164,3),IF(I61="TDP",VLOOKUP(AF61,[1]TPCalibEqFull!$AZ$2:$BB$164,3),IF(I61="TDN",VLOOKUP(AF61,[1]TNCalibEqFull!$AZ$2:$BB$116,3),IF(I61="TN",VLOOKUP(AF61,[1]TNCalibEqFull!$AZ$2:$BB$118,3),FALSE))))</f>
        <v>0</v>
      </c>
      <c r="AV61" s="2" t="str">
        <f t="shared" si="3"/>
        <v>0712 12:00:00-C2BNF-0-C-2-SW-DUP</v>
      </c>
      <c r="AW61" s="2"/>
      <c r="AX61" s="2"/>
      <c r="AY61" s="2"/>
    </row>
    <row r="62" spans="1:51" x14ac:dyDescent="0.35">
      <c r="A62" s="45">
        <v>45485</v>
      </c>
      <c r="B62" s="46">
        <v>0.5</v>
      </c>
      <c r="C62" s="2" t="s">
        <v>133</v>
      </c>
      <c r="D62" s="2">
        <v>0</v>
      </c>
      <c r="E62" s="2" t="s">
        <v>108</v>
      </c>
      <c r="F62" s="2">
        <v>2</v>
      </c>
      <c r="G62" s="2" t="s">
        <v>125</v>
      </c>
      <c r="H62" s="2" t="s">
        <v>117</v>
      </c>
      <c r="I62" s="2" t="s">
        <v>148</v>
      </c>
      <c r="J62" s="2">
        <v>84</v>
      </c>
      <c r="K62" s="47">
        <v>45497</v>
      </c>
      <c r="L62" s="46">
        <v>0.59015046296296292</v>
      </c>
      <c r="M62" s="2">
        <v>1</v>
      </c>
      <c r="N62" s="2" t="s">
        <v>149</v>
      </c>
      <c r="O62" s="2">
        <v>2.02</v>
      </c>
      <c r="P62" s="2">
        <v>0.214</v>
      </c>
      <c r="Q62" s="2">
        <v>360</v>
      </c>
      <c r="R62" s="2" t="s">
        <v>150</v>
      </c>
      <c r="S62" s="48">
        <f t="shared" si="0"/>
        <v>360</v>
      </c>
      <c r="T62" s="2" t="s">
        <v>158</v>
      </c>
      <c r="U62" s="48">
        <v>99.2</v>
      </c>
      <c r="V62" s="44">
        <v>156.25</v>
      </c>
      <c r="W62" s="44" t="s">
        <v>98</v>
      </c>
      <c r="X62" s="44" t="s">
        <v>118</v>
      </c>
      <c r="Y62" s="2" t="s">
        <v>99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 t="str">
        <f t="shared" si="8"/>
        <v>FALSE</v>
      </c>
      <c r="AM62" s="2" t="str">
        <f t="shared" si="8"/>
        <v>FALSE</v>
      </c>
      <c r="AN62" s="2" t="str">
        <f t="shared" si="8"/>
        <v>FALSE</v>
      </c>
      <c r="AO62" s="2" t="str">
        <f t="shared" si="9"/>
        <v>FALSE</v>
      </c>
      <c r="AP62" s="2" t="str">
        <f t="shared" si="9"/>
        <v>FALSE</v>
      </c>
      <c r="AQ62" s="2" t="b">
        <f>IF(AND(I62="TP",S62&lt;=150),VLOOKUP(AF62,[1]TPCalibEq150!$AZ$2:$BB$74,3,),IF(AND(I62="TDP",S62&lt;=150),VLOOKUP(AF62,[1]TPCalibEq150!$AZ$2:$BB$74,3,)))</f>
        <v>0</v>
      </c>
      <c r="AR62" s="2" t="b">
        <f>IF(AND(I62="TP",S62&lt;=300),VLOOKUP(AF62,[1]TPCalibEq300!$AZ$2:$BB$76,3,),IF(AND(I62="TDP",S62&lt;=300),VLOOKUP(AF62,[1]TPCalibEq300!$AZ$2:$BB$76,3,)))</f>
        <v>0</v>
      </c>
      <c r="AS62" s="2" t="b">
        <f>IF(AND(I62="TP",S62&lt;=500),VLOOKUP(AF62,[1]TPCalibEq500!$AZ$2:$BB$88,3,),IF(AND(I62="TDP",S62&lt;=500),VLOOKUP(AF62,[1]TPCalibEq500!$AZ$2:$BB$88,3,)))</f>
        <v>0</v>
      </c>
      <c r="AT62" s="2" t="b">
        <f>IF(AND(I62="TN",S62&lt;=2800),VLOOKUP(AF62,[1]TNCalibEq2500!$AZ$2:$BB$80,3,),IF(AND(I62="TDN",S62&lt;=2800),VLOOKUP(AF62,[1]TNCalibEq2500!$AZ$2:$BB$80,3,)))</f>
        <v>0</v>
      </c>
      <c r="AU62" s="2" t="b">
        <f>IF(I62="TP",VLOOKUP(AF62,[1]TPCalibEqFull!$AZ$2:$BB$164,3),IF(I62="TDP",VLOOKUP(AF62,[1]TPCalibEqFull!$AZ$2:$BB$164,3),IF(I62="TDN",VLOOKUP(AF62,[1]TNCalibEqFull!$AZ$2:$BB$116,3),IF(I62="TN",VLOOKUP(AF62,[1]TNCalibEqFull!$AZ$2:$BB$118,3),FALSE))))</f>
        <v>0</v>
      </c>
      <c r="AV62" s="2" t="str">
        <f t="shared" si="3"/>
        <v>0712 12:00:00-C2BNF-0-C-2-SW-SPK</v>
      </c>
      <c r="AW62" s="2"/>
      <c r="AX62" s="2"/>
      <c r="AY62" s="2"/>
    </row>
    <row r="63" spans="1:51" x14ac:dyDescent="0.35">
      <c r="A63" s="45">
        <v>45497</v>
      </c>
      <c r="B63" s="46">
        <v>0.375</v>
      </c>
      <c r="C63" s="2" t="s">
        <v>88</v>
      </c>
      <c r="D63" s="2" t="s">
        <v>89</v>
      </c>
      <c r="E63" s="2" t="s">
        <v>106</v>
      </c>
      <c r="F63" s="2">
        <v>1</v>
      </c>
      <c r="G63" s="2" t="s">
        <v>91</v>
      </c>
      <c r="H63" s="2" t="s">
        <v>122</v>
      </c>
      <c r="I63" s="2" t="s">
        <v>148</v>
      </c>
      <c r="J63" s="2">
        <v>201</v>
      </c>
      <c r="K63" s="47">
        <v>45497</v>
      </c>
      <c r="L63" s="46">
        <v>0.59262731481481479</v>
      </c>
      <c r="M63" s="2">
        <v>1</v>
      </c>
      <c r="N63" s="2" t="s">
        <v>149</v>
      </c>
      <c r="O63" s="2">
        <v>0.46800000000000003</v>
      </c>
      <c r="P63" s="2">
        <v>4.4299999999999999E-2</v>
      </c>
      <c r="Q63" s="2">
        <v>83.2</v>
      </c>
      <c r="R63" s="2" t="s">
        <v>150</v>
      </c>
      <c r="S63" s="48">
        <f t="shared" si="0"/>
        <v>83.2</v>
      </c>
      <c r="T63" s="2" t="s">
        <v>158</v>
      </c>
      <c r="U63" s="48">
        <v>110.93333333333332</v>
      </c>
      <c r="V63" s="44">
        <v>75</v>
      </c>
      <c r="W63" s="44" t="s">
        <v>98</v>
      </c>
      <c r="X63" s="44" t="s">
        <v>123</v>
      </c>
      <c r="Y63" s="2" t="s">
        <v>99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 t="str">
        <f t="shared" si="8"/>
        <v>FALSE</v>
      </c>
      <c r="AM63" s="2" t="str">
        <f t="shared" si="8"/>
        <v>FALSE</v>
      </c>
      <c r="AN63" s="2" t="str">
        <f t="shared" si="8"/>
        <v>FALSE</v>
      </c>
      <c r="AO63" s="2" t="str">
        <f t="shared" si="9"/>
        <v>FALSE</v>
      </c>
      <c r="AP63" s="2" t="str">
        <f t="shared" si="9"/>
        <v>FALSE</v>
      </c>
      <c r="AQ63" s="2" t="b">
        <f>IF(AND(I63="TP",S63&lt;=150),VLOOKUP(AF63,[1]TPCalibEq150!$AZ$2:$BB$74,3,),IF(AND(I63="TDP",S63&lt;=150),VLOOKUP(AF63,[1]TPCalibEq150!$AZ$2:$BB$74,3,)))</f>
        <v>0</v>
      </c>
      <c r="AR63" s="2" t="b">
        <f>IF(AND(I63="TP",S63&lt;=300),VLOOKUP(AF63,[1]TPCalibEq300!$AZ$2:$BB$76,3,),IF(AND(I63="TDP",S63&lt;=300),VLOOKUP(AF63,[1]TPCalibEq300!$AZ$2:$BB$76,3,)))</f>
        <v>0</v>
      </c>
      <c r="AS63" s="2" t="b">
        <f>IF(AND(I63="TP",S63&lt;=500),VLOOKUP(AF63,[1]TPCalibEq500!$AZ$2:$BB$88,3,),IF(AND(I63="TDP",S63&lt;=500),VLOOKUP(AF63,[1]TPCalibEq500!$AZ$2:$BB$88,3,)))</f>
        <v>0</v>
      </c>
      <c r="AT63" s="2" t="b">
        <f>IF(AND(I63="TN",S63&lt;=2800),VLOOKUP(AF63,[1]TNCalibEq2500!$AZ$2:$BB$80,3,),IF(AND(I63="TDN",S63&lt;=2800),VLOOKUP(AF63,[1]TNCalibEq2500!$AZ$2:$BB$80,3,)))</f>
        <v>0</v>
      </c>
      <c r="AU63" s="2" t="b">
        <f>IF(I63="TP",VLOOKUP(AF63,[1]TPCalibEqFull!$AZ$2:$BB$164,3),IF(I63="TDP",VLOOKUP(AF63,[1]TPCalibEqFull!$AZ$2:$BB$164,3),IF(I63="TDN",VLOOKUP(AF63,[1]TNCalibEqFull!$AZ$2:$BB$116,3),IF(I63="TN",VLOOKUP(AF63,[1]TNCalibEqFull!$AZ$2:$BB$118,3),FALSE))))</f>
        <v>0</v>
      </c>
      <c r="AV63" s="2" t="str">
        <f t="shared" si="3"/>
        <v>0724 09:00:00-QAC-STD-D-1-DI-CHK</v>
      </c>
      <c r="AW63" s="2"/>
      <c r="AX63" s="2"/>
      <c r="AY63" s="2"/>
    </row>
    <row r="64" spans="1:51" x14ac:dyDescent="0.35">
      <c r="A64" s="45">
        <v>45497</v>
      </c>
      <c r="B64" s="46">
        <v>0.375</v>
      </c>
      <c r="C64" s="2" t="s">
        <v>88</v>
      </c>
      <c r="D64" s="2" t="s">
        <v>89</v>
      </c>
      <c r="E64" s="2" t="s">
        <v>106</v>
      </c>
      <c r="F64" s="2">
        <v>1</v>
      </c>
      <c r="G64" s="2" t="s">
        <v>91</v>
      </c>
      <c r="H64" s="2" t="s">
        <v>122</v>
      </c>
      <c r="I64" s="2" t="s">
        <v>148</v>
      </c>
      <c r="J64" s="2">
        <v>199</v>
      </c>
      <c r="K64" s="47">
        <v>45497</v>
      </c>
      <c r="L64" s="46">
        <v>0.63590277777777782</v>
      </c>
      <c r="M64" s="2">
        <v>1</v>
      </c>
      <c r="N64" s="2" t="s">
        <v>149</v>
      </c>
      <c r="O64" s="2">
        <v>0.46700000000000003</v>
      </c>
      <c r="P64" s="2">
        <v>4.2999999999999997E-2</v>
      </c>
      <c r="Q64" s="2">
        <v>83.1</v>
      </c>
      <c r="R64" s="2" t="s">
        <v>150</v>
      </c>
      <c r="S64" s="48">
        <f t="shared" si="0"/>
        <v>83.1</v>
      </c>
      <c r="T64" s="2" t="s">
        <v>158</v>
      </c>
      <c r="U64" s="48">
        <v>110.79999999999998</v>
      </c>
      <c r="V64" s="44">
        <v>75</v>
      </c>
      <c r="W64" s="44" t="s">
        <v>98</v>
      </c>
      <c r="X64" s="44" t="s">
        <v>123</v>
      </c>
      <c r="Y64" s="2" t="s">
        <v>161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 t="str">
        <f t="shared" si="8"/>
        <v>FALSE</v>
      </c>
      <c r="AM64" s="2" t="str">
        <f t="shared" si="8"/>
        <v>FALSE</v>
      </c>
      <c r="AN64" s="2" t="str">
        <f t="shared" si="8"/>
        <v>FALSE</v>
      </c>
      <c r="AO64" s="2" t="str">
        <f t="shared" si="9"/>
        <v>FALSE</v>
      </c>
      <c r="AP64" s="2" t="str">
        <f t="shared" si="9"/>
        <v>FALSE</v>
      </c>
      <c r="AQ64" s="2" t="b">
        <f>IF(AND(I64="TP",S64&lt;=150),VLOOKUP(AF64,[1]TPCalibEq150!$AZ$2:$BB$74,3,),IF(AND(I64="TDP",S64&lt;=150),VLOOKUP(AF64,[1]TPCalibEq150!$AZ$2:$BB$74,3,)))</f>
        <v>0</v>
      </c>
      <c r="AR64" s="2" t="b">
        <f>IF(AND(I64="TP",S64&lt;=300),VLOOKUP(AF64,[1]TPCalibEq300!$AZ$2:$BB$76,3,),IF(AND(I64="TDP",S64&lt;=300),VLOOKUP(AF64,[1]TPCalibEq300!$AZ$2:$BB$76,3,)))</f>
        <v>0</v>
      </c>
      <c r="AS64" s="2" t="b">
        <f>IF(AND(I64="TP",S64&lt;=500),VLOOKUP(AF64,[1]TPCalibEq500!$AZ$2:$BB$88,3,),IF(AND(I64="TDP",S64&lt;=500),VLOOKUP(AF64,[1]TPCalibEq500!$AZ$2:$BB$88,3,)))</f>
        <v>0</v>
      </c>
      <c r="AT64" s="2" t="b">
        <f>IF(AND(I64="TN",S64&lt;=2800),VLOOKUP(AF64,[1]TNCalibEq2500!$AZ$2:$BB$80,3,),IF(AND(I64="TDN",S64&lt;=2800),VLOOKUP(AF64,[1]TNCalibEq2500!$AZ$2:$BB$80,3,)))</f>
        <v>0</v>
      </c>
      <c r="AU64" s="2" t="b">
        <f>IF(I64="TP",VLOOKUP(AF64,[1]TPCalibEqFull!$AZ$2:$BB$164,3),IF(I64="TDP",VLOOKUP(AF64,[1]TPCalibEqFull!$AZ$2:$BB$164,3),IF(I64="TDN",VLOOKUP(AF64,[1]TNCalibEqFull!$AZ$2:$BB$116,3),IF(I64="TN",VLOOKUP(AF64,[1]TNCalibEqFull!$AZ$2:$BB$118,3),FALSE))))</f>
        <v>0</v>
      </c>
      <c r="AV64" s="2" t="str">
        <f t="shared" si="3"/>
        <v>0724 09:00:00-QAC-STD-D-1-DI-CHK</v>
      </c>
      <c r="AW64" s="2"/>
      <c r="AX64" s="2"/>
      <c r="AY64" s="2"/>
    </row>
    <row r="65" spans="1:51" x14ac:dyDescent="0.35">
      <c r="A65" s="45">
        <v>45485</v>
      </c>
      <c r="B65" s="46">
        <v>0.5</v>
      </c>
      <c r="C65" s="2" t="s">
        <v>136</v>
      </c>
      <c r="D65" s="2">
        <v>0</v>
      </c>
      <c r="E65" s="2" t="s">
        <v>137</v>
      </c>
      <c r="F65" s="2">
        <v>1</v>
      </c>
      <c r="G65" s="2" t="s">
        <v>125</v>
      </c>
      <c r="H65" s="2" t="s">
        <v>126</v>
      </c>
      <c r="I65" s="2" t="s">
        <v>162</v>
      </c>
      <c r="J65" s="2">
        <v>73</v>
      </c>
      <c r="K65" s="47">
        <v>45497</v>
      </c>
      <c r="L65" s="46">
        <v>0.63673611111111106</v>
      </c>
      <c r="M65" s="2">
        <v>1</v>
      </c>
      <c r="N65" s="2" t="s">
        <v>149</v>
      </c>
      <c r="O65" s="2">
        <v>2.76E-2</v>
      </c>
      <c r="P65" s="2">
        <v>1.9499999999999999E-3</v>
      </c>
      <c r="Q65" s="2">
        <v>4.9000000000000004</v>
      </c>
      <c r="R65" s="2" t="s">
        <v>150</v>
      </c>
      <c r="S65" s="48">
        <f t="shared" si="0"/>
        <v>4.9000000000000004</v>
      </c>
      <c r="T65" s="2" t="s">
        <v>158</v>
      </c>
      <c r="U65" s="48" t="s">
        <v>97</v>
      </c>
      <c r="V65" s="44" t="s">
        <v>97</v>
      </c>
      <c r="W65" s="44" t="s">
        <v>98</v>
      </c>
      <c r="X65" s="44" t="s">
        <v>97</v>
      </c>
      <c r="Y65" s="2" t="s">
        <v>161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 t="str">
        <f t="shared" si="8"/>
        <v>FALSE</v>
      </c>
      <c r="AM65" s="2" t="str">
        <f t="shared" si="8"/>
        <v>FALSE</v>
      </c>
      <c r="AN65" s="2" t="str">
        <f t="shared" si="8"/>
        <v>FALSE</v>
      </c>
      <c r="AO65" s="2" t="str">
        <f t="shared" si="9"/>
        <v>FALSE</v>
      </c>
      <c r="AP65" s="2" t="str">
        <f t="shared" si="9"/>
        <v>FALSE</v>
      </c>
      <c r="AQ65" s="2" t="b">
        <f>IF(AND(I65="TP",S65&lt;=150),VLOOKUP(AF65,[1]TPCalibEq150!$AZ$2:$BB$74,3,),IF(AND(I65="TDP",S65&lt;=150),VLOOKUP(AF65,[1]TPCalibEq150!$AZ$2:$BB$74,3,)))</f>
        <v>0</v>
      </c>
      <c r="AR65" s="2" t="b">
        <f>IF(AND(I65="TP",S65&lt;=300),VLOOKUP(AF65,[1]TPCalibEq300!$AZ$2:$BB$76,3,),IF(AND(I65="TDP",S65&lt;=300),VLOOKUP(AF65,[1]TPCalibEq300!$AZ$2:$BB$76,3,)))</f>
        <v>0</v>
      </c>
      <c r="AS65" s="2" t="b">
        <f>IF(AND(I65="TP",S65&lt;=500),VLOOKUP(AF65,[1]TPCalibEq500!$AZ$2:$BB$88,3,),IF(AND(I65="TDP",S65&lt;=500),VLOOKUP(AF65,[1]TPCalibEq500!$AZ$2:$BB$88,3,)))</f>
        <v>0</v>
      </c>
      <c r="AT65" s="2" t="b">
        <f>IF(AND(I65="TN",S65&lt;=2800),VLOOKUP(AF65,[1]TNCalibEq2500!$AZ$2:$BB$80,3,),IF(AND(I65="TDN",S65&lt;=2800),VLOOKUP(AF65,[1]TNCalibEq2500!$AZ$2:$BB$80,3,)))</f>
        <v>0</v>
      </c>
      <c r="AU65" s="2" t="b">
        <f>IF(I65="TP",VLOOKUP(AF65,[1]TPCalibEqFull!$AZ$2:$BB$164,3),IF(I65="TDP",VLOOKUP(AF65,[1]TPCalibEqFull!$AZ$2:$BB$164,3),IF(I65="TDN",VLOOKUP(AF65,[1]TNCalibEqFull!$AZ$2:$BB$116,3),IF(I65="TN",VLOOKUP(AF65,[1]TNCalibEqFull!$AZ$2:$BB$118,3),FALSE))))</f>
        <v>0</v>
      </c>
      <c r="AV65" s="2" t="str">
        <f t="shared" si="3"/>
        <v>0712 12:00:00-T1AF-0-FIL-1-SW-UKN</v>
      </c>
      <c r="AW65" s="2"/>
      <c r="AX65" s="2"/>
      <c r="AY65" s="2"/>
    </row>
    <row r="66" spans="1:51" x14ac:dyDescent="0.35">
      <c r="A66" s="45">
        <v>45474</v>
      </c>
      <c r="B66" s="46">
        <v>0.5</v>
      </c>
      <c r="C66" s="2" t="s">
        <v>139</v>
      </c>
      <c r="D66" s="2">
        <v>0</v>
      </c>
      <c r="E66" s="2" t="s">
        <v>137</v>
      </c>
      <c r="F66" s="2">
        <v>2</v>
      </c>
      <c r="G66" s="2" t="s">
        <v>125</v>
      </c>
      <c r="H66" s="2" t="s">
        <v>126</v>
      </c>
      <c r="I66" s="2" t="s">
        <v>162</v>
      </c>
      <c r="J66" s="2">
        <v>74</v>
      </c>
      <c r="K66" s="47">
        <v>45497</v>
      </c>
      <c r="L66" s="46">
        <v>0.63755787037037037</v>
      </c>
      <c r="M66" s="2">
        <v>1</v>
      </c>
      <c r="N66" s="2" t="s">
        <v>149</v>
      </c>
      <c r="O66" s="2">
        <v>2.3E-2</v>
      </c>
      <c r="P66" s="2">
        <v>1.48E-3</v>
      </c>
      <c r="Q66" s="2">
        <v>4.09</v>
      </c>
      <c r="R66" s="2" t="s">
        <v>150</v>
      </c>
      <c r="S66" s="48">
        <f t="shared" ref="S66:S129" si="10">IF(OR(AND(I66&lt;&gt;"TP", I66&lt;&gt;"TDP",I66&lt;&gt;"TN", I66&lt;&gt;"TDN"),H66="CAL"), Q66*M66, IF(OR(AND(I66="TN", Q66&gt;2500), AND(I66="TDN", Q66&gt;2500)),MAX(Q66, AK66)*M66, IF(OR(AND(I66="TN", Q66&lt;=2500), AND(I66="TDN", Q66&lt;=2500)),MAX(Q66, AJ66,AK66)*M66, IF(OR(AND(I66="TP",Q66&gt;500), AND(I66="TDP", Q66&gt;500)),MAX(Q66,AK66)*M66,IF(OR(AND(I66="TP",Q66&lt;=150), AND(I66="TDP", Q66&lt;=150)),MAX(Q66,AG66:AI66,AK66)*M66,IF(OR(AND(I66="TP",Q66&lt;=300), AND(I66="TDP", Q66&lt;=300)),MAX(Q66,AH66,AI66,AK66)*M66,IF(OR(AND(I66="TP",Q66&lt;=500), AND(I66="TDP", Q66&lt;=500)),MAX(Q66,AI66,AK66)*M66,"")))))))</f>
        <v>4.09</v>
      </c>
      <c r="T66" s="2" t="s">
        <v>158</v>
      </c>
      <c r="U66" s="48" t="s">
        <v>97</v>
      </c>
      <c r="V66" s="44" t="s">
        <v>97</v>
      </c>
      <c r="W66" s="44" t="s">
        <v>98</v>
      </c>
      <c r="X66" s="44" t="s">
        <v>97</v>
      </c>
      <c r="Y66" s="2" t="s">
        <v>161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 t="str">
        <f t="shared" si="8"/>
        <v>FALSE</v>
      </c>
      <c r="AM66" s="2" t="str">
        <f t="shared" si="8"/>
        <v>FALSE</v>
      </c>
      <c r="AN66" s="2" t="str">
        <f t="shared" si="8"/>
        <v>FALSE</v>
      </c>
      <c r="AO66" s="2" t="str">
        <f t="shared" si="9"/>
        <v>FALSE</v>
      </c>
      <c r="AP66" s="2" t="str">
        <f t="shared" si="9"/>
        <v>FALSE</v>
      </c>
      <c r="AQ66" s="2" t="b">
        <f>IF(AND(I66="TP",S66&lt;=150),VLOOKUP(AF66,[1]TPCalibEq150!$AZ$2:$BB$74,3,),IF(AND(I66="TDP",S66&lt;=150),VLOOKUP(AF66,[1]TPCalibEq150!$AZ$2:$BB$74,3,)))</f>
        <v>0</v>
      </c>
      <c r="AR66" s="2" t="b">
        <f>IF(AND(I66="TP",S66&lt;=300),VLOOKUP(AF66,[1]TPCalibEq300!$AZ$2:$BB$76,3,),IF(AND(I66="TDP",S66&lt;=300),VLOOKUP(AF66,[1]TPCalibEq300!$AZ$2:$BB$76,3,)))</f>
        <v>0</v>
      </c>
      <c r="AS66" s="2" t="b">
        <f>IF(AND(I66="TP",S66&lt;=500),VLOOKUP(AF66,[1]TPCalibEq500!$AZ$2:$BB$88,3,),IF(AND(I66="TDP",S66&lt;=500),VLOOKUP(AF66,[1]TPCalibEq500!$AZ$2:$BB$88,3,)))</f>
        <v>0</v>
      </c>
      <c r="AT66" s="2" t="b">
        <f>IF(AND(I66="TN",S66&lt;=2800),VLOOKUP(AF66,[1]TNCalibEq2500!$AZ$2:$BB$80,3,),IF(AND(I66="TDN",S66&lt;=2800),VLOOKUP(AF66,[1]TNCalibEq2500!$AZ$2:$BB$80,3,)))</f>
        <v>0</v>
      </c>
      <c r="AU66" s="2" t="b">
        <f>IF(I66="TP",VLOOKUP(AF66,[1]TPCalibEqFull!$AZ$2:$BB$164,3),IF(I66="TDP",VLOOKUP(AF66,[1]TPCalibEqFull!$AZ$2:$BB$164,3),IF(I66="TDN",VLOOKUP(AF66,[1]TNCalibEqFull!$AZ$2:$BB$116,3),IF(I66="TN",VLOOKUP(AF66,[1]TNCalibEqFull!$AZ$2:$BB$118,3),FALSE))))</f>
        <v>0</v>
      </c>
      <c r="AV66" s="2" t="str">
        <f t="shared" ref="AV66:AV129" si="11">TEXT(A66, "MMDD")&amp;" "&amp;TEXT(B66, "HH:MM:SS")&amp;"-"&amp;C66&amp;"-"&amp;D66&amp;"-"&amp;E66&amp;"-"&amp;F66&amp;"-"&amp;G66&amp;"-"&amp;H66</f>
        <v>0701 12:00:00-T1BF-0-FIL-2-SW-UKN</v>
      </c>
      <c r="AW66" s="2"/>
      <c r="AX66" s="2"/>
      <c r="AY66" s="2"/>
    </row>
    <row r="67" spans="1:51" x14ac:dyDescent="0.35">
      <c r="A67" s="45">
        <v>45485</v>
      </c>
      <c r="B67" s="46">
        <v>0.5</v>
      </c>
      <c r="C67" s="2" t="s">
        <v>140</v>
      </c>
      <c r="D67" s="2">
        <v>0</v>
      </c>
      <c r="E67" s="2" t="s">
        <v>137</v>
      </c>
      <c r="F67" s="2">
        <v>1</v>
      </c>
      <c r="G67" s="2" t="s">
        <v>125</v>
      </c>
      <c r="H67" s="2" t="s">
        <v>126</v>
      </c>
      <c r="I67" s="2" t="s">
        <v>162</v>
      </c>
      <c r="J67" s="2">
        <v>75</v>
      </c>
      <c r="K67" s="47">
        <v>45497</v>
      </c>
      <c r="L67" s="46">
        <v>0.63836805555555554</v>
      </c>
      <c r="M67" s="2">
        <v>1</v>
      </c>
      <c r="N67" s="2" t="s">
        <v>149</v>
      </c>
      <c r="O67" s="2">
        <v>2.0899999999999998E-2</v>
      </c>
      <c r="P67" s="2">
        <v>1.6199999999999999E-3</v>
      </c>
      <c r="Q67" s="2">
        <v>3.72</v>
      </c>
      <c r="R67" s="2" t="s">
        <v>150</v>
      </c>
      <c r="S67" s="48">
        <f t="shared" si="10"/>
        <v>3.72</v>
      </c>
      <c r="T67" s="2" t="s">
        <v>158</v>
      </c>
      <c r="U67" s="48" t="s">
        <v>97</v>
      </c>
      <c r="V67" s="44" t="s">
        <v>97</v>
      </c>
      <c r="W67" s="44" t="s">
        <v>98</v>
      </c>
      <c r="X67" s="44" t="s">
        <v>97</v>
      </c>
      <c r="Y67" s="2" t="s">
        <v>161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 t="str">
        <f t="shared" si="8"/>
        <v>FALSE</v>
      </c>
      <c r="AM67" s="2" t="str">
        <f t="shared" si="8"/>
        <v>FALSE</v>
      </c>
      <c r="AN67" s="2" t="str">
        <f t="shared" si="8"/>
        <v>FALSE</v>
      </c>
      <c r="AO67" s="2" t="str">
        <f t="shared" si="9"/>
        <v>FALSE</v>
      </c>
      <c r="AP67" s="2" t="str">
        <f t="shared" si="9"/>
        <v>FALSE</v>
      </c>
      <c r="AQ67" s="2" t="b">
        <f>IF(AND(I67="TP",S67&lt;=150),VLOOKUP(AF67,[1]TPCalibEq150!$AZ$2:$BB$74,3,),IF(AND(I67="TDP",S67&lt;=150),VLOOKUP(AF67,[1]TPCalibEq150!$AZ$2:$BB$74,3,)))</f>
        <v>0</v>
      </c>
      <c r="AR67" s="2" t="b">
        <f>IF(AND(I67="TP",S67&lt;=300),VLOOKUP(AF67,[1]TPCalibEq300!$AZ$2:$BB$76,3,),IF(AND(I67="TDP",S67&lt;=300),VLOOKUP(AF67,[1]TPCalibEq300!$AZ$2:$BB$76,3,)))</f>
        <v>0</v>
      </c>
      <c r="AS67" s="2" t="b">
        <f>IF(AND(I67="TP",S67&lt;=500),VLOOKUP(AF67,[1]TPCalibEq500!$AZ$2:$BB$88,3,),IF(AND(I67="TDP",S67&lt;=500),VLOOKUP(AF67,[1]TPCalibEq500!$AZ$2:$BB$88,3,)))</f>
        <v>0</v>
      </c>
      <c r="AT67" s="2" t="b">
        <f>IF(AND(I67="TN",S67&lt;=2800),VLOOKUP(AF67,[1]TNCalibEq2500!$AZ$2:$BB$80,3,),IF(AND(I67="TDN",S67&lt;=2800),VLOOKUP(AF67,[1]TNCalibEq2500!$AZ$2:$BB$80,3,)))</f>
        <v>0</v>
      </c>
      <c r="AU67" s="2" t="b">
        <f>IF(I67="TP",VLOOKUP(AF67,[1]TPCalibEqFull!$AZ$2:$BB$164,3),IF(I67="TDP",VLOOKUP(AF67,[1]TPCalibEqFull!$AZ$2:$BB$164,3),IF(I67="TDN",VLOOKUP(AF67,[1]TNCalibEqFull!$AZ$2:$BB$116,3),IF(I67="TN",VLOOKUP(AF67,[1]TNCalibEqFull!$AZ$2:$BB$118,3),FALSE))))</f>
        <v>0</v>
      </c>
      <c r="AV67" s="2" t="str">
        <f t="shared" si="11"/>
        <v>0712 12:00:00-C1AF-0-FIL-1-SW-UKN</v>
      </c>
      <c r="AW67" s="2"/>
      <c r="AX67" s="2"/>
      <c r="AY67" s="2"/>
    </row>
    <row r="68" spans="1:51" x14ac:dyDescent="0.35">
      <c r="A68" s="45">
        <v>45485</v>
      </c>
      <c r="B68" s="46">
        <v>0.5</v>
      </c>
      <c r="C68" s="2" t="s">
        <v>141</v>
      </c>
      <c r="D68" s="2">
        <v>0</v>
      </c>
      <c r="E68" s="2" t="s">
        <v>137</v>
      </c>
      <c r="F68" s="2">
        <v>2</v>
      </c>
      <c r="G68" s="2" t="s">
        <v>125</v>
      </c>
      <c r="H68" s="2" t="s">
        <v>126</v>
      </c>
      <c r="I68" s="2" t="s">
        <v>162</v>
      </c>
      <c r="J68" s="2">
        <v>76</v>
      </c>
      <c r="K68" s="47">
        <v>45497</v>
      </c>
      <c r="L68" s="46">
        <v>0.63920138888888889</v>
      </c>
      <c r="M68" s="2">
        <v>1</v>
      </c>
      <c r="N68" s="2" t="s">
        <v>149</v>
      </c>
      <c r="O68" s="2">
        <v>2.4E-2</v>
      </c>
      <c r="P68" s="2">
        <v>1.4499999999999999E-3</v>
      </c>
      <c r="Q68" s="2">
        <v>4.26</v>
      </c>
      <c r="R68" s="2" t="s">
        <v>150</v>
      </c>
      <c r="S68" s="48">
        <f t="shared" si="10"/>
        <v>4.26</v>
      </c>
      <c r="T68" s="2" t="s">
        <v>158</v>
      </c>
      <c r="U68" s="48" t="s">
        <v>97</v>
      </c>
      <c r="V68" s="44" t="s">
        <v>97</v>
      </c>
      <c r="W68" s="44" t="s">
        <v>98</v>
      </c>
      <c r="X68" s="44" t="s">
        <v>97</v>
      </c>
      <c r="Y68" s="2" t="s">
        <v>161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 t="str">
        <f t="shared" si="8"/>
        <v>FALSE</v>
      </c>
      <c r="AM68" s="2" t="str">
        <f t="shared" si="8"/>
        <v>FALSE</v>
      </c>
      <c r="AN68" s="2" t="str">
        <f t="shared" si="8"/>
        <v>FALSE</v>
      </c>
      <c r="AO68" s="2" t="str">
        <f t="shared" si="9"/>
        <v>FALSE</v>
      </c>
      <c r="AP68" s="2" t="str">
        <f t="shared" si="9"/>
        <v>FALSE</v>
      </c>
      <c r="AQ68" s="2" t="b">
        <f>IF(AND(I68="TP",S68&lt;=150),VLOOKUP(AF68,[1]TPCalibEq150!$AZ$2:$BB$74,3,),IF(AND(I68="TDP",S68&lt;=150),VLOOKUP(AF68,[1]TPCalibEq150!$AZ$2:$BB$74,3,)))</f>
        <v>0</v>
      </c>
      <c r="AR68" s="2" t="b">
        <f>IF(AND(I68="TP",S68&lt;=300),VLOOKUP(AF68,[1]TPCalibEq300!$AZ$2:$BB$76,3,),IF(AND(I68="TDP",S68&lt;=300),VLOOKUP(AF68,[1]TPCalibEq300!$AZ$2:$BB$76,3,)))</f>
        <v>0</v>
      </c>
      <c r="AS68" s="2" t="b">
        <f>IF(AND(I68="TP",S68&lt;=500),VLOOKUP(AF68,[1]TPCalibEq500!$AZ$2:$BB$88,3,),IF(AND(I68="TDP",S68&lt;=500),VLOOKUP(AF68,[1]TPCalibEq500!$AZ$2:$BB$88,3,)))</f>
        <v>0</v>
      </c>
      <c r="AT68" s="2" t="b">
        <f>IF(AND(I68="TN",S68&lt;=2800),VLOOKUP(AF68,[1]TNCalibEq2500!$AZ$2:$BB$80,3,),IF(AND(I68="TDN",S68&lt;=2800),VLOOKUP(AF68,[1]TNCalibEq2500!$AZ$2:$BB$80,3,)))</f>
        <v>0</v>
      </c>
      <c r="AU68" s="2" t="b">
        <f>IF(I68="TP",VLOOKUP(AF68,[1]TPCalibEqFull!$AZ$2:$BB$164,3),IF(I68="TDP",VLOOKUP(AF68,[1]TPCalibEqFull!$AZ$2:$BB$164,3),IF(I68="TDN",VLOOKUP(AF68,[1]TNCalibEqFull!$AZ$2:$BB$116,3),IF(I68="TN",VLOOKUP(AF68,[1]TNCalibEqFull!$AZ$2:$BB$118,3),FALSE))))</f>
        <v>0</v>
      </c>
      <c r="AV68" s="2" t="str">
        <f t="shared" si="11"/>
        <v>0712 12:00:00-C1BF-0-FIL-2-SW-UKN</v>
      </c>
      <c r="AW68" s="2"/>
      <c r="AX68" s="2"/>
      <c r="AY68" s="2"/>
    </row>
    <row r="69" spans="1:51" x14ac:dyDescent="0.35">
      <c r="A69" s="45">
        <v>45485</v>
      </c>
      <c r="B69" s="46">
        <v>0.5</v>
      </c>
      <c r="C69" s="2" t="s">
        <v>142</v>
      </c>
      <c r="D69" s="2">
        <v>0</v>
      </c>
      <c r="E69" s="2" t="s">
        <v>137</v>
      </c>
      <c r="F69" s="2">
        <v>1</v>
      </c>
      <c r="G69" s="2" t="s">
        <v>125</v>
      </c>
      <c r="H69" s="2" t="s">
        <v>126</v>
      </c>
      <c r="I69" s="2" t="s">
        <v>162</v>
      </c>
      <c r="J69" s="2">
        <v>77</v>
      </c>
      <c r="K69" s="47">
        <v>45497</v>
      </c>
      <c r="L69" s="46">
        <v>0.64003472222222224</v>
      </c>
      <c r="M69" s="2">
        <v>1</v>
      </c>
      <c r="N69" s="2" t="s">
        <v>149</v>
      </c>
      <c r="O69" s="2">
        <v>2.6499999999999999E-2</v>
      </c>
      <c r="P69" s="2">
        <v>1.83E-3</v>
      </c>
      <c r="Q69" s="2">
        <v>4.71</v>
      </c>
      <c r="R69" s="2" t="s">
        <v>150</v>
      </c>
      <c r="S69" s="48">
        <f t="shared" si="10"/>
        <v>4.71</v>
      </c>
      <c r="T69" s="2" t="s">
        <v>158</v>
      </c>
      <c r="U69" s="48" t="s">
        <v>97</v>
      </c>
      <c r="V69" s="44" t="s">
        <v>97</v>
      </c>
      <c r="W69" s="44" t="s">
        <v>98</v>
      </c>
      <c r="X69" s="44" t="s">
        <v>97</v>
      </c>
      <c r="Y69" s="2" t="s">
        <v>161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 t="str">
        <f t="shared" si="8"/>
        <v>FALSE</v>
      </c>
      <c r="AM69" s="2" t="str">
        <f t="shared" si="8"/>
        <v>FALSE</v>
      </c>
      <c r="AN69" s="2" t="str">
        <f t="shared" si="8"/>
        <v>FALSE</v>
      </c>
      <c r="AO69" s="2" t="str">
        <f t="shared" si="9"/>
        <v>FALSE</v>
      </c>
      <c r="AP69" s="2" t="str">
        <f t="shared" si="9"/>
        <v>FALSE</v>
      </c>
      <c r="AQ69" s="2" t="b">
        <f>IF(AND(I69="TP",S69&lt;=150),VLOOKUP(AF69,[1]TPCalibEq150!$AZ$2:$BB$74,3,),IF(AND(I69="TDP",S69&lt;=150),VLOOKUP(AF69,[1]TPCalibEq150!$AZ$2:$BB$74,3,)))</f>
        <v>0</v>
      </c>
      <c r="AR69" s="2" t="b">
        <f>IF(AND(I69="TP",S69&lt;=300),VLOOKUP(AF69,[1]TPCalibEq300!$AZ$2:$BB$76,3,),IF(AND(I69="TDP",S69&lt;=300),VLOOKUP(AF69,[1]TPCalibEq300!$AZ$2:$BB$76,3,)))</f>
        <v>0</v>
      </c>
      <c r="AS69" s="2" t="b">
        <f>IF(AND(I69="TP",S69&lt;=500),VLOOKUP(AF69,[1]TPCalibEq500!$AZ$2:$BB$88,3,),IF(AND(I69="TDP",S69&lt;=500),VLOOKUP(AF69,[1]TPCalibEq500!$AZ$2:$BB$88,3,)))</f>
        <v>0</v>
      </c>
      <c r="AT69" s="2" t="b">
        <f>IF(AND(I69="TN",S69&lt;=2800),VLOOKUP(AF69,[1]TNCalibEq2500!$AZ$2:$BB$80,3,),IF(AND(I69="TDN",S69&lt;=2800),VLOOKUP(AF69,[1]TNCalibEq2500!$AZ$2:$BB$80,3,)))</f>
        <v>0</v>
      </c>
      <c r="AU69" s="2" t="b">
        <f>IF(I69="TP",VLOOKUP(AF69,[1]TPCalibEqFull!$AZ$2:$BB$164,3),IF(I69="TDP",VLOOKUP(AF69,[1]TPCalibEqFull!$AZ$2:$BB$164,3),IF(I69="TDN",VLOOKUP(AF69,[1]TNCalibEqFull!$AZ$2:$BB$116,3),IF(I69="TN",VLOOKUP(AF69,[1]TNCalibEqFull!$AZ$2:$BB$118,3),FALSE))))</f>
        <v>0</v>
      </c>
      <c r="AV69" s="2" t="str">
        <f t="shared" si="11"/>
        <v>0712 12:00:00-T2AF-0-FIL-1-SW-UKN</v>
      </c>
      <c r="AW69" s="2"/>
      <c r="AX69" s="2"/>
      <c r="AY69" s="2"/>
    </row>
    <row r="70" spans="1:51" x14ac:dyDescent="0.35">
      <c r="A70" s="45">
        <v>45485</v>
      </c>
      <c r="B70" s="46">
        <v>0.5</v>
      </c>
      <c r="C70" s="2" t="s">
        <v>143</v>
      </c>
      <c r="D70" s="2">
        <v>0</v>
      </c>
      <c r="E70" s="2" t="s">
        <v>137</v>
      </c>
      <c r="F70" s="2">
        <v>2</v>
      </c>
      <c r="G70" s="2" t="s">
        <v>125</v>
      </c>
      <c r="H70" s="2" t="s">
        <v>126</v>
      </c>
      <c r="I70" s="2" t="s">
        <v>162</v>
      </c>
      <c r="J70" s="2">
        <v>78</v>
      </c>
      <c r="K70" s="47">
        <v>45497</v>
      </c>
      <c r="L70" s="46">
        <v>0.64086805555555559</v>
      </c>
      <c r="M70" s="2">
        <v>1</v>
      </c>
      <c r="N70" s="2" t="s">
        <v>149</v>
      </c>
      <c r="O70" s="2">
        <v>2.8500000000000001E-2</v>
      </c>
      <c r="P70" s="2">
        <v>2.0600000000000002E-3</v>
      </c>
      <c r="Q70" s="2">
        <v>5.07</v>
      </c>
      <c r="R70" s="2" t="s">
        <v>150</v>
      </c>
      <c r="S70" s="48">
        <f t="shared" si="10"/>
        <v>5.07</v>
      </c>
      <c r="T70" s="2" t="s">
        <v>158</v>
      </c>
      <c r="U70" s="48" t="s">
        <v>97</v>
      </c>
      <c r="V70" s="44" t="s">
        <v>97</v>
      </c>
      <c r="W70" s="44" t="s">
        <v>98</v>
      </c>
      <c r="X70" s="44" t="s">
        <v>97</v>
      </c>
      <c r="Y70" s="2" t="s">
        <v>161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 t="str">
        <f t="shared" si="8"/>
        <v>FALSE</v>
      </c>
      <c r="AM70" s="2" t="str">
        <f t="shared" si="8"/>
        <v>FALSE</v>
      </c>
      <c r="AN70" s="2" t="str">
        <f t="shared" si="8"/>
        <v>FALSE</v>
      </c>
      <c r="AO70" s="2" t="str">
        <f t="shared" si="9"/>
        <v>FALSE</v>
      </c>
      <c r="AP70" s="2" t="str">
        <f t="shared" si="9"/>
        <v>FALSE</v>
      </c>
      <c r="AQ70" s="2" t="b">
        <f>IF(AND(I70="TP",S70&lt;=150),VLOOKUP(AF70,[1]TPCalibEq150!$AZ$2:$BB$74,3,),IF(AND(I70="TDP",S70&lt;=150),VLOOKUP(AF70,[1]TPCalibEq150!$AZ$2:$BB$74,3,)))</f>
        <v>0</v>
      </c>
      <c r="AR70" s="2" t="b">
        <f>IF(AND(I70="TP",S70&lt;=300),VLOOKUP(AF70,[1]TPCalibEq300!$AZ$2:$BB$76,3,),IF(AND(I70="TDP",S70&lt;=300),VLOOKUP(AF70,[1]TPCalibEq300!$AZ$2:$BB$76,3,)))</f>
        <v>0</v>
      </c>
      <c r="AS70" s="2" t="b">
        <f>IF(AND(I70="TP",S70&lt;=500),VLOOKUP(AF70,[1]TPCalibEq500!$AZ$2:$BB$88,3,),IF(AND(I70="TDP",S70&lt;=500),VLOOKUP(AF70,[1]TPCalibEq500!$AZ$2:$BB$88,3,)))</f>
        <v>0</v>
      </c>
      <c r="AT70" s="2" t="b">
        <f>IF(AND(I70="TN",S70&lt;=2800),VLOOKUP(AF70,[1]TNCalibEq2500!$AZ$2:$BB$80,3,),IF(AND(I70="TDN",S70&lt;=2800),VLOOKUP(AF70,[1]TNCalibEq2500!$AZ$2:$BB$80,3,)))</f>
        <v>0</v>
      </c>
      <c r="AU70" s="2" t="b">
        <f>IF(I70="TP",VLOOKUP(AF70,[1]TPCalibEqFull!$AZ$2:$BB$164,3),IF(I70="TDP",VLOOKUP(AF70,[1]TPCalibEqFull!$AZ$2:$BB$164,3),IF(I70="TDN",VLOOKUP(AF70,[1]TNCalibEqFull!$AZ$2:$BB$116,3),IF(I70="TN",VLOOKUP(AF70,[1]TNCalibEqFull!$AZ$2:$BB$118,3),FALSE))))</f>
        <v>0</v>
      </c>
      <c r="AV70" s="2" t="str">
        <f t="shared" si="11"/>
        <v>0712 12:00:00-T2BF-0-FIL-2-SW-UKN</v>
      </c>
      <c r="AW70" s="2"/>
      <c r="AX70" s="2"/>
      <c r="AY70" s="2"/>
    </row>
    <row r="71" spans="1:51" x14ac:dyDescent="0.35">
      <c r="A71" s="45">
        <v>45485</v>
      </c>
      <c r="B71" s="46">
        <v>0.5</v>
      </c>
      <c r="C71" s="2" t="s">
        <v>144</v>
      </c>
      <c r="D71" s="2">
        <v>0</v>
      </c>
      <c r="E71" s="2" t="s">
        <v>137</v>
      </c>
      <c r="F71" s="2">
        <v>1</v>
      </c>
      <c r="G71" s="2" t="s">
        <v>125</v>
      </c>
      <c r="H71" s="2" t="s">
        <v>126</v>
      </c>
      <c r="I71" s="2" t="s">
        <v>162</v>
      </c>
      <c r="J71" s="2">
        <v>79</v>
      </c>
      <c r="K71" s="47">
        <v>45497</v>
      </c>
      <c r="L71" s="46">
        <v>0.6416898148148148</v>
      </c>
      <c r="M71" s="2">
        <v>1</v>
      </c>
      <c r="N71" s="2" t="s">
        <v>149</v>
      </c>
      <c r="O71" s="2">
        <v>2.7400000000000001E-2</v>
      </c>
      <c r="P71" s="2">
        <v>1.4499999999999999E-3</v>
      </c>
      <c r="Q71" s="2">
        <v>4.87</v>
      </c>
      <c r="R71" s="2" t="s">
        <v>150</v>
      </c>
      <c r="S71" s="48">
        <f t="shared" si="10"/>
        <v>4.87</v>
      </c>
      <c r="T71" s="2" t="s">
        <v>158</v>
      </c>
      <c r="U71" s="48" t="s">
        <v>97</v>
      </c>
      <c r="V71" s="44" t="s">
        <v>97</v>
      </c>
      <c r="W71" s="44" t="s">
        <v>98</v>
      </c>
      <c r="X71" s="44" t="s">
        <v>97</v>
      </c>
      <c r="Y71" s="2" t="s">
        <v>161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 t="str">
        <f t="shared" si="8"/>
        <v>FALSE</v>
      </c>
      <c r="AM71" s="2" t="str">
        <f t="shared" si="8"/>
        <v>FALSE</v>
      </c>
      <c r="AN71" s="2" t="str">
        <f t="shared" si="8"/>
        <v>FALSE</v>
      </c>
      <c r="AO71" s="2" t="str">
        <f t="shared" si="9"/>
        <v>FALSE</v>
      </c>
      <c r="AP71" s="2" t="str">
        <f t="shared" si="9"/>
        <v>FALSE</v>
      </c>
      <c r="AQ71" s="2" t="b">
        <f>IF(AND(I71="TP",S71&lt;=150),VLOOKUP(AF71,[1]TPCalibEq150!$AZ$2:$BB$74,3,),IF(AND(I71="TDP",S71&lt;=150),VLOOKUP(AF71,[1]TPCalibEq150!$AZ$2:$BB$74,3,)))</f>
        <v>0</v>
      </c>
      <c r="AR71" s="2" t="b">
        <f>IF(AND(I71="TP",S71&lt;=300),VLOOKUP(AF71,[1]TPCalibEq300!$AZ$2:$BB$76,3,),IF(AND(I71="TDP",S71&lt;=300),VLOOKUP(AF71,[1]TPCalibEq300!$AZ$2:$BB$76,3,)))</f>
        <v>0</v>
      </c>
      <c r="AS71" s="2" t="b">
        <f>IF(AND(I71="TP",S71&lt;=500),VLOOKUP(AF71,[1]TPCalibEq500!$AZ$2:$BB$88,3,),IF(AND(I71="TDP",S71&lt;=500),VLOOKUP(AF71,[1]TPCalibEq500!$AZ$2:$BB$88,3,)))</f>
        <v>0</v>
      </c>
      <c r="AT71" s="2" t="b">
        <f>IF(AND(I71="TN",S71&lt;=2800),VLOOKUP(AF71,[1]TNCalibEq2500!$AZ$2:$BB$80,3,),IF(AND(I71="TDN",S71&lt;=2800),VLOOKUP(AF71,[1]TNCalibEq2500!$AZ$2:$BB$80,3,)))</f>
        <v>0</v>
      </c>
      <c r="AU71" s="2" t="b">
        <f>IF(I71="TP",VLOOKUP(AF71,[1]TPCalibEqFull!$AZ$2:$BB$164,3),IF(I71="TDP",VLOOKUP(AF71,[1]TPCalibEqFull!$AZ$2:$BB$164,3),IF(I71="TDN",VLOOKUP(AF71,[1]TNCalibEqFull!$AZ$2:$BB$116,3),IF(I71="TN",VLOOKUP(AF71,[1]TNCalibEqFull!$AZ$2:$BB$118,3),FALSE))))</f>
        <v>0</v>
      </c>
      <c r="AV71" s="2" t="str">
        <f t="shared" si="11"/>
        <v>0712 12:00:00-C2AF-0-FIL-1-SW-UKN</v>
      </c>
      <c r="AW71" s="2"/>
      <c r="AX71" s="2"/>
      <c r="AY71" s="2"/>
    </row>
    <row r="72" spans="1:51" x14ac:dyDescent="0.35">
      <c r="A72" s="45">
        <v>45485</v>
      </c>
      <c r="B72" s="46">
        <v>0.5</v>
      </c>
      <c r="C72" s="2" t="s">
        <v>145</v>
      </c>
      <c r="D72" s="2">
        <v>0</v>
      </c>
      <c r="E72" s="2" t="s">
        <v>137</v>
      </c>
      <c r="F72" s="2">
        <v>2</v>
      </c>
      <c r="G72" s="2" t="s">
        <v>125</v>
      </c>
      <c r="H72" s="2" t="s">
        <v>126</v>
      </c>
      <c r="I72" s="2" t="s">
        <v>162</v>
      </c>
      <c r="J72" s="2">
        <v>80</v>
      </c>
      <c r="K72" s="47">
        <v>45497</v>
      </c>
      <c r="L72" s="46">
        <v>0.64256944444444442</v>
      </c>
      <c r="M72" s="2">
        <v>1</v>
      </c>
      <c r="N72" s="2" t="s">
        <v>149</v>
      </c>
      <c r="O72" s="2">
        <v>2.3099999999999999E-2</v>
      </c>
      <c r="P72" s="2">
        <v>1.2999999999999999E-3</v>
      </c>
      <c r="Q72" s="2">
        <v>4.0999999999999996</v>
      </c>
      <c r="R72" s="2" t="s">
        <v>150</v>
      </c>
      <c r="S72" s="48">
        <f t="shared" si="10"/>
        <v>4.0999999999999996</v>
      </c>
      <c r="T72" s="2" t="s">
        <v>158</v>
      </c>
      <c r="U72" s="48" t="s">
        <v>97</v>
      </c>
      <c r="V72" s="44" t="s">
        <v>97</v>
      </c>
      <c r="W72" s="44" t="s">
        <v>98</v>
      </c>
      <c r="X72" s="44" t="s">
        <v>97</v>
      </c>
      <c r="Y72" s="2" t="s">
        <v>161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 t="str">
        <f t="shared" si="8"/>
        <v>FALSE</v>
      </c>
      <c r="AM72" s="2" t="str">
        <f t="shared" si="8"/>
        <v>FALSE</v>
      </c>
      <c r="AN72" s="2" t="str">
        <f t="shared" si="8"/>
        <v>FALSE</v>
      </c>
      <c r="AO72" s="2" t="str">
        <f t="shared" si="9"/>
        <v>FALSE</v>
      </c>
      <c r="AP72" s="2" t="str">
        <f t="shared" si="9"/>
        <v>FALSE</v>
      </c>
      <c r="AQ72" s="2" t="b">
        <f>IF(AND(I72="TP",S72&lt;=150),VLOOKUP(AF72,[1]TPCalibEq150!$AZ$2:$BB$74,3,),IF(AND(I72="TDP",S72&lt;=150),VLOOKUP(AF72,[1]TPCalibEq150!$AZ$2:$BB$74,3,)))</f>
        <v>0</v>
      </c>
      <c r="AR72" s="2" t="b">
        <f>IF(AND(I72="TP",S72&lt;=300),VLOOKUP(AF72,[1]TPCalibEq300!$AZ$2:$BB$76,3,),IF(AND(I72="TDP",S72&lt;=300),VLOOKUP(AF72,[1]TPCalibEq300!$AZ$2:$BB$76,3,)))</f>
        <v>0</v>
      </c>
      <c r="AS72" s="2" t="b">
        <f>IF(AND(I72="TP",S72&lt;=500),VLOOKUP(AF72,[1]TPCalibEq500!$AZ$2:$BB$88,3,),IF(AND(I72="TDP",S72&lt;=500),VLOOKUP(AF72,[1]TPCalibEq500!$AZ$2:$BB$88,3,)))</f>
        <v>0</v>
      </c>
      <c r="AT72" s="2" t="b">
        <f>IF(AND(I72="TN",S72&lt;=2800),VLOOKUP(AF72,[1]TNCalibEq2500!$AZ$2:$BB$80,3,),IF(AND(I72="TDN",S72&lt;=2800),VLOOKUP(AF72,[1]TNCalibEq2500!$AZ$2:$BB$80,3,)))</f>
        <v>0</v>
      </c>
      <c r="AU72" s="2" t="b">
        <f>IF(I72="TP",VLOOKUP(AF72,[1]TPCalibEqFull!$AZ$2:$BB$164,3),IF(I72="TDP",VLOOKUP(AF72,[1]TPCalibEqFull!$AZ$2:$BB$164,3),IF(I72="TDN",VLOOKUP(AF72,[1]TNCalibEqFull!$AZ$2:$BB$116,3),IF(I72="TN",VLOOKUP(AF72,[1]TNCalibEqFull!$AZ$2:$BB$118,3),FALSE))))</f>
        <v>0</v>
      </c>
      <c r="AV72" s="2" t="str">
        <f t="shared" si="11"/>
        <v>0712 12:00:00-C2BF-0-FIL-2-SW-UKN</v>
      </c>
      <c r="AW72" s="2"/>
      <c r="AX72" s="2"/>
      <c r="AY72" s="2"/>
    </row>
    <row r="73" spans="1:51" x14ac:dyDescent="0.35">
      <c r="A73" s="45">
        <v>45485</v>
      </c>
      <c r="B73" s="46">
        <v>0.5</v>
      </c>
      <c r="C73" s="2" t="s">
        <v>145</v>
      </c>
      <c r="D73" s="2">
        <v>0</v>
      </c>
      <c r="E73" s="2" t="s">
        <v>137</v>
      </c>
      <c r="F73" s="2">
        <v>2</v>
      </c>
      <c r="G73" s="2" t="s">
        <v>125</v>
      </c>
      <c r="H73" s="2" t="s">
        <v>134</v>
      </c>
      <c r="I73" s="2" t="s">
        <v>162</v>
      </c>
      <c r="J73" s="2">
        <v>80</v>
      </c>
      <c r="K73" s="47">
        <v>45497</v>
      </c>
      <c r="L73" s="46">
        <v>0.6433564814814815</v>
      </c>
      <c r="M73" s="2">
        <v>1</v>
      </c>
      <c r="N73" s="2" t="s">
        <v>149</v>
      </c>
      <c r="O73" s="2">
        <v>2.01E-2</v>
      </c>
      <c r="P73" s="2">
        <v>1.41E-3</v>
      </c>
      <c r="Q73" s="2">
        <v>3.57</v>
      </c>
      <c r="R73" s="2" t="s">
        <v>150</v>
      </c>
      <c r="S73" s="48">
        <f t="shared" si="10"/>
        <v>3.57</v>
      </c>
      <c r="T73" s="2" t="s">
        <v>158</v>
      </c>
      <c r="U73" s="48">
        <v>13.820078226857882</v>
      </c>
      <c r="V73" s="44" t="s">
        <v>97</v>
      </c>
      <c r="W73" s="44" t="s">
        <v>98</v>
      </c>
      <c r="X73" s="44" t="s">
        <v>135</v>
      </c>
      <c r="Y73" s="2" t="s">
        <v>161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 t="str">
        <f t="shared" si="8"/>
        <v>FALSE</v>
      </c>
      <c r="AM73" s="2" t="str">
        <f t="shared" si="8"/>
        <v>FALSE</v>
      </c>
      <c r="AN73" s="2" t="str">
        <f t="shared" si="8"/>
        <v>FALSE</v>
      </c>
      <c r="AO73" s="2" t="str">
        <f t="shared" si="9"/>
        <v>FALSE</v>
      </c>
      <c r="AP73" s="2" t="str">
        <f t="shared" si="9"/>
        <v>FALSE</v>
      </c>
      <c r="AQ73" s="2" t="b">
        <f>IF(AND(I73="TP",S73&lt;=150),VLOOKUP(AF73,[1]TPCalibEq150!$AZ$2:$BB$74,3,),IF(AND(I73="TDP",S73&lt;=150),VLOOKUP(AF73,[1]TPCalibEq150!$AZ$2:$BB$74,3,)))</f>
        <v>0</v>
      </c>
      <c r="AR73" s="2" t="b">
        <f>IF(AND(I73="TP",S73&lt;=300),VLOOKUP(AF73,[1]TPCalibEq300!$AZ$2:$BB$76,3,),IF(AND(I73="TDP",S73&lt;=300),VLOOKUP(AF73,[1]TPCalibEq300!$AZ$2:$BB$76,3,)))</f>
        <v>0</v>
      </c>
      <c r="AS73" s="2" t="b">
        <f>IF(AND(I73="TP",S73&lt;=500),VLOOKUP(AF73,[1]TPCalibEq500!$AZ$2:$BB$88,3,),IF(AND(I73="TDP",S73&lt;=500),VLOOKUP(AF73,[1]TPCalibEq500!$AZ$2:$BB$88,3,)))</f>
        <v>0</v>
      </c>
      <c r="AT73" s="2" t="b">
        <f>IF(AND(I73="TN",S73&lt;=2800),VLOOKUP(AF73,[1]TNCalibEq2500!$AZ$2:$BB$80,3,),IF(AND(I73="TDN",S73&lt;=2800),VLOOKUP(AF73,[1]TNCalibEq2500!$AZ$2:$BB$80,3,)))</f>
        <v>0</v>
      </c>
      <c r="AU73" s="2" t="b">
        <f>IF(I73="TP",VLOOKUP(AF73,[1]TPCalibEqFull!$AZ$2:$BB$164,3),IF(I73="TDP",VLOOKUP(AF73,[1]TPCalibEqFull!$AZ$2:$BB$164,3),IF(I73="TDN",VLOOKUP(AF73,[1]TNCalibEqFull!$AZ$2:$BB$116,3),IF(I73="TN",VLOOKUP(AF73,[1]TNCalibEqFull!$AZ$2:$BB$118,3),FALSE))))</f>
        <v>0</v>
      </c>
      <c r="AV73" s="2" t="str">
        <f t="shared" si="11"/>
        <v>0712 12:00:00-C2BF-0-FIL-2-SW-DUP</v>
      </c>
      <c r="AW73" s="2"/>
      <c r="AX73" s="2"/>
      <c r="AY73" s="2"/>
    </row>
    <row r="74" spans="1:51" x14ac:dyDescent="0.35">
      <c r="A74" s="45">
        <v>45485</v>
      </c>
      <c r="B74" s="46">
        <v>0.5</v>
      </c>
      <c r="C74" s="2" t="s">
        <v>145</v>
      </c>
      <c r="D74" s="2">
        <v>0</v>
      </c>
      <c r="E74" s="2" t="s">
        <v>137</v>
      </c>
      <c r="F74" s="2">
        <v>2</v>
      </c>
      <c r="G74" s="2" t="s">
        <v>125</v>
      </c>
      <c r="H74" s="2" t="s">
        <v>117</v>
      </c>
      <c r="I74" s="2" t="s">
        <v>162</v>
      </c>
      <c r="J74" s="2">
        <v>88</v>
      </c>
      <c r="K74" s="47">
        <v>45497</v>
      </c>
      <c r="L74" s="46">
        <v>0.64416666666666667</v>
      </c>
      <c r="M74" s="2">
        <v>1</v>
      </c>
      <c r="N74" s="2" t="s">
        <v>149</v>
      </c>
      <c r="O74" s="2">
        <v>0.89700000000000002</v>
      </c>
      <c r="P74" s="2">
        <v>8.2699999999999996E-2</v>
      </c>
      <c r="Q74" s="2">
        <v>160</v>
      </c>
      <c r="R74" s="2" t="s">
        <v>150</v>
      </c>
      <c r="S74" s="48">
        <f t="shared" si="10"/>
        <v>160</v>
      </c>
      <c r="T74" s="2" t="s">
        <v>158</v>
      </c>
      <c r="U74" s="48">
        <v>100.1152</v>
      </c>
      <c r="V74" s="44">
        <v>156.25</v>
      </c>
      <c r="W74" s="44" t="s">
        <v>98</v>
      </c>
      <c r="X74" s="44" t="s">
        <v>118</v>
      </c>
      <c r="Y74" s="2" t="s">
        <v>161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 t="str">
        <f t="shared" si="8"/>
        <v>FALSE</v>
      </c>
      <c r="AM74" s="2" t="str">
        <f t="shared" si="8"/>
        <v>FALSE</v>
      </c>
      <c r="AN74" s="2" t="str">
        <f t="shared" si="8"/>
        <v>FALSE</v>
      </c>
      <c r="AO74" s="2" t="str">
        <f t="shared" si="9"/>
        <v>FALSE</v>
      </c>
      <c r="AP74" s="2" t="str">
        <f t="shared" si="9"/>
        <v>FALSE</v>
      </c>
      <c r="AQ74" s="2" t="b">
        <f>IF(AND(I74="TP",S74&lt;=150),VLOOKUP(AF74,[1]TPCalibEq150!$AZ$2:$BB$74,3,),IF(AND(I74="TDP",S74&lt;=150),VLOOKUP(AF74,[1]TPCalibEq150!$AZ$2:$BB$74,3,)))</f>
        <v>0</v>
      </c>
      <c r="AR74" s="2" t="b">
        <f>IF(AND(I74="TP",S74&lt;=300),VLOOKUP(AF74,[1]TPCalibEq300!$AZ$2:$BB$76,3,),IF(AND(I74="TDP",S74&lt;=300),VLOOKUP(AF74,[1]TPCalibEq300!$AZ$2:$BB$76,3,)))</f>
        <v>0</v>
      </c>
      <c r="AS74" s="2" t="b">
        <f>IF(AND(I74="TP",S74&lt;=500),VLOOKUP(AF74,[1]TPCalibEq500!$AZ$2:$BB$88,3,),IF(AND(I74="TDP",S74&lt;=500),VLOOKUP(AF74,[1]TPCalibEq500!$AZ$2:$BB$88,3,)))</f>
        <v>0</v>
      </c>
      <c r="AT74" s="2" t="b">
        <f>IF(AND(I74="TN",S74&lt;=2800),VLOOKUP(AF74,[1]TNCalibEq2500!$AZ$2:$BB$80,3,),IF(AND(I74="TDN",S74&lt;=2800),VLOOKUP(AF74,[1]TNCalibEq2500!$AZ$2:$BB$80,3,)))</f>
        <v>0</v>
      </c>
      <c r="AU74" s="2" t="b">
        <f>IF(I74="TP",VLOOKUP(AF74,[1]TPCalibEqFull!$AZ$2:$BB$164,3),IF(I74="TDP",VLOOKUP(AF74,[1]TPCalibEqFull!$AZ$2:$BB$164,3),IF(I74="TDN",VLOOKUP(AF74,[1]TNCalibEqFull!$AZ$2:$BB$116,3),IF(I74="TN",VLOOKUP(AF74,[1]TNCalibEqFull!$AZ$2:$BB$118,3),FALSE))))</f>
        <v>0</v>
      </c>
      <c r="AV74" s="2" t="str">
        <f t="shared" si="11"/>
        <v>0712 12:00:00-C2BF-0-FIL-2-SW-SPK</v>
      </c>
      <c r="AW74" s="2"/>
      <c r="AX74" s="2"/>
      <c r="AY74" s="2"/>
    </row>
    <row r="75" spans="1:51" x14ac:dyDescent="0.35">
      <c r="A75" s="45">
        <v>45497</v>
      </c>
      <c r="B75" s="46">
        <v>0.375</v>
      </c>
      <c r="C75" s="2" t="s">
        <v>88</v>
      </c>
      <c r="D75" s="2" t="s">
        <v>89</v>
      </c>
      <c r="E75" s="2" t="s">
        <v>106</v>
      </c>
      <c r="F75" s="2">
        <v>1</v>
      </c>
      <c r="G75" s="2" t="s">
        <v>91</v>
      </c>
      <c r="H75" s="2" t="s">
        <v>122</v>
      </c>
      <c r="I75" s="2" t="s">
        <v>148</v>
      </c>
      <c r="J75" s="2">
        <v>199</v>
      </c>
      <c r="K75" s="47">
        <v>45497</v>
      </c>
      <c r="L75" s="46">
        <v>0.64500000000000002</v>
      </c>
      <c r="M75" s="2">
        <v>1</v>
      </c>
      <c r="N75" s="2" t="s">
        <v>149</v>
      </c>
      <c r="O75" s="2">
        <v>0.439</v>
      </c>
      <c r="P75" s="2">
        <v>4.0099999999999997E-2</v>
      </c>
      <c r="Q75" s="2">
        <v>78.099999999999994</v>
      </c>
      <c r="R75" s="2" t="s">
        <v>150</v>
      </c>
      <c r="S75" s="48">
        <f t="shared" si="10"/>
        <v>78.099999999999994</v>
      </c>
      <c r="T75" s="2" t="s">
        <v>158</v>
      </c>
      <c r="U75" s="48">
        <v>104.13333333333333</v>
      </c>
      <c r="V75" s="44">
        <v>75</v>
      </c>
      <c r="W75" s="44" t="s">
        <v>98</v>
      </c>
      <c r="X75" s="44" t="s">
        <v>123</v>
      </c>
      <c r="Y75" s="2" t="s">
        <v>161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 t="str">
        <f t="shared" si="8"/>
        <v>FALSE</v>
      </c>
      <c r="AM75" s="2" t="str">
        <f t="shared" si="8"/>
        <v>FALSE</v>
      </c>
      <c r="AN75" s="2" t="str">
        <f t="shared" si="8"/>
        <v>FALSE</v>
      </c>
      <c r="AO75" s="2" t="str">
        <f t="shared" si="9"/>
        <v>FALSE</v>
      </c>
      <c r="AP75" s="2" t="str">
        <f t="shared" si="9"/>
        <v>FALSE</v>
      </c>
      <c r="AQ75" s="2" t="b">
        <f>IF(AND(I75="TP",S75&lt;=150),VLOOKUP(AF75,[1]TPCalibEq150!$AZ$2:$BB$74,3,),IF(AND(I75="TDP",S75&lt;=150),VLOOKUP(AF75,[1]TPCalibEq150!$AZ$2:$BB$74,3,)))</f>
        <v>0</v>
      </c>
      <c r="AR75" s="2" t="b">
        <f>IF(AND(I75="TP",S75&lt;=300),VLOOKUP(AF75,[1]TPCalibEq300!$AZ$2:$BB$76,3,),IF(AND(I75="TDP",S75&lt;=300),VLOOKUP(AF75,[1]TPCalibEq300!$AZ$2:$BB$76,3,)))</f>
        <v>0</v>
      </c>
      <c r="AS75" s="2" t="b">
        <f>IF(AND(I75="TP",S75&lt;=500),VLOOKUP(AF75,[1]TPCalibEq500!$AZ$2:$BB$88,3,),IF(AND(I75="TDP",S75&lt;=500),VLOOKUP(AF75,[1]TPCalibEq500!$AZ$2:$BB$88,3,)))</f>
        <v>0</v>
      </c>
      <c r="AT75" s="2" t="b">
        <f>IF(AND(I75="TN",S75&lt;=2800),VLOOKUP(AF75,[1]TNCalibEq2500!$AZ$2:$BB$80,3,),IF(AND(I75="TDN",S75&lt;=2800),VLOOKUP(AF75,[1]TNCalibEq2500!$AZ$2:$BB$80,3,)))</f>
        <v>0</v>
      </c>
      <c r="AU75" s="2" t="b">
        <f>IF(I75="TP",VLOOKUP(AF75,[1]TPCalibEqFull!$AZ$2:$BB$164,3),IF(I75="TDP",VLOOKUP(AF75,[1]TPCalibEqFull!$AZ$2:$BB$164,3),IF(I75="TDN",VLOOKUP(AF75,[1]TNCalibEqFull!$AZ$2:$BB$116,3),IF(I75="TN",VLOOKUP(AF75,[1]TNCalibEqFull!$AZ$2:$BB$118,3),FALSE))))</f>
        <v>0</v>
      </c>
      <c r="AV75" s="2" t="str">
        <f t="shared" si="11"/>
        <v>0724 09:00:00-QAC-STD-D-1-DI-CHK</v>
      </c>
      <c r="AW75" s="2"/>
      <c r="AX75" s="2"/>
      <c r="AY75" s="2"/>
    </row>
    <row r="76" spans="1:51" x14ac:dyDescent="0.35">
      <c r="A76" s="45">
        <v>45496</v>
      </c>
      <c r="B76" s="46">
        <v>0.20208333333333331</v>
      </c>
      <c r="C76" s="2" t="s">
        <v>88</v>
      </c>
      <c r="D76" s="2" t="s">
        <v>114</v>
      </c>
      <c r="E76" s="2" t="s">
        <v>112</v>
      </c>
      <c r="F76" s="2">
        <v>1</v>
      </c>
      <c r="G76" s="2" t="s">
        <v>91</v>
      </c>
      <c r="H76" s="2" t="s">
        <v>146</v>
      </c>
      <c r="I76" s="2" t="s">
        <v>148</v>
      </c>
      <c r="J76" s="2">
        <v>135</v>
      </c>
      <c r="K76" s="47">
        <v>45497</v>
      </c>
      <c r="L76" s="46">
        <v>0.64582175925925933</v>
      </c>
      <c r="M76" s="2">
        <v>1</v>
      </c>
      <c r="N76" s="2" t="s">
        <v>149</v>
      </c>
      <c r="O76" s="2">
        <v>3.0899999999999999E-3</v>
      </c>
      <c r="P76" s="2">
        <v>4.84E-4</v>
      </c>
      <c r="Q76" s="2">
        <v>0.54900000000000004</v>
      </c>
      <c r="R76" s="2" t="s">
        <v>150</v>
      </c>
      <c r="S76" s="48">
        <f t="shared" si="10"/>
        <v>0.54900000000000004</v>
      </c>
      <c r="T76" s="2" t="s">
        <v>158</v>
      </c>
      <c r="U76" s="48">
        <v>0.54900000000000004</v>
      </c>
      <c r="V76" s="44" t="s">
        <v>97</v>
      </c>
      <c r="W76" s="44" t="s">
        <v>98</v>
      </c>
      <c r="X76" s="44" t="s">
        <v>116</v>
      </c>
      <c r="Y76" s="2" t="s">
        <v>161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 t="str">
        <f t="shared" ref="AL76:AN101" si="12">IF($O76="", "", IF(AQ76&lt;&gt;"", SUBSTITUTE(SUBSTITUTE(AQ76, "x", "*"&amp;$O76&amp;"^", 1), "x", "*"&amp;$O76, 1), ""))</f>
        <v>FALSE</v>
      </c>
      <c r="AM76" s="2" t="str">
        <f t="shared" si="12"/>
        <v>FALSE</v>
      </c>
      <c r="AN76" s="2" t="str">
        <f t="shared" si="12"/>
        <v>FALSE</v>
      </c>
      <c r="AO76" s="2" t="str">
        <f t="shared" ref="AO76:AP101" si="13">IF($O76="", "FALSE", IF(AT76&lt;&gt;"FALSE", SUBSTITUTE(SUBSTITUTE(AT76, "x", "*"&amp;$O76&amp;"^", 1), "x", "*"&amp;$O76, 1), ""))</f>
        <v>FALSE</v>
      </c>
      <c r="AP76" s="2" t="str">
        <f t="shared" si="13"/>
        <v>FALSE</v>
      </c>
      <c r="AQ76" s="2" t="b">
        <f>IF(AND(I76="TP",S76&lt;=150),VLOOKUP(AF76,[1]TPCalibEq150!$AZ$2:$BB$74,3,),IF(AND(I76="TDP",S76&lt;=150),VLOOKUP(AF76,[1]TPCalibEq150!$AZ$2:$BB$74,3,)))</f>
        <v>0</v>
      </c>
      <c r="AR76" s="2" t="b">
        <f>IF(AND(I76="TP",S76&lt;=300),VLOOKUP(AF76,[1]TPCalibEq300!$AZ$2:$BB$76,3,),IF(AND(I76="TDP",S76&lt;=300),VLOOKUP(AF76,[1]TPCalibEq300!$AZ$2:$BB$76,3,)))</f>
        <v>0</v>
      </c>
      <c r="AS76" s="2" t="b">
        <f>IF(AND(I76="TP",S76&lt;=500),VLOOKUP(AF76,[1]TPCalibEq500!$AZ$2:$BB$88,3,),IF(AND(I76="TDP",S76&lt;=500),VLOOKUP(AF76,[1]TPCalibEq500!$AZ$2:$BB$88,3,)))</f>
        <v>0</v>
      </c>
      <c r="AT76" s="2" t="b">
        <f>IF(AND(I76="TN",S76&lt;=2800),VLOOKUP(AF76,[1]TNCalibEq2500!$AZ$2:$BB$80,3,),IF(AND(I76="TDN",S76&lt;=2800),VLOOKUP(AF76,[1]TNCalibEq2500!$AZ$2:$BB$80,3,)))</f>
        <v>0</v>
      </c>
      <c r="AU76" s="2" t="b">
        <f>IF(I76="TP",VLOOKUP(AF76,[1]TPCalibEqFull!$AZ$2:$BB$164,3),IF(I76="TDP",VLOOKUP(AF76,[1]TPCalibEqFull!$AZ$2:$BB$164,3),IF(I76="TDN",VLOOKUP(AF76,[1]TNCalibEqFull!$AZ$2:$BB$116,3),IF(I76="TN",VLOOKUP(AF76,[1]TNCalibEqFull!$AZ$2:$BB$118,3),FALSE))))</f>
        <v>0</v>
      </c>
      <c r="AV76" s="2" t="str">
        <f t="shared" si="11"/>
        <v>0723 04:51:00-QAC-BLK-A-1-DI-FLD</v>
      </c>
      <c r="AW76" s="2"/>
      <c r="AX76" s="2"/>
      <c r="AY76" s="2"/>
    </row>
    <row r="77" spans="1:51" x14ac:dyDescent="0.35">
      <c r="A77" s="45">
        <v>45496</v>
      </c>
      <c r="B77" s="46">
        <v>0.20208333333333331</v>
      </c>
      <c r="C77" s="2" t="s">
        <v>88</v>
      </c>
      <c r="D77" s="2" t="s">
        <v>114</v>
      </c>
      <c r="E77" s="2" t="s">
        <v>137</v>
      </c>
      <c r="F77" s="2">
        <v>1</v>
      </c>
      <c r="G77" s="2" t="s">
        <v>91</v>
      </c>
      <c r="H77" s="2" t="s">
        <v>146</v>
      </c>
      <c r="I77" s="2" t="s">
        <v>162</v>
      </c>
      <c r="J77" s="2">
        <v>136</v>
      </c>
      <c r="K77" s="47">
        <v>45497</v>
      </c>
      <c r="L77" s="46">
        <v>0.64665509259259257</v>
      </c>
      <c r="M77" s="2">
        <v>1</v>
      </c>
      <c r="N77" s="2" t="s">
        <v>149</v>
      </c>
      <c r="O77" s="2">
        <v>2.7099999999999999E-2</v>
      </c>
      <c r="P77" s="2">
        <v>2.5600000000000002E-3</v>
      </c>
      <c r="Q77" s="2">
        <v>4.82</v>
      </c>
      <c r="R77" s="2" t="s">
        <v>150</v>
      </c>
      <c r="S77" s="48">
        <f t="shared" si="10"/>
        <v>4.82</v>
      </c>
      <c r="T77" s="2" t="s">
        <v>158</v>
      </c>
      <c r="U77" s="48">
        <v>4.82</v>
      </c>
      <c r="V77" s="44" t="s">
        <v>97</v>
      </c>
      <c r="W77" s="44" t="s">
        <v>98</v>
      </c>
      <c r="X77" s="44" t="s">
        <v>116</v>
      </c>
      <c r="Y77" s="2" t="s">
        <v>161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 t="str">
        <f t="shared" si="12"/>
        <v>FALSE</v>
      </c>
      <c r="AM77" s="2" t="str">
        <f t="shared" si="12"/>
        <v>FALSE</v>
      </c>
      <c r="AN77" s="2" t="str">
        <f t="shared" si="12"/>
        <v>FALSE</v>
      </c>
      <c r="AO77" s="2" t="str">
        <f t="shared" si="13"/>
        <v>FALSE</v>
      </c>
      <c r="AP77" s="2" t="str">
        <f t="shared" si="13"/>
        <v>FALSE</v>
      </c>
      <c r="AQ77" s="2" t="b">
        <f>IF(AND(I77="TP",S77&lt;=150),VLOOKUP(AF77,[1]TPCalibEq150!$AZ$2:$BB$74,3,),IF(AND(I77="TDP",S77&lt;=150),VLOOKUP(AF77,[1]TPCalibEq150!$AZ$2:$BB$74,3,)))</f>
        <v>0</v>
      </c>
      <c r="AR77" s="2" t="b">
        <f>IF(AND(I77="TP",S77&lt;=300),VLOOKUP(AF77,[1]TPCalibEq300!$AZ$2:$BB$76,3,),IF(AND(I77="TDP",S77&lt;=300),VLOOKUP(AF77,[1]TPCalibEq300!$AZ$2:$BB$76,3,)))</f>
        <v>0</v>
      </c>
      <c r="AS77" s="2" t="b">
        <f>IF(AND(I77="TP",S77&lt;=500),VLOOKUP(AF77,[1]TPCalibEq500!$AZ$2:$BB$88,3,),IF(AND(I77="TDP",S77&lt;=500),VLOOKUP(AF77,[1]TPCalibEq500!$AZ$2:$BB$88,3,)))</f>
        <v>0</v>
      </c>
      <c r="AT77" s="2" t="b">
        <f>IF(AND(I77="TN",S77&lt;=2800),VLOOKUP(AF77,[1]TNCalibEq2500!$AZ$2:$BB$80,3,),IF(AND(I77="TDN",S77&lt;=2800),VLOOKUP(AF77,[1]TNCalibEq2500!$AZ$2:$BB$80,3,)))</f>
        <v>0</v>
      </c>
      <c r="AU77" s="2" t="b">
        <f>IF(I77="TP",VLOOKUP(AF77,[1]TPCalibEqFull!$AZ$2:$BB$164,3),IF(I77="TDP",VLOOKUP(AF77,[1]TPCalibEqFull!$AZ$2:$BB$164,3),IF(I77="TDN",VLOOKUP(AF77,[1]TNCalibEqFull!$AZ$2:$BB$116,3),IF(I77="TN",VLOOKUP(AF77,[1]TNCalibEqFull!$AZ$2:$BB$118,3),FALSE))))</f>
        <v>0</v>
      </c>
      <c r="AV77" s="2" t="str">
        <f t="shared" si="11"/>
        <v>0723 04:51:00-QAC-BLK-FIL-1-DI-FLD</v>
      </c>
      <c r="AW77" s="2"/>
      <c r="AX77" s="2"/>
      <c r="AY77" s="2"/>
    </row>
    <row r="78" spans="1:51" x14ac:dyDescent="0.35">
      <c r="A78" s="45">
        <v>45497</v>
      </c>
      <c r="B78" s="46">
        <v>0.375</v>
      </c>
      <c r="C78" s="2" t="s">
        <v>88</v>
      </c>
      <c r="D78" s="2" t="s">
        <v>89</v>
      </c>
      <c r="E78" s="2" t="s">
        <v>90</v>
      </c>
      <c r="F78" s="2">
        <v>1</v>
      </c>
      <c r="G78" s="2" t="s">
        <v>91</v>
      </c>
      <c r="H78" s="2" t="s">
        <v>92</v>
      </c>
      <c r="I78" s="2" t="s">
        <v>163</v>
      </c>
      <c r="J78" s="2">
        <v>181</v>
      </c>
      <c r="K78" s="47">
        <v>45497</v>
      </c>
      <c r="L78" s="46">
        <v>0.50521990740740741</v>
      </c>
      <c r="M78" s="2">
        <v>1</v>
      </c>
      <c r="N78" s="2" t="s">
        <v>164</v>
      </c>
      <c r="O78" s="2">
        <v>1.2E-2</v>
      </c>
      <c r="P78" s="2">
        <v>5.31E-4</v>
      </c>
      <c r="Q78" s="2">
        <v>0</v>
      </c>
      <c r="R78" s="2" t="s">
        <v>95</v>
      </c>
      <c r="S78" s="48">
        <f t="shared" si="10"/>
        <v>0</v>
      </c>
      <c r="T78" s="2" t="s">
        <v>151</v>
      </c>
      <c r="U78" s="48" t="s">
        <v>97</v>
      </c>
      <c r="V78" s="44" t="s">
        <v>97</v>
      </c>
      <c r="W78" s="44" t="s">
        <v>98</v>
      </c>
      <c r="X78" s="44" t="s">
        <v>97</v>
      </c>
      <c r="Y78" s="2" t="s">
        <v>161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 t="str">
        <f t="shared" si="12"/>
        <v>FALSE</v>
      </c>
      <c r="AM78" s="2" t="str">
        <f t="shared" si="12"/>
        <v>FALSE</v>
      </c>
      <c r="AN78" s="2" t="str">
        <f t="shared" si="12"/>
        <v>FALSE</v>
      </c>
      <c r="AO78" s="2" t="str">
        <f t="shared" si="13"/>
        <v>FALSE</v>
      </c>
      <c r="AP78" s="2" t="str">
        <f t="shared" si="13"/>
        <v>FALSE</v>
      </c>
      <c r="AQ78" s="2" t="b">
        <f>IF(AND(I78="TP",S78&lt;=150),VLOOKUP(AF78,[1]TPCalibEq150!$AZ$2:$BB$74,3,),IF(AND(I78="TDP",S78&lt;=150),VLOOKUP(AF78,[1]TPCalibEq150!$AZ$2:$BB$74,3,)))</f>
        <v>0</v>
      </c>
      <c r="AR78" s="2" t="b">
        <f>IF(AND(I78="TP",S78&lt;=300),VLOOKUP(AF78,[1]TPCalibEq300!$AZ$2:$BB$76,3,),IF(AND(I78="TDP",S78&lt;=300),VLOOKUP(AF78,[1]TPCalibEq300!$AZ$2:$BB$76,3,)))</f>
        <v>0</v>
      </c>
      <c r="AS78" s="2" t="b">
        <f>IF(AND(I78="TP",S78&lt;=500),VLOOKUP(AF78,[1]TPCalibEq500!$AZ$2:$BB$88,3,),IF(AND(I78="TDP",S78&lt;=500),VLOOKUP(AF78,[1]TPCalibEq500!$AZ$2:$BB$88,3,)))</f>
        <v>0</v>
      </c>
      <c r="AT78" s="2" t="b">
        <f>IF(AND(I78="TN",S78&lt;=2800),VLOOKUP(AF78,[1]TNCalibEq2500!$AZ$2:$BB$80,3,),IF(AND(I78="TDN",S78&lt;=2800),VLOOKUP(AF78,[1]TNCalibEq2500!$AZ$2:$BB$80,3,)))</f>
        <v>0</v>
      </c>
      <c r="AU78" s="2" t="b">
        <f>IF(I78="TP",VLOOKUP(AF78,[1]TPCalibEqFull!$AZ$2:$BB$164,3),IF(I78="TDP",VLOOKUP(AF78,[1]TPCalibEqFull!$AZ$2:$BB$164,3),IF(I78="TDN",VLOOKUP(AF78,[1]TNCalibEqFull!$AZ$2:$BB$116,3),IF(I78="TN",VLOOKUP(AF78,[1]TNCalibEqFull!$AZ$2:$BB$118,3),FALSE))))</f>
        <v>0</v>
      </c>
      <c r="AV78" s="2" t="str">
        <f t="shared" si="11"/>
        <v>0724 09:00:00-QAC-STD-H-1-DI-CAL</v>
      </c>
      <c r="AW78" s="2"/>
      <c r="AX78" s="2"/>
      <c r="AY78" s="2"/>
    </row>
    <row r="79" spans="1:51" x14ac:dyDescent="0.35">
      <c r="A79" s="45">
        <v>45497</v>
      </c>
      <c r="B79" s="46">
        <v>0.375</v>
      </c>
      <c r="C79" s="2" t="s">
        <v>88</v>
      </c>
      <c r="D79" s="2" t="s">
        <v>89</v>
      </c>
      <c r="E79" s="2" t="s">
        <v>100</v>
      </c>
      <c r="F79" s="2">
        <v>1</v>
      </c>
      <c r="G79" s="2" t="s">
        <v>91</v>
      </c>
      <c r="H79" s="2" t="s">
        <v>92</v>
      </c>
      <c r="I79" s="2" t="s">
        <v>163</v>
      </c>
      <c r="J79" s="2">
        <v>182</v>
      </c>
      <c r="K79" s="47">
        <v>45497</v>
      </c>
      <c r="L79" s="46">
        <v>0.5060648148148148</v>
      </c>
      <c r="M79" s="2">
        <v>1</v>
      </c>
      <c r="N79" s="2" t="s">
        <v>164</v>
      </c>
      <c r="O79" s="2">
        <v>0.188</v>
      </c>
      <c r="P79" s="2">
        <v>8.8500000000000002E-3</v>
      </c>
      <c r="Q79" s="2">
        <v>20</v>
      </c>
      <c r="R79" s="2" t="s">
        <v>95</v>
      </c>
      <c r="S79" s="48">
        <f t="shared" si="10"/>
        <v>20</v>
      </c>
      <c r="T79" s="2" t="s">
        <v>165</v>
      </c>
      <c r="U79" s="48" t="s">
        <v>97</v>
      </c>
      <c r="V79" s="44" t="s">
        <v>97</v>
      </c>
      <c r="W79" s="44" t="s">
        <v>98</v>
      </c>
      <c r="X79" s="44" t="s">
        <v>97</v>
      </c>
      <c r="Y79" s="2" t="s">
        <v>161</v>
      </c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 t="str">
        <f t="shared" si="12"/>
        <v>FALSE</v>
      </c>
      <c r="AM79" s="2" t="str">
        <f t="shared" si="12"/>
        <v>FALSE</v>
      </c>
      <c r="AN79" s="2" t="str">
        <f t="shared" si="12"/>
        <v>FALSE</v>
      </c>
      <c r="AO79" s="2" t="str">
        <f t="shared" si="13"/>
        <v>FALSE</v>
      </c>
      <c r="AP79" s="2" t="str">
        <f t="shared" si="13"/>
        <v>FALSE</v>
      </c>
      <c r="AQ79" s="2" t="b">
        <f>IF(AND(I79="TP",S79&lt;=150),VLOOKUP(AF79,[1]TPCalibEq150!$AZ$2:$BB$74,3,),IF(AND(I79="TDP",S79&lt;=150),VLOOKUP(AF79,[1]TPCalibEq150!$AZ$2:$BB$74,3,)))</f>
        <v>0</v>
      </c>
      <c r="AR79" s="2" t="b">
        <f>IF(AND(I79="TP",S79&lt;=300),VLOOKUP(AF79,[1]TPCalibEq300!$AZ$2:$BB$76,3,),IF(AND(I79="TDP",S79&lt;=300),VLOOKUP(AF79,[1]TPCalibEq300!$AZ$2:$BB$76,3,)))</f>
        <v>0</v>
      </c>
      <c r="AS79" s="2" t="b">
        <f>IF(AND(I79="TP",S79&lt;=500),VLOOKUP(AF79,[1]TPCalibEq500!$AZ$2:$BB$88,3,),IF(AND(I79="TDP",S79&lt;=500),VLOOKUP(AF79,[1]TPCalibEq500!$AZ$2:$BB$88,3,)))</f>
        <v>0</v>
      </c>
      <c r="AT79" s="2" t="b">
        <f>IF(AND(I79="TN",S79&lt;=2800),VLOOKUP(AF79,[1]TNCalibEq2500!$AZ$2:$BB$80,3,),IF(AND(I79="TDN",S79&lt;=2800),VLOOKUP(AF79,[1]TNCalibEq2500!$AZ$2:$BB$80,3,)))</f>
        <v>0</v>
      </c>
      <c r="AU79" s="2" t="b">
        <f>IF(I79="TP",VLOOKUP(AF79,[1]TPCalibEqFull!$AZ$2:$BB$164,3),IF(I79="TDP",VLOOKUP(AF79,[1]TPCalibEqFull!$AZ$2:$BB$164,3),IF(I79="TDN",VLOOKUP(AF79,[1]TNCalibEqFull!$AZ$2:$BB$116,3),IF(I79="TN",VLOOKUP(AF79,[1]TNCalibEqFull!$AZ$2:$BB$118,3),FALSE))))</f>
        <v>0</v>
      </c>
      <c r="AV79" s="2" t="str">
        <f t="shared" si="11"/>
        <v>0724 09:00:00-QAC-STD-G-1-DI-CAL</v>
      </c>
      <c r="AW79" s="2"/>
      <c r="AX79" s="2"/>
      <c r="AY79" s="2"/>
    </row>
    <row r="80" spans="1:51" x14ac:dyDescent="0.35">
      <c r="A80" s="45">
        <v>45497</v>
      </c>
      <c r="B80" s="46">
        <v>0.375</v>
      </c>
      <c r="C80" s="2" t="s">
        <v>88</v>
      </c>
      <c r="D80" s="2" t="s">
        <v>89</v>
      </c>
      <c r="E80" s="2" t="s">
        <v>102</v>
      </c>
      <c r="F80" s="2">
        <v>1</v>
      </c>
      <c r="G80" s="2" t="s">
        <v>91</v>
      </c>
      <c r="H80" s="2" t="s">
        <v>92</v>
      </c>
      <c r="I80" s="2" t="s">
        <v>163</v>
      </c>
      <c r="J80" s="2">
        <v>183</v>
      </c>
      <c r="K80" s="47">
        <v>45497</v>
      </c>
      <c r="L80" s="46">
        <v>0.50692129629629623</v>
      </c>
      <c r="M80" s="2">
        <v>1</v>
      </c>
      <c r="N80" s="2" t="s">
        <v>164</v>
      </c>
      <c r="O80" s="2">
        <v>0.52900000000000003</v>
      </c>
      <c r="P80" s="2">
        <v>2.5499999999999998E-2</v>
      </c>
      <c r="Q80" s="2">
        <v>60</v>
      </c>
      <c r="R80" s="2" t="s">
        <v>95</v>
      </c>
      <c r="S80" s="48">
        <f t="shared" si="10"/>
        <v>60</v>
      </c>
      <c r="T80" s="2" t="s">
        <v>166</v>
      </c>
      <c r="U80" s="48" t="s">
        <v>97</v>
      </c>
      <c r="V80" s="44" t="s">
        <v>97</v>
      </c>
      <c r="W80" s="44" t="s">
        <v>98</v>
      </c>
      <c r="X80" s="44" t="s">
        <v>97</v>
      </c>
      <c r="Y80" s="2" t="s">
        <v>161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 t="str">
        <f t="shared" si="12"/>
        <v>FALSE</v>
      </c>
      <c r="AM80" s="2" t="str">
        <f t="shared" si="12"/>
        <v>FALSE</v>
      </c>
      <c r="AN80" s="2" t="str">
        <f t="shared" si="12"/>
        <v>FALSE</v>
      </c>
      <c r="AO80" s="2" t="str">
        <f t="shared" si="13"/>
        <v>FALSE</v>
      </c>
      <c r="AP80" s="2" t="str">
        <f t="shared" si="13"/>
        <v>FALSE</v>
      </c>
      <c r="AQ80" s="2" t="b">
        <f>IF(AND(I80="TP",S80&lt;=150),VLOOKUP(AF80,[1]TPCalibEq150!$AZ$2:$BB$74,3,),IF(AND(I80="TDP",S80&lt;=150),VLOOKUP(AF80,[1]TPCalibEq150!$AZ$2:$BB$74,3,)))</f>
        <v>0</v>
      </c>
      <c r="AR80" s="2" t="b">
        <f>IF(AND(I80="TP",S80&lt;=300),VLOOKUP(AF80,[1]TPCalibEq300!$AZ$2:$BB$76,3,),IF(AND(I80="TDP",S80&lt;=300),VLOOKUP(AF80,[1]TPCalibEq300!$AZ$2:$BB$76,3,)))</f>
        <v>0</v>
      </c>
      <c r="AS80" s="2" t="b">
        <f>IF(AND(I80="TP",S80&lt;=500),VLOOKUP(AF80,[1]TPCalibEq500!$AZ$2:$BB$88,3,),IF(AND(I80="TDP",S80&lt;=500),VLOOKUP(AF80,[1]TPCalibEq500!$AZ$2:$BB$88,3,)))</f>
        <v>0</v>
      </c>
      <c r="AT80" s="2" t="b">
        <f>IF(AND(I80="TN",S80&lt;=2800),VLOOKUP(AF80,[1]TNCalibEq2500!$AZ$2:$BB$80,3,),IF(AND(I80="TDN",S80&lt;=2800),VLOOKUP(AF80,[1]TNCalibEq2500!$AZ$2:$BB$80,3,)))</f>
        <v>0</v>
      </c>
      <c r="AU80" s="2" t="b">
        <f>IF(I80="TP",VLOOKUP(AF80,[1]TPCalibEqFull!$AZ$2:$BB$164,3),IF(I80="TDP",VLOOKUP(AF80,[1]TPCalibEqFull!$AZ$2:$BB$164,3),IF(I80="TDN",VLOOKUP(AF80,[1]TNCalibEqFull!$AZ$2:$BB$116,3),IF(I80="TN",VLOOKUP(AF80,[1]TNCalibEqFull!$AZ$2:$BB$118,3),FALSE))))</f>
        <v>0</v>
      </c>
      <c r="AV80" s="2" t="str">
        <f t="shared" si="11"/>
        <v>0724 09:00:00-QAC-STD-F-1-DI-CAL</v>
      </c>
      <c r="AW80" s="2"/>
      <c r="AX80" s="2"/>
      <c r="AY80" s="2"/>
    </row>
    <row r="81" spans="1:51" x14ac:dyDescent="0.35">
      <c r="A81" s="45">
        <v>45497</v>
      </c>
      <c r="B81" s="46">
        <v>0.375</v>
      </c>
      <c r="C81" s="2" t="s">
        <v>88</v>
      </c>
      <c r="D81" s="2" t="s">
        <v>89</v>
      </c>
      <c r="E81" s="2" t="s">
        <v>104</v>
      </c>
      <c r="F81" s="2">
        <v>1</v>
      </c>
      <c r="G81" s="2" t="s">
        <v>91</v>
      </c>
      <c r="H81" s="2" t="s">
        <v>92</v>
      </c>
      <c r="I81" s="2" t="s">
        <v>163</v>
      </c>
      <c r="J81" s="2">
        <v>184</v>
      </c>
      <c r="K81" s="47">
        <v>45497</v>
      </c>
      <c r="L81" s="46">
        <v>0.50774305555555554</v>
      </c>
      <c r="M81" s="2">
        <v>1</v>
      </c>
      <c r="N81" s="2" t="s">
        <v>164</v>
      </c>
      <c r="O81" s="2">
        <v>0.69199999999999995</v>
      </c>
      <c r="P81" s="2">
        <v>3.3700000000000001E-2</v>
      </c>
      <c r="Q81" s="2">
        <v>80</v>
      </c>
      <c r="R81" s="2" t="s">
        <v>95</v>
      </c>
      <c r="S81" s="48">
        <f t="shared" si="10"/>
        <v>80</v>
      </c>
      <c r="T81" s="2" t="s">
        <v>167</v>
      </c>
      <c r="U81" s="48" t="s">
        <v>97</v>
      </c>
      <c r="V81" s="44" t="s">
        <v>97</v>
      </c>
      <c r="W81" s="44" t="s">
        <v>98</v>
      </c>
      <c r="X81" s="44" t="s">
        <v>97</v>
      </c>
      <c r="Y81" s="2" t="s">
        <v>161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 t="str">
        <f t="shared" si="12"/>
        <v>FALSE</v>
      </c>
      <c r="AM81" s="2" t="str">
        <f t="shared" si="12"/>
        <v>FALSE</v>
      </c>
      <c r="AN81" s="2" t="str">
        <f t="shared" si="12"/>
        <v>FALSE</v>
      </c>
      <c r="AO81" s="2" t="str">
        <f t="shared" si="13"/>
        <v>FALSE</v>
      </c>
      <c r="AP81" s="2" t="str">
        <f t="shared" si="13"/>
        <v>FALSE</v>
      </c>
      <c r="AQ81" s="2" t="b">
        <f>IF(AND(I81="TP",S81&lt;=150),VLOOKUP(AF81,[1]TPCalibEq150!$AZ$2:$BB$74,3,),IF(AND(I81="TDP",S81&lt;=150),VLOOKUP(AF81,[1]TPCalibEq150!$AZ$2:$BB$74,3,)))</f>
        <v>0</v>
      </c>
      <c r="AR81" s="2" t="b">
        <f>IF(AND(I81="TP",S81&lt;=300),VLOOKUP(AF81,[1]TPCalibEq300!$AZ$2:$BB$76,3,),IF(AND(I81="TDP",S81&lt;=300),VLOOKUP(AF81,[1]TPCalibEq300!$AZ$2:$BB$76,3,)))</f>
        <v>0</v>
      </c>
      <c r="AS81" s="2" t="b">
        <f>IF(AND(I81="TP",S81&lt;=500),VLOOKUP(AF81,[1]TPCalibEq500!$AZ$2:$BB$88,3,),IF(AND(I81="TDP",S81&lt;=500),VLOOKUP(AF81,[1]TPCalibEq500!$AZ$2:$BB$88,3,)))</f>
        <v>0</v>
      </c>
      <c r="AT81" s="2" t="b">
        <f>IF(AND(I81="TN",S81&lt;=2800),VLOOKUP(AF81,[1]TNCalibEq2500!$AZ$2:$BB$80,3,),IF(AND(I81="TDN",S81&lt;=2800),VLOOKUP(AF81,[1]TNCalibEq2500!$AZ$2:$BB$80,3,)))</f>
        <v>0</v>
      </c>
      <c r="AU81" s="2" t="b">
        <f>IF(I81="TP",VLOOKUP(AF81,[1]TPCalibEqFull!$AZ$2:$BB$164,3),IF(I81="TDP",VLOOKUP(AF81,[1]TPCalibEqFull!$AZ$2:$BB$164,3),IF(I81="TDN",VLOOKUP(AF81,[1]TNCalibEqFull!$AZ$2:$BB$116,3),IF(I81="TN",VLOOKUP(AF81,[1]TNCalibEqFull!$AZ$2:$BB$118,3),FALSE))))</f>
        <v>0</v>
      </c>
      <c r="AV81" s="2" t="str">
        <f t="shared" si="11"/>
        <v>0724 09:00:00-QAC-STD-E-1-DI-CAL</v>
      </c>
      <c r="AW81" s="2"/>
      <c r="AX81" s="2"/>
      <c r="AY81" s="2"/>
    </row>
    <row r="82" spans="1:51" x14ac:dyDescent="0.35">
      <c r="A82" s="45">
        <v>45497</v>
      </c>
      <c r="B82" s="46">
        <v>0.375</v>
      </c>
      <c r="C82" s="2" t="s">
        <v>88</v>
      </c>
      <c r="D82" s="2" t="s">
        <v>89</v>
      </c>
      <c r="E82" s="2" t="s">
        <v>106</v>
      </c>
      <c r="F82" s="2">
        <v>1</v>
      </c>
      <c r="G82" s="2" t="s">
        <v>91</v>
      </c>
      <c r="H82" s="2" t="s">
        <v>92</v>
      </c>
      <c r="I82" s="2" t="s">
        <v>163</v>
      </c>
      <c r="J82" s="2">
        <v>185</v>
      </c>
      <c r="K82" s="47">
        <v>45497</v>
      </c>
      <c r="L82" s="46">
        <v>0.50858796296296294</v>
      </c>
      <c r="M82" s="2">
        <v>1</v>
      </c>
      <c r="N82" s="2" t="s">
        <v>164</v>
      </c>
      <c r="O82" s="2">
        <v>2.57</v>
      </c>
      <c r="P82" s="2">
        <v>0.13400000000000001</v>
      </c>
      <c r="Q82" s="2">
        <v>300</v>
      </c>
      <c r="R82" s="2" t="s">
        <v>95</v>
      </c>
      <c r="S82" s="48">
        <f t="shared" si="10"/>
        <v>300</v>
      </c>
      <c r="T82" s="2" t="s">
        <v>168</v>
      </c>
      <c r="U82" s="48" t="s">
        <v>97</v>
      </c>
      <c r="V82" s="44" t="s">
        <v>97</v>
      </c>
      <c r="W82" s="44" t="s">
        <v>98</v>
      </c>
      <c r="X82" s="44" t="s">
        <v>97</v>
      </c>
      <c r="Y82" s="2" t="s">
        <v>161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 t="str">
        <f t="shared" si="12"/>
        <v>FALSE</v>
      </c>
      <c r="AM82" s="2" t="str">
        <f t="shared" si="12"/>
        <v>FALSE</v>
      </c>
      <c r="AN82" s="2" t="str">
        <f t="shared" si="12"/>
        <v>FALSE</v>
      </c>
      <c r="AO82" s="2" t="str">
        <f t="shared" si="13"/>
        <v>FALSE</v>
      </c>
      <c r="AP82" s="2" t="str">
        <f t="shared" si="13"/>
        <v>FALSE</v>
      </c>
      <c r="AQ82" s="2" t="b">
        <f>IF(AND(I82="TP",S82&lt;=150),VLOOKUP(AF82,[1]TPCalibEq150!$AZ$2:$BB$74,3,),IF(AND(I82="TDP",S82&lt;=150),VLOOKUP(AF82,[1]TPCalibEq150!$AZ$2:$BB$74,3,)))</f>
        <v>0</v>
      </c>
      <c r="AR82" s="2" t="b">
        <f>IF(AND(I82="TP",S82&lt;=300),VLOOKUP(AF82,[1]TPCalibEq300!$AZ$2:$BB$76,3,),IF(AND(I82="TDP",S82&lt;=300),VLOOKUP(AF82,[1]TPCalibEq300!$AZ$2:$BB$76,3,)))</f>
        <v>0</v>
      </c>
      <c r="AS82" s="2" t="b">
        <f>IF(AND(I82="TP",S82&lt;=500),VLOOKUP(AF82,[1]TPCalibEq500!$AZ$2:$BB$88,3,),IF(AND(I82="TDP",S82&lt;=500),VLOOKUP(AF82,[1]TPCalibEq500!$AZ$2:$BB$88,3,)))</f>
        <v>0</v>
      </c>
      <c r="AT82" s="2" t="b">
        <f>IF(AND(I82="TN",S82&lt;=2800),VLOOKUP(AF82,[1]TNCalibEq2500!$AZ$2:$BB$80,3,),IF(AND(I82="TDN",S82&lt;=2800),VLOOKUP(AF82,[1]TNCalibEq2500!$AZ$2:$BB$80,3,)))</f>
        <v>0</v>
      </c>
      <c r="AU82" s="2" t="b">
        <f>IF(I82="TP",VLOOKUP(AF82,[1]TPCalibEqFull!$AZ$2:$BB$164,3),IF(I82="TDP",VLOOKUP(AF82,[1]TPCalibEqFull!$AZ$2:$BB$164,3),IF(I82="TDN",VLOOKUP(AF82,[1]TNCalibEqFull!$AZ$2:$BB$116,3),IF(I82="TN",VLOOKUP(AF82,[1]TNCalibEqFull!$AZ$2:$BB$118,3),FALSE))))</f>
        <v>0</v>
      </c>
      <c r="AV82" s="2" t="str">
        <f t="shared" si="11"/>
        <v>0724 09:00:00-QAC-STD-D-1-DI-CAL</v>
      </c>
      <c r="AW82" s="2"/>
      <c r="AX82" s="2"/>
      <c r="AY82" s="2"/>
    </row>
    <row r="83" spans="1:51" x14ac:dyDescent="0.35">
      <c r="A83" s="45">
        <v>45497</v>
      </c>
      <c r="B83" s="46">
        <v>0.375</v>
      </c>
      <c r="C83" s="2" t="s">
        <v>88</v>
      </c>
      <c r="D83" s="2" t="s">
        <v>89</v>
      </c>
      <c r="E83" s="2" t="s">
        <v>108</v>
      </c>
      <c r="F83" s="2">
        <v>1</v>
      </c>
      <c r="G83" s="2" t="s">
        <v>91</v>
      </c>
      <c r="H83" s="2" t="s">
        <v>92</v>
      </c>
      <c r="I83" s="2" t="s">
        <v>163</v>
      </c>
      <c r="J83" s="2">
        <v>186</v>
      </c>
      <c r="K83" s="47">
        <v>45497</v>
      </c>
      <c r="L83" s="46">
        <v>0.50940972222222225</v>
      </c>
      <c r="M83" s="2">
        <v>1</v>
      </c>
      <c r="N83" s="2" t="s">
        <v>164</v>
      </c>
      <c r="O83" s="2">
        <v>5.13</v>
      </c>
      <c r="P83" s="2">
        <v>0.252</v>
      </c>
      <c r="Q83" s="2">
        <v>600</v>
      </c>
      <c r="R83" s="2" t="s">
        <v>95</v>
      </c>
      <c r="S83" s="48">
        <f t="shared" si="10"/>
        <v>600</v>
      </c>
      <c r="T83" s="2" t="s">
        <v>169</v>
      </c>
      <c r="U83" s="48" t="s">
        <v>97</v>
      </c>
      <c r="V83" s="44" t="s">
        <v>97</v>
      </c>
      <c r="W83" s="44" t="s">
        <v>98</v>
      </c>
      <c r="X83" s="44" t="s">
        <v>97</v>
      </c>
      <c r="Y83" s="2" t="s">
        <v>161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 t="str">
        <f t="shared" si="12"/>
        <v>FALSE</v>
      </c>
      <c r="AM83" s="2" t="str">
        <f t="shared" si="12"/>
        <v>FALSE</v>
      </c>
      <c r="AN83" s="2" t="str">
        <f t="shared" si="12"/>
        <v>FALSE</v>
      </c>
      <c r="AO83" s="2" t="str">
        <f t="shared" si="13"/>
        <v>FALSE</v>
      </c>
      <c r="AP83" s="2" t="str">
        <f t="shared" si="13"/>
        <v>FALSE</v>
      </c>
      <c r="AQ83" s="2" t="b">
        <f>IF(AND(I83="TP",S83&lt;=150),VLOOKUP(AF83,[1]TPCalibEq150!$AZ$2:$BB$74,3,),IF(AND(I83="TDP",S83&lt;=150),VLOOKUP(AF83,[1]TPCalibEq150!$AZ$2:$BB$74,3,)))</f>
        <v>0</v>
      </c>
      <c r="AR83" s="2" t="b">
        <f>IF(AND(I83="TP",S83&lt;=300),VLOOKUP(AF83,[1]TPCalibEq300!$AZ$2:$BB$76,3,),IF(AND(I83="TDP",S83&lt;=300),VLOOKUP(AF83,[1]TPCalibEq300!$AZ$2:$BB$76,3,)))</f>
        <v>0</v>
      </c>
      <c r="AS83" s="2" t="b">
        <f>IF(AND(I83="TP",S83&lt;=500),VLOOKUP(AF83,[1]TPCalibEq500!$AZ$2:$BB$88,3,),IF(AND(I83="TDP",S83&lt;=500),VLOOKUP(AF83,[1]TPCalibEq500!$AZ$2:$BB$88,3,)))</f>
        <v>0</v>
      </c>
      <c r="AT83" s="2" t="b">
        <f>IF(AND(I83="TN",S83&lt;=2800),VLOOKUP(AF83,[1]TNCalibEq2500!$AZ$2:$BB$80,3,),IF(AND(I83="TDN",S83&lt;=2800),VLOOKUP(AF83,[1]TNCalibEq2500!$AZ$2:$BB$80,3,)))</f>
        <v>0</v>
      </c>
      <c r="AU83" s="2" t="b">
        <f>IF(I83="TP",VLOOKUP(AF83,[1]TPCalibEqFull!$AZ$2:$BB$164,3),IF(I83="TDP",VLOOKUP(AF83,[1]TPCalibEqFull!$AZ$2:$BB$164,3),IF(I83="TDN",VLOOKUP(AF83,[1]TNCalibEqFull!$AZ$2:$BB$116,3),IF(I83="TN",VLOOKUP(AF83,[1]TNCalibEqFull!$AZ$2:$BB$118,3),FALSE))))</f>
        <v>0</v>
      </c>
      <c r="AV83" s="2" t="str">
        <f t="shared" si="11"/>
        <v>0724 09:00:00-QAC-STD-C-1-DI-CAL</v>
      </c>
      <c r="AW83" s="2"/>
      <c r="AX83" s="2"/>
      <c r="AY83" s="2"/>
    </row>
    <row r="84" spans="1:51" x14ac:dyDescent="0.35">
      <c r="A84" s="45">
        <v>45497</v>
      </c>
      <c r="B84" s="46">
        <v>0.375</v>
      </c>
      <c r="C84" s="2" t="s">
        <v>88</v>
      </c>
      <c r="D84" s="2" t="s">
        <v>89</v>
      </c>
      <c r="E84" s="2" t="s">
        <v>110</v>
      </c>
      <c r="F84" s="2">
        <v>1</v>
      </c>
      <c r="G84" s="2" t="s">
        <v>91</v>
      </c>
      <c r="H84" s="2" t="s">
        <v>92</v>
      </c>
      <c r="I84" s="2" t="s">
        <v>163</v>
      </c>
      <c r="J84" s="2">
        <v>187</v>
      </c>
      <c r="K84" s="47">
        <v>45497</v>
      </c>
      <c r="L84" s="46">
        <v>0.5102430555555556</v>
      </c>
      <c r="M84" s="2">
        <v>1</v>
      </c>
      <c r="N84" s="2" t="s">
        <v>164</v>
      </c>
      <c r="O84" s="2">
        <v>10.3</v>
      </c>
      <c r="P84" s="2">
        <v>0.50900000000000001</v>
      </c>
      <c r="Q84" s="2">
        <v>1200</v>
      </c>
      <c r="R84" s="2" t="s">
        <v>95</v>
      </c>
      <c r="S84" s="48">
        <f t="shared" si="10"/>
        <v>1200</v>
      </c>
      <c r="T84" s="2" t="s">
        <v>170</v>
      </c>
      <c r="U84" s="48" t="s">
        <v>97</v>
      </c>
      <c r="V84" s="44" t="s">
        <v>97</v>
      </c>
      <c r="W84" s="44" t="s">
        <v>98</v>
      </c>
      <c r="X84" s="44" t="s">
        <v>97</v>
      </c>
      <c r="Y84" s="2" t="s">
        <v>161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 t="str">
        <f t="shared" si="12"/>
        <v>FALSE</v>
      </c>
      <c r="AM84" s="2" t="str">
        <f t="shared" si="12"/>
        <v>FALSE</v>
      </c>
      <c r="AN84" s="2" t="str">
        <f t="shared" si="12"/>
        <v>FALSE</v>
      </c>
      <c r="AO84" s="2" t="str">
        <f t="shared" si="13"/>
        <v>FALSE</v>
      </c>
      <c r="AP84" s="2" t="str">
        <f t="shared" si="13"/>
        <v>FALSE</v>
      </c>
      <c r="AQ84" s="2" t="b">
        <f>IF(AND(I84="TP",S84&lt;=150),VLOOKUP(AF84,[1]TPCalibEq150!$AZ$2:$BB$74,3,),IF(AND(I84="TDP",S84&lt;=150),VLOOKUP(AF84,[1]TPCalibEq150!$AZ$2:$BB$74,3,)))</f>
        <v>0</v>
      </c>
      <c r="AR84" s="2" t="b">
        <f>IF(AND(I84="TP",S84&lt;=300),VLOOKUP(AF84,[1]TPCalibEq300!$AZ$2:$BB$76,3,),IF(AND(I84="TDP",S84&lt;=300),VLOOKUP(AF84,[1]TPCalibEq300!$AZ$2:$BB$76,3,)))</f>
        <v>0</v>
      </c>
      <c r="AS84" s="2" t="b">
        <f>IF(AND(I84="TP",S84&lt;=500),VLOOKUP(AF84,[1]TPCalibEq500!$AZ$2:$BB$88,3,),IF(AND(I84="TDP",S84&lt;=500),VLOOKUP(AF84,[1]TPCalibEq500!$AZ$2:$BB$88,3,)))</f>
        <v>0</v>
      </c>
      <c r="AT84" s="2" t="b">
        <f>IF(AND(I84="TN",S84&lt;=2800),VLOOKUP(AF84,[1]TNCalibEq2500!$AZ$2:$BB$80,3,),IF(AND(I84="TDN",S84&lt;=2800),VLOOKUP(AF84,[1]TNCalibEq2500!$AZ$2:$BB$80,3,)))</f>
        <v>0</v>
      </c>
      <c r="AU84" s="2" t="b">
        <f>IF(I84="TP",VLOOKUP(AF84,[1]TPCalibEqFull!$AZ$2:$BB$164,3),IF(I84="TDP",VLOOKUP(AF84,[1]TPCalibEqFull!$AZ$2:$BB$164,3),IF(I84="TDN",VLOOKUP(AF84,[1]TNCalibEqFull!$AZ$2:$BB$116,3),IF(I84="TN",VLOOKUP(AF84,[1]TNCalibEqFull!$AZ$2:$BB$118,3),FALSE))))</f>
        <v>0</v>
      </c>
      <c r="AV84" s="2" t="str">
        <f t="shared" si="11"/>
        <v>0724 09:00:00-QAC-STD-B-1-DI-CAL</v>
      </c>
      <c r="AW84" s="2"/>
      <c r="AX84" s="2"/>
      <c r="AY84" s="2"/>
    </row>
    <row r="85" spans="1:51" x14ac:dyDescent="0.35">
      <c r="A85" s="45">
        <v>45497</v>
      </c>
      <c r="B85" s="46">
        <v>0.375</v>
      </c>
      <c r="C85" s="2" t="s">
        <v>88</v>
      </c>
      <c r="D85" s="2" t="s">
        <v>89</v>
      </c>
      <c r="E85" s="2" t="s">
        <v>112</v>
      </c>
      <c r="F85" s="2">
        <v>1</v>
      </c>
      <c r="G85" s="2" t="s">
        <v>91</v>
      </c>
      <c r="H85" s="2" t="s">
        <v>92</v>
      </c>
      <c r="I85" s="2" t="s">
        <v>163</v>
      </c>
      <c r="J85" s="2">
        <v>188</v>
      </c>
      <c r="K85" s="47">
        <v>45497</v>
      </c>
      <c r="L85" s="46">
        <v>0.51106481481481481</v>
      </c>
      <c r="M85" s="2">
        <v>1</v>
      </c>
      <c r="N85" s="2" t="s">
        <v>164</v>
      </c>
      <c r="O85" s="2">
        <v>17.399999999999999</v>
      </c>
      <c r="P85" s="2">
        <v>0.86499999999999999</v>
      </c>
      <c r="Q85" s="2">
        <v>2000</v>
      </c>
      <c r="R85" s="2" t="s">
        <v>95</v>
      </c>
      <c r="S85" s="48">
        <f t="shared" si="10"/>
        <v>2000</v>
      </c>
      <c r="T85" s="2" t="s">
        <v>171</v>
      </c>
      <c r="U85" s="48" t="s">
        <v>97</v>
      </c>
      <c r="V85" s="44" t="s">
        <v>97</v>
      </c>
      <c r="W85" s="44" t="s">
        <v>98</v>
      </c>
      <c r="X85" s="44" t="s">
        <v>97</v>
      </c>
      <c r="Y85" s="2" t="s">
        <v>161</v>
      </c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 t="str">
        <f t="shared" si="12"/>
        <v>FALSE</v>
      </c>
      <c r="AM85" s="2" t="str">
        <f t="shared" si="12"/>
        <v>FALSE</v>
      </c>
      <c r="AN85" s="2" t="str">
        <f t="shared" si="12"/>
        <v>FALSE</v>
      </c>
      <c r="AO85" s="2" t="str">
        <f t="shared" si="13"/>
        <v>FALSE</v>
      </c>
      <c r="AP85" s="2" t="str">
        <f t="shared" si="13"/>
        <v>FALSE</v>
      </c>
      <c r="AQ85" s="2" t="b">
        <f>IF(AND(I85="TP",S85&lt;=150),VLOOKUP(AF85,[1]TPCalibEq150!$AZ$2:$BB$74,3,),IF(AND(I85="TDP",S85&lt;=150),VLOOKUP(AF85,[1]TPCalibEq150!$AZ$2:$BB$74,3,)))</f>
        <v>0</v>
      </c>
      <c r="AR85" s="2" t="b">
        <f>IF(AND(I85="TP",S85&lt;=300),VLOOKUP(AF85,[1]TPCalibEq300!$AZ$2:$BB$76,3,),IF(AND(I85="TDP",S85&lt;=300),VLOOKUP(AF85,[1]TPCalibEq300!$AZ$2:$BB$76,3,)))</f>
        <v>0</v>
      </c>
      <c r="AS85" s="2" t="b">
        <f>IF(AND(I85="TP",S85&lt;=500),VLOOKUP(AF85,[1]TPCalibEq500!$AZ$2:$BB$88,3,),IF(AND(I85="TDP",S85&lt;=500),VLOOKUP(AF85,[1]TPCalibEq500!$AZ$2:$BB$88,3,)))</f>
        <v>0</v>
      </c>
      <c r="AT85" s="2" t="b">
        <f>IF(AND(I85="TN",S85&lt;=2800),VLOOKUP(AF85,[1]TNCalibEq2500!$AZ$2:$BB$80,3,),IF(AND(I85="TDN",S85&lt;=2800),VLOOKUP(AF85,[1]TNCalibEq2500!$AZ$2:$BB$80,3,)))</f>
        <v>0</v>
      </c>
      <c r="AU85" s="2" t="b">
        <f>IF(I85="TP",VLOOKUP(AF85,[1]TPCalibEqFull!$AZ$2:$BB$164,3),IF(I85="TDP",VLOOKUP(AF85,[1]TPCalibEqFull!$AZ$2:$BB$164,3),IF(I85="TDN",VLOOKUP(AF85,[1]TNCalibEqFull!$AZ$2:$BB$116,3),IF(I85="TN",VLOOKUP(AF85,[1]TNCalibEqFull!$AZ$2:$BB$118,3),FALSE))))</f>
        <v>0</v>
      </c>
      <c r="AV85" s="2" t="str">
        <f t="shared" si="11"/>
        <v>0724 09:00:00-QAC-STD-A-1-DI-CAL</v>
      </c>
      <c r="AW85" s="2"/>
      <c r="AX85" s="2"/>
      <c r="AY85" s="2"/>
    </row>
    <row r="86" spans="1:51" x14ac:dyDescent="0.35">
      <c r="A86" s="45">
        <v>45497</v>
      </c>
      <c r="B86" s="46">
        <v>0.375</v>
      </c>
      <c r="C86" s="2" t="s">
        <v>88</v>
      </c>
      <c r="D86" s="2" t="s">
        <v>114</v>
      </c>
      <c r="E86" s="2" t="s">
        <v>112</v>
      </c>
      <c r="F86" s="2">
        <v>1</v>
      </c>
      <c r="G86" s="2" t="s">
        <v>91</v>
      </c>
      <c r="H86" s="2" t="s">
        <v>115</v>
      </c>
      <c r="I86" s="2" t="s">
        <v>163</v>
      </c>
      <c r="J86" s="2">
        <v>198</v>
      </c>
      <c r="K86" s="47">
        <v>45497</v>
      </c>
      <c r="L86" s="46">
        <v>0.51271990740740747</v>
      </c>
      <c r="M86" s="2">
        <v>1</v>
      </c>
      <c r="N86" s="2" t="s">
        <v>164</v>
      </c>
      <c r="O86" s="2">
        <v>1.2999999999999999E-3</v>
      </c>
      <c r="P86" s="2">
        <v>3.9399999999999998E-4</v>
      </c>
      <c r="Q86" s="2">
        <v>1.89</v>
      </c>
      <c r="R86" s="2" t="s">
        <v>95</v>
      </c>
      <c r="S86" s="48">
        <f t="shared" si="10"/>
        <v>1.89</v>
      </c>
      <c r="T86" s="2" t="s">
        <v>171</v>
      </c>
      <c r="U86" s="48">
        <v>1.89</v>
      </c>
      <c r="V86" s="44" t="s">
        <v>97</v>
      </c>
      <c r="W86" s="44" t="s">
        <v>98</v>
      </c>
      <c r="X86" s="44" t="s">
        <v>116</v>
      </c>
      <c r="Y86" s="2" t="s">
        <v>161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 t="str">
        <f t="shared" si="12"/>
        <v>FALSE</v>
      </c>
      <c r="AM86" s="2" t="str">
        <f t="shared" si="12"/>
        <v>FALSE</v>
      </c>
      <c r="AN86" s="2" t="str">
        <f t="shared" si="12"/>
        <v>FALSE</v>
      </c>
      <c r="AO86" s="2" t="str">
        <f t="shared" si="13"/>
        <v>FALSE</v>
      </c>
      <c r="AP86" s="2" t="str">
        <f t="shared" si="13"/>
        <v>FALSE</v>
      </c>
      <c r="AQ86" s="2" t="b">
        <f>IF(AND(I86="TP",S86&lt;=150),VLOOKUP(AF86,[1]TPCalibEq150!$AZ$2:$BB$74,3,),IF(AND(I86="TDP",S86&lt;=150),VLOOKUP(AF86,[1]TPCalibEq150!$AZ$2:$BB$74,3,)))</f>
        <v>0</v>
      </c>
      <c r="AR86" s="2" t="b">
        <f>IF(AND(I86="TP",S86&lt;=300),VLOOKUP(AF86,[1]TPCalibEq300!$AZ$2:$BB$76,3,),IF(AND(I86="TDP",S86&lt;=300),VLOOKUP(AF86,[1]TPCalibEq300!$AZ$2:$BB$76,3,)))</f>
        <v>0</v>
      </c>
      <c r="AS86" s="2" t="b">
        <f>IF(AND(I86="TP",S86&lt;=500),VLOOKUP(AF86,[1]TPCalibEq500!$AZ$2:$BB$88,3,),IF(AND(I86="TDP",S86&lt;=500),VLOOKUP(AF86,[1]TPCalibEq500!$AZ$2:$BB$88,3,)))</f>
        <v>0</v>
      </c>
      <c r="AT86" s="2" t="b">
        <f>IF(AND(I86="TN",S86&lt;=2800),VLOOKUP(AF86,[1]TNCalibEq2500!$AZ$2:$BB$80,3,),IF(AND(I86="TDN",S86&lt;=2800),VLOOKUP(AF86,[1]TNCalibEq2500!$AZ$2:$BB$80,3,)))</f>
        <v>0</v>
      </c>
      <c r="AU86" s="2" t="b">
        <f>IF(I86="TP",VLOOKUP(AF86,[1]TPCalibEqFull!$AZ$2:$BB$164,3),IF(I86="TDP",VLOOKUP(AF86,[1]TPCalibEqFull!$AZ$2:$BB$164,3),IF(I86="TDN",VLOOKUP(AF86,[1]TNCalibEqFull!$AZ$2:$BB$116,3),IF(I86="TN",VLOOKUP(AF86,[1]TNCalibEqFull!$AZ$2:$BB$118,3),FALSE))))</f>
        <v>0</v>
      </c>
      <c r="AV86" s="2" t="str">
        <f t="shared" si="11"/>
        <v>0724 09:00:00-QAC-BLK-A-1-DI-LAB</v>
      </c>
      <c r="AW86" s="2"/>
      <c r="AX86" s="2"/>
      <c r="AY86" s="2"/>
    </row>
    <row r="87" spans="1:51" x14ac:dyDescent="0.35">
      <c r="A87" s="45">
        <v>45497</v>
      </c>
      <c r="B87" s="46">
        <v>0.375</v>
      </c>
      <c r="C87" s="2" t="s">
        <v>88</v>
      </c>
      <c r="D87" s="2" t="s">
        <v>114</v>
      </c>
      <c r="E87" s="2" t="s">
        <v>112</v>
      </c>
      <c r="F87" s="2">
        <v>1</v>
      </c>
      <c r="G87" s="2" t="s">
        <v>91</v>
      </c>
      <c r="H87" s="2" t="s">
        <v>117</v>
      </c>
      <c r="I87" s="2" t="s">
        <v>163</v>
      </c>
      <c r="J87" s="2">
        <v>225</v>
      </c>
      <c r="K87" s="47">
        <v>45497</v>
      </c>
      <c r="L87" s="46">
        <v>0.51354166666666667</v>
      </c>
      <c r="M87" s="2">
        <v>1</v>
      </c>
      <c r="N87" s="2" t="s">
        <v>164</v>
      </c>
      <c r="O87" s="2">
        <v>5.37</v>
      </c>
      <c r="P87" s="2">
        <v>0.26100000000000001</v>
      </c>
      <c r="Q87" s="2">
        <v>622</v>
      </c>
      <c r="R87" s="2" t="s">
        <v>95</v>
      </c>
      <c r="S87" s="48">
        <f t="shared" si="10"/>
        <v>622</v>
      </c>
      <c r="T87" s="2" t="s">
        <v>171</v>
      </c>
      <c r="U87" s="48">
        <v>99.217600000000004</v>
      </c>
      <c r="V87" s="44">
        <v>625</v>
      </c>
      <c r="W87" s="44" t="s">
        <v>98</v>
      </c>
      <c r="X87" s="44" t="s">
        <v>118</v>
      </c>
      <c r="Y87" s="2" t="s">
        <v>161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 t="str">
        <f t="shared" si="12"/>
        <v>FALSE</v>
      </c>
      <c r="AM87" s="2" t="str">
        <f t="shared" si="12"/>
        <v>FALSE</v>
      </c>
      <c r="AN87" s="2" t="str">
        <f t="shared" si="12"/>
        <v>FALSE</v>
      </c>
      <c r="AO87" s="2" t="str">
        <f t="shared" si="13"/>
        <v>FALSE</v>
      </c>
      <c r="AP87" s="2" t="str">
        <f t="shared" si="13"/>
        <v>FALSE</v>
      </c>
      <c r="AQ87" s="2" t="b">
        <f>IF(AND(I87="TP",S87&lt;=150),VLOOKUP(AF87,[1]TPCalibEq150!$AZ$2:$BB$74,3,),IF(AND(I87="TDP",S87&lt;=150),VLOOKUP(AF87,[1]TPCalibEq150!$AZ$2:$BB$74,3,)))</f>
        <v>0</v>
      </c>
      <c r="AR87" s="2" t="b">
        <f>IF(AND(I87="TP",S87&lt;=300),VLOOKUP(AF87,[1]TPCalibEq300!$AZ$2:$BB$76,3,),IF(AND(I87="TDP",S87&lt;=300),VLOOKUP(AF87,[1]TPCalibEq300!$AZ$2:$BB$76,3,)))</f>
        <v>0</v>
      </c>
      <c r="AS87" s="2" t="b">
        <f>IF(AND(I87="TP",S87&lt;=500),VLOOKUP(AF87,[1]TPCalibEq500!$AZ$2:$BB$88,3,),IF(AND(I87="TDP",S87&lt;=500),VLOOKUP(AF87,[1]TPCalibEq500!$AZ$2:$BB$88,3,)))</f>
        <v>0</v>
      </c>
      <c r="AT87" s="2" t="b">
        <f>IF(AND(I87="TN",S87&lt;=2800),VLOOKUP(AF87,[1]TNCalibEq2500!$AZ$2:$BB$80,3,),IF(AND(I87="TDN",S87&lt;=2800),VLOOKUP(AF87,[1]TNCalibEq2500!$AZ$2:$BB$80,3,)))</f>
        <v>0</v>
      </c>
      <c r="AU87" s="2" t="b">
        <f>IF(I87="TP",VLOOKUP(AF87,[1]TPCalibEqFull!$AZ$2:$BB$164,3),IF(I87="TDP",VLOOKUP(AF87,[1]TPCalibEqFull!$AZ$2:$BB$164,3),IF(I87="TDN",VLOOKUP(AF87,[1]TNCalibEqFull!$AZ$2:$BB$116,3),IF(I87="TN",VLOOKUP(AF87,[1]TNCalibEqFull!$AZ$2:$BB$118,3),FALSE))))</f>
        <v>0</v>
      </c>
      <c r="AV87" s="2" t="str">
        <f t="shared" si="11"/>
        <v>0724 09:00:00-QAC-BLK-A-1-DI-SPK</v>
      </c>
      <c r="AW87" s="2"/>
      <c r="AX87" s="2"/>
      <c r="AY87" s="2"/>
    </row>
    <row r="88" spans="1:51" x14ac:dyDescent="0.35">
      <c r="A88" s="45">
        <v>45469</v>
      </c>
      <c r="B88" s="46">
        <v>0.375</v>
      </c>
      <c r="C88" s="2" t="s">
        <v>88</v>
      </c>
      <c r="D88" s="2" t="s">
        <v>89</v>
      </c>
      <c r="E88" s="2" t="s">
        <v>172</v>
      </c>
      <c r="F88" s="2">
        <v>1</v>
      </c>
      <c r="G88" s="2" t="s">
        <v>91</v>
      </c>
      <c r="H88" s="2" t="s">
        <v>92</v>
      </c>
      <c r="I88" s="2" t="s">
        <v>163</v>
      </c>
      <c r="J88" s="2">
        <v>210</v>
      </c>
      <c r="K88" s="47">
        <v>45497</v>
      </c>
      <c r="L88" s="46">
        <v>0.51604166666666662</v>
      </c>
      <c r="M88" s="2">
        <v>1</v>
      </c>
      <c r="N88" s="2" t="s">
        <v>164</v>
      </c>
      <c r="O88" s="2">
        <v>11.4</v>
      </c>
      <c r="P88" s="2">
        <v>0.57999999999999996</v>
      </c>
      <c r="Q88" s="2">
        <v>1320</v>
      </c>
      <c r="R88" s="2" t="s">
        <v>95</v>
      </c>
      <c r="S88" s="48">
        <f t="shared" si="10"/>
        <v>1320</v>
      </c>
      <c r="T88" s="2" t="s">
        <v>171</v>
      </c>
      <c r="U88" s="48" t="s">
        <v>97</v>
      </c>
      <c r="V88" s="44" t="s">
        <v>97</v>
      </c>
      <c r="W88" s="44" t="s">
        <v>98</v>
      </c>
      <c r="X88" s="44" t="s">
        <v>97</v>
      </c>
      <c r="Y88" s="2" t="s">
        <v>161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 t="str">
        <f t="shared" si="12"/>
        <v>FALSE</v>
      </c>
      <c r="AM88" s="2" t="str">
        <f t="shared" si="12"/>
        <v>FALSE</v>
      </c>
      <c r="AN88" s="2" t="str">
        <f t="shared" si="12"/>
        <v>FALSE</v>
      </c>
      <c r="AO88" s="2" t="str">
        <f t="shared" si="13"/>
        <v>FALSE</v>
      </c>
      <c r="AP88" s="2" t="str">
        <f t="shared" si="13"/>
        <v>FALSE</v>
      </c>
      <c r="AQ88" s="2" t="b">
        <f>IF(AND(I88="TP",S88&lt;=150),VLOOKUP(AF88,[1]TPCalibEq150!$AZ$2:$BB$74,3,),IF(AND(I88="TDP",S88&lt;=150),VLOOKUP(AF88,[1]TPCalibEq150!$AZ$2:$BB$74,3,)))</f>
        <v>0</v>
      </c>
      <c r="AR88" s="2" t="b">
        <f>IF(AND(I88="TP",S88&lt;=300),VLOOKUP(AF88,[1]TPCalibEq300!$AZ$2:$BB$76,3,),IF(AND(I88="TDP",S88&lt;=300),VLOOKUP(AF88,[1]TPCalibEq300!$AZ$2:$BB$76,3,)))</f>
        <v>0</v>
      </c>
      <c r="AS88" s="2" t="b">
        <f>IF(AND(I88="TP",S88&lt;=500),VLOOKUP(AF88,[1]TPCalibEq500!$AZ$2:$BB$88,3,),IF(AND(I88="TDP",S88&lt;=500),VLOOKUP(AF88,[1]TPCalibEq500!$AZ$2:$BB$88,3,)))</f>
        <v>0</v>
      </c>
      <c r="AT88" s="2" t="b">
        <f>IF(AND(I88="TN",S88&lt;=2800),VLOOKUP(AF88,[1]TNCalibEq2500!$AZ$2:$BB$80,3,),IF(AND(I88="TDN",S88&lt;=2800),VLOOKUP(AF88,[1]TNCalibEq2500!$AZ$2:$BB$80,3,)))</f>
        <v>0</v>
      </c>
      <c r="AU88" s="2" t="b">
        <f>IF(I88="TP",VLOOKUP(AF88,[1]TPCalibEqFull!$AZ$2:$BB$164,3),IF(I88="TDP",VLOOKUP(AF88,[1]TPCalibEqFull!$AZ$2:$BB$164,3),IF(I88="TDN",VLOOKUP(AF88,[1]TNCalibEqFull!$AZ$2:$BB$116,3),IF(I88="TN",VLOOKUP(AF88,[1]TNCalibEqFull!$AZ$2:$BB$118,3),FALSE))))</f>
        <v>0</v>
      </c>
      <c r="AV88" s="2" t="str">
        <f t="shared" si="11"/>
        <v>0626 09:00:00-QAC-STD-NO2-1-DI-CAL</v>
      </c>
      <c r="AW88" s="2"/>
      <c r="AX88" s="2"/>
      <c r="AY88" s="2"/>
    </row>
    <row r="89" spans="1:51" x14ac:dyDescent="0.35">
      <c r="A89" s="45">
        <v>45497</v>
      </c>
      <c r="B89" s="46">
        <v>0.375</v>
      </c>
      <c r="C89" s="2" t="s">
        <v>88</v>
      </c>
      <c r="D89" s="2" t="s">
        <v>89</v>
      </c>
      <c r="E89" s="2" t="s">
        <v>172</v>
      </c>
      <c r="F89" s="2">
        <v>1</v>
      </c>
      <c r="G89" s="2" t="s">
        <v>91</v>
      </c>
      <c r="H89" s="2" t="s">
        <v>92</v>
      </c>
      <c r="I89" s="2" t="s">
        <v>163</v>
      </c>
      <c r="J89" s="2">
        <v>189</v>
      </c>
      <c r="K89" s="47">
        <v>45497</v>
      </c>
      <c r="L89" s="46">
        <v>0.51687499999999997</v>
      </c>
      <c r="M89" s="2">
        <v>1</v>
      </c>
      <c r="N89" s="2" t="s">
        <v>164</v>
      </c>
      <c r="O89" s="2">
        <v>11.4</v>
      </c>
      <c r="P89" s="2">
        <v>0.57799999999999996</v>
      </c>
      <c r="Q89" s="2">
        <v>1320</v>
      </c>
      <c r="R89" s="2" t="s">
        <v>95</v>
      </c>
      <c r="S89" s="48">
        <f t="shared" si="10"/>
        <v>1320</v>
      </c>
      <c r="T89" s="2" t="s">
        <v>171</v>
      </c>
      <c r="U89" s="48" t="s">
        <v>97</v>
      </c>
      <c r="V89" s="44" t="s">
        <v>97</v>
      </c>
      <c r="W89" s="44" t="s">
        <v>98</v>
      </c>
      <c r="X89" s="44" t="s">
        <v>97</v>
      </c>
      <c r="Y89" s="2" t="s">
        <v>161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 t="str">
        <f t="shared" si="12"/>
        <v>FALSE</v>
      </c>
      <c r="AM89" s="2" t="str">
        <f t="shared" si="12"/>
        <v>FALSE</v>
      </c>
      <c r="AN89" s="2" t="str">
        <f t="shared" si="12"/>
        <v>FALSE</v>
      </c>
      <c r="AO89" s="2" t="str">
        <f t="shared" si="13"/>
        <v>FALSE</v>
      </c>
      <c r="AP89" s="2" t="str">
        <f t="shared" si="13"/>
        <v>FALSE</v>
      </c>
      <c r="AQ89" s="2" t="b">
        <f>IF(AND(I89="TP",S89&lt;=150),VLOOKUP(AF89,[1]TPCalibEq150!$AZ$2:$BB$74,3,),IF(AND(I89="TDP",S89&lt;=150),VLOOKUP(AF89,[1]TPCalibEq150!$AZ$2:$BB$74,3,)))</f>
        <v>0</v>
      </c>
      <c r="AR89" s="2" t="b">
        <f>IF(AND(I89="TP",S89&lt;=300),VLOOKUP(AF89,[1]TPCalibEq300!$AZ$2:$BB$76,3,),IF(AND(I89="TDP",S89&lt;=300),VLOOKUP(AF89,[1]TPCalibEq300!$AZ$2:$BB$76,3,)))</f>
        <v>0</v>
      </c>
      <c r="AS89" s="2" t="b">
        <f>IF(AND(I89="TP",S89&lt;=500),VLOOKUP(AF89,[1]TPCalibEq500!$AZ$2:$BB$88,3,),IF(AND(I89="TDP",S89&lt;=500),VLOOKUP(AF89,[1]TPCalibEq500!$AZ$2:$BB$88,3,)))</f>
        <v>0</v>
      </c>
      <c r="AT89" s="2" t="b">
        <f>IF(AND(I89="TN",S89&lt;=2800),VLOOKUP(AF89,[1]TNCalibEq2500!$AZ$2:$BB$80,3,),IF(AND(I89="TDN",S89&lt;=2800),VLOOKUP(AF89,[1]TNCalibEq2500!$AZ$2:$BB$80,3,)))</f>
        <v>0</v>
      </c>
      <c r="AU89" s="2" t="b">
        <f>IF(I89="TP",VLOOKUP(AF89,[1]TPCalibEqFull!$AZ$2:$BB$164,3),IF(I89="TDP",VLOOKUP(AF89,[1]TPCalibEqFull!$AZ$2:$BB$164,3),IF(I89="TDN",VLOOKUP(AF89,[1]TNCalibEqFull!$AZ$2:$BB$116,3),IF(I89="TN",VLOOKUP(AF89,[1]TNCalibEqFull!$AZ$2:$BB$118,3),FALSE))))</f>
        <v>0</v>
      </c>
      <c r="AV89" s="2" t="str">
        <f t="shared" si="11"/>
        <v>0724 09:00:00-QAC-STD-NO2-1-DI-CAL</v>
      </c>
      <c r="AW89" s="2"/>
      <c r="AX89" s="2"/>
      <c r="AY89" s="2"/>
    </row>
    <row r="90" spans="1:51" x14ac:dyDescent="0.35">
      <c r="A90" s="45">
        <v>45497</v>
      </c>
      <c r="B90" s="46">
        <v>0.375</v>
      </c>
      <c r="C90" s="2" t="s">
        <v>88</v>
      </c>
      <c r="D90" s="2" t="s">
        <v>89</v>
      </c>
      <c r="E90" s="2" t="s">
        <v>106</v>
      </c>
      <c r="F90" s="2">
        <v>1</v>
      </c>
      <c r="G90" s="2" t="s">
        <v>91</v>
      </c>
      <c r="H90" s="2" t="s">
        <v>122</v>
      </c>
      <c r="I90" s="2" t="s">
        <v>163</v>
      </c>
      <c r="J90" s="2">
        <v>200</v>
      </c>
      <c r="K90" s="47">
        <v>45497</v>
      </c>
      <c r="L90" s="46">
        <v>0.58188657407407407</v>
      </c>
      <c r="M90" s="2">
        <v>1</v>
      </c>
      <c r="N90" s="2" t="s">
        <v>164</v>
      </c>
      <c r="O90" s="2">
        <v>2.5</v>
      </c>
      <c r="P90" s="2">
        <v>0.13100000000000001</v>
      </c>
      <c r="Q90" s="2">
        <v>290</v>
      </c>
      <c r="R90" s="2" t="s">
        <v>95</v>
      </c>
      <c r="S90" s="48">
        <f t="shared" si="10"/>
        <v>290</v>
      </c>
      <c r="T90" s="2" t="s">
        <v>171</v>
      </c>
      <c r="U90" s="48">
        <v>96.666666666666671</v>
      </c>
      <c r="V90" s="44">
        <v>300</v>
      </c>
      <c r="W90" s="44" t="s">
        <v>98</v>
      </c>
      <c r="X90" s="44" t="s">
        <v>123</v>
      </c>
      <c r="Y90" s="2" t="s">
        <v>161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 t="str">
        <f t="shared" si="12"/>
        <v>FALSE</v>
      </c>
      <c r="AM90" s="2" t="str">
        <f t="shared" si="12"/>
        <v>FALSE</v>
      </c>
      <c r="AN90" s="2" t="str">
        <f t="shared" si="12"/>
        <v>FALSE</v>
      </c>
      <c r="AO90" s="2" t="str">
        <f t="shared" si="13"/>
        <v>FALSE</v>
      </c>
      <c r="AP90" s="2" t="str">
        <f t="shared" si="13"/>
        <v>FALSE</v>
      </c>
      <c r="AQ90" s="2" t="b">
        <f>IF(AND(I90="TP",S90&lt;=150),VLOOKUP(AF90,[1]TPCalibEq150!$AZ$2:$BB$74,3,),IF(AND(I90="TDP",S90&lt;=150),VLOOKUP(AF90,[1]TPCalibEq150!$AZ$2:$BB$74,3,)))</f>
        <v>0</v>
      </c>
      <c r="AR90" s="2" t="b">
        <f>IF(AND(I90="TP",S90&lt;=300),VLOOKUP(AF90,[1]TPCalibEq300!$AZ$2:$BB$76,3,),IF(AND(I90="TDP",S90&lt;=300),VLOOKUP(AF90,[1]TPCalibEq300!$AZ$2:$BB$76,3,)))</f>
        <v>0</v>
      </c>
      <c r="AS90" s="2" t="b">
        <f>IF(AND(I90="TP",S90&lt;=500),VLOOKUP(AF90,[1]TPCalibEq500!$AZ$2:$BB$88,3,),IF(AND(I90="TDP",S90&lt;=500),VLOOKUP(AF90,[1]TPCalibEq500!$AZ$2:$BB$88,3,)))</f>
        <v>0</v>
      </c>
      <c r="AT90" s="2" t="b">
        <f>IF(AND(I90="TN",S90&lt;=2800),VLOOKUP(AF90,[1]TNCalibEq2500!$AZ$2:$BB$80,3,),IF(AND(I90="TDN",S90&lt;=2800),VLOOKUP(AF90,[1]TNCalibEq2500!$AZ$2:$BB$80,3,)))</f>
        <v>0</v>
      </c>
      <c r="AU90" s="2" t="b">
        <f>IF(I90="TP",VLOOKUP(AF90,[1]TPCalibEqFull!$AZ$2:$BB$164,3),IF(I90="TDP",VLOOKUP(AF90,[1]TPCalibEqFull!$AZ$2:$BB$164,3),IF(I90="TDN",VLOOKUP(AF90,[1]TNCalibEqFull!$AZ$2:$BB$116,3),IF(I90="TN",VLOOKUP(AF90,[1]TNCalibEqFull!$AZ$2:$BB$118,3),FALSE))))</f>
        <v>0</v>
      </c>
      <c r="AV90" s="2" t="str">
        <f t="shared" si="11"/>
        <v>0724 09:00:00-QAC-STD-D-1-DI-CHK</v>
      </c>
      <c r="AW90" s="2"/>
      <c r="AX90" s="2"/>
      <c r="AY90" s="2"/>
    </row>
    <row r="91" spans="1:51" x14ac:dyDescent="0.35">
      <c r="A91" s="45">
        <v>45485</v>
      </c>
      <c r="B91" s="46">
        <v>0.5</v>
      </c>
      <c r="C91" s="2" t="s">
        <v>124</v>
      </c>
      <c r="D91" s="2">
        <v>0</v>
      </c>
      <c r="E91" s="2" t="s">
        <v>108</v>
      </c>
      <c r="F91" s="2">
        <v>1</v>
      </c>
      <c r="G91" s="2" t="s">
        <v>125</v>
      </c>
      <c r="H91" s="2" t="s">
        <v>126</v>
      </c>
      <c r="I91" s="2" t="s">
        <v>163</v>
      </c>
      <c r="J91" s="2">
        <v>33</v>
      </c>
      <c r="K91" s="47">
        <v>45497</v>
      </c>
      <c r="L91" s="46">
        <v>0.58273148148148146</v>
      </c>
      <c r="M91" s="2">
        <v>1</v>
      </c>
      <c r="N91" s="2" t="s">
        <v>164</v>
      </c>
      <c r="O91" s="2">
        <v>0.41899999999999998</v>
      </c>
      <c r="P91" s="2">
        <v>2.35E-2</v>
      </c>
      <c r="Q91" s="2">
        <v>50.1</v>
      </c>
      <c r="R91" s="2" t="s">
        <v>95</v>
      </c>
      <c r="S91" s="48">
        <f t="shared" si="10"/>
        <v>50.1</v>
      </c>
      <c r="T91" s="2" t="s">
        <v>171</v>
      </c>
      <c r="U91" s="48" t="s">
        <v>97</v>
      </c>
      <c r="V91" s="44" t="s">
        <v>97</v>
      </c>
      <c r="W91" s="44" t="s">
        <v>98</v>
      </c>
      <c r="X91" s="44" t="s">
        <v>97</v>
      </c>
      <c r="Y91" s="2" t="s">
        <v>161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 t="str">
        <f t="shared" si="12"/>
        <v>FALSE</v>
      </c>
      <c r="AM91" s="2" t="str">
        <f t="shared" si="12"/>
        <v>FALSE</v>
      </c>
      <c r="AN91" s="2" t="str">
        <f t="shared" si="12"/>
        <v>FALSE</v>
      </c>
      <c r="AO91" s="2" t="str">
        <f t="shared" si="13"/>
        <v>FALSE</v>
      </c>
      <c r="AP91" s="2" t="str">
        <f t="shared" si="13"/>
        <v>FALSE</v>
      </c>
      <c r="AQ91" s="2" t="b">
        <f>IF(AND(I91="TP",S91&lt;=150),VLOOKUP(AF91,[1]TPCalibEq150!$AZ$2:$BB$74,3,),IF(AND(I91="TDP",S91&lt;=150),VLOOKUP(AF91,[1]TPCalibEq150!$AZ$2:$BB$74,3,)))</f>
        <v>0</v>
      </c>
      <c r="AR91" s="2" t="b">
        <f>IF(AND(I91="TP",S91&lt;=300),VLOOKUP(AF91,[1]TPCalibEq300!$AZ$2:$BB$76,3,),IF(AND(I91="TDP",S91&lt;=300),VLOOKUP(AF91,[1]TPCalibEq300!$AZ$2:$BB$76,3,)))</f>
        <v>0</v>
      </c>
      <c r="AS91" s="2" t="b">
        <f>IF(AND(I91="TP",S91&lt;=500),VLOOKUP(AF91,[1]TPCalibEq500!$AZ$2:$BB$88,3,),IF(AND(I91="TDP",S91&lt;=500),VLOOKUP(AF91,[1]TPCalibEq500!$AZ$2:$BB$88,3,)))</f>
        <v>0</v>
      </c>
      <c r="AT91" s="2" t="b">
        <f>IF(AND(I91="TN",S91&lt;=2800),VLOOKUP(AF91,[1]TNCalibEq2500!$AZ$2:$BB$80,3,),IF(AND(I91="TDN",S91&lt;=2800),VLOOKUP(AF91,[1]TNCalibEq2500!$AZ$2:$BB$80,3,)))</f>
        <v>0</v>
      </c>
      <c r="AU91" s="2" t="b">
        <f>IF(I91="TP",VLOOKUP(AF91,[1]TPCalibEqFull!$AZ$2:$BB$164,3),IF(I91="TDP",VLOOKUP(AF91,[1]TPCalibEqFull!$AZ$2:$BB$164,3),IF(I91="TDN",VLOOKUP(AF91,[1]TNCalibEqFull!$AZ$2:$BB$116,3),IF(I91="TN",VLOOKUP(AF91,[1]TNCalibEqFull!$AZ$2:$BB$118,3),FALSE))))</f>
        <v>0</v>
      </c>
      <c r="AV91" s="2" t="str">
        <f t="shared" si="11"/>
        <v>0712 12:00:00-T1ANF-0-C-1-SW-UKN</v>
      </c>
      <c r="AW91" s="2"/>
      <c r="AX91" s="2"/>
      <c r="AY91" s="2"/>
    </row>
    <row r="92" spans="1:51" x14ac:dyDescent="0.35">
      <c r="A92" s="45">
        <v>45474</v>
      </c>
      <c r="B92" s="46">
        <v>0.5</v>
      </c>
      <c r="C92" s="2" t="s">
        <v>127</v>
      </c>
      <c r="D92" s="2">
        <v>0</v>
      </c>
      <c r="E92" s="2" t="s">
        <v>108</v>
      </c>
      <c r="F92" s="2">
        <v>2</v>
      </c>
      <c r="G92" s="2" t="s">
        <v>125</v>
      </c>
      <c r="H92" s="2" t="s">
        <v>126</v>
      </c>
      <c r="I92" s="2" t="s">
        <v>163</v>
      </c>
      <c r="J92" s="2">
        <v>34</v>
      </c>
      <c r="K92" s="47">
        <v>45497</v>
      </c>
      <c r="L92" s="46">
        <v>0.58356481481481481</v>
      </c>
      <c r="M92" s="2">
        <v>1</v>
      </c>
      <c r="N92" s="2" t="s">
        <v>164</v>
      </c>
      <c r="O92" s="2">
        <v>0.41599999999999998</v>
      </c>
      <c r="P92" s="2">
        <v>2.3400000000000001E-2</v>
      </c>
      <c r="Q92" s="2">
        <v>49.8</v>
      </c>
      <c r="R92" s="2" t="s">
        <v>95</v>
      </c>
      <c r="S92" s="48">
        <f t="shared" si="10"/>
        <v>49.8</v>
      </c>
      <c r="T92" s="2" t="s">
        <v>171</v>
      </c>
      <c r="U92" s="48" t="s">
        <v>97</v>
      </c>
      <c r="V92" s="44" t="s">
        <v>97</v>
      </c>
      <c r="W92" s="44" t="s">
        <v>98</v>
      </c>
      <c r="X92" s="44" t="s">
        <v>97</v>
      </c>
      <c r="Y92" s="2" t="s">
        <v>161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 t="str">
        <f t="shared" si="12"/>
        <v>FALSE</v>
      </c>
      <c r="AM92" s="2" t="str">
        <f t="shared" si="12"/>
        <v>FALSE</v>
      </c>
      <c r="AN92" s="2" t="str">
        <f t="shared" si="12"/>
        <v>FALSE</v>
      </c>
      <c r="AO92" s="2" t="str">
        <f t="shared" si="13"/>
        <v>FALSE</v>
      </c>
      <c r="AP92" s="2" t="str">
        <f t="shared" si="13"/>
        <v>FALSE</v>
      </c>
      <c r="AQ92" s="2" t="b">
        <f>IF(AND(I92="TP",S92&lt;=150),VLOOKUP(AF92,[1]TPCalibEq150!$AZ$2:$BB$74,3,),IF(AND(I92="TDP",S92&lt;=150),VLOOKUP(AF92,[1]TPCalibEq150!$AZ$2:$BB$74,3,)))</f>
        <v>0</v>
      </c>
      <c r="AR92" s="2" t="b">
        <f>IF(AND(I92="TP",S92&lt;=300),VLOOKUP(AF92,[1]TPCalibEq300!$AZ$2:$BB$76,3,),IF(AND(I92="TDP",S92&lt;=300),VLOOKUP(AF92,[1]TPCalibEq300!$AZ$2:$BB$76,3,)))</f>
        <v>0</v>
      </c>
      <c r="AS92" s="2" t="b">
        <f>IF(AND(I92="TP",S92&lt;=500),VLOOKUP(AF92,[1]TPCalibEq500!$AZ$2:$BB$88,3,),IF(AND(I92="TDP",S92&lt;=500),VLOOKUP(AF92,[1]TPCalibEq500!$AZ$2:$BB$88,3,)))</f>
        <v>0</v>
      </c>
      <c r="AT92" s="2" t="b">
        <f>IF(AND(I92="TN",S92&lt;=2800),VLOOKUP(AF92,[1]TNCalibEq2500!$AZ$2:$BB$80,3,),IF(AND(I92="TDN",S92&lt;=2800),VLOOKUP(AF92,[1]TNCalibEq2500!$AZ$2:$BB$80,3,)))</f>
        <v>0</v>
      </c>
      <c r="AU92" s="2" t="b">
        <f>IF(I92="TP",VLOOKUP(AF92,[1]TPCalibEqFull!$AZ$2:$BB$164,3),IF(I92="TDP",VLOOKUP(AF92,[1]TPCalibEqFull!$AZ$2:$BB$164,3),IF(I92="TDN",VLOOKUP(AF92,[1]TNCalibEqFull!$AZ$2:$BB$116,3),IF(I92="TN",VLOOKUP(AF92,[1]TNCalibEqFull!$AZ$2:$BB$118,3),FALSE))))</f>
        <v>0</v>
      </c>
      <c r="AV92" s="2" t="str">
        <f t="shared" si="11"/>
        <v>0701 12:00:00-T1BNF-0-C-2-SW-UKN</v>
      </c>
      <c r="AW92" s="2"/>
      <c r="AX92" s="2"/>
      <c r="AY92" s="2"/>
    </row>
    <row r="93" spans="1:51" x14ac:dyDescent="0.35">
      <c r="A93" s="45">
        <v>45485</v>
      </c>
      <c r="B93" s="46">
        <v>0.5</v>
      </c>
      <c r="C93" s="2" t="s">
        <v>128</v>
      </c>
      <c r="D93" s="2">
        <v>0</v>
      </c>
      <c r="E93" s="2" t="s">
        <v>108</v>
      </c>
      <c r="F93" s="2">
        <v>1</v>
      </c>
      <c r="G93" s="2" t="s">
        <v>125</v>
      </c>
      <c r="H93" s="2" t="s">
        <v>126</v>
      </c>
      <c r="I93" s="2" t="s">
        <v>163</v>
      </c>
      <c r="J93" s="2">
        <v>35</v>
      </c>
      <c r="K93" s="47">
        <v>45497</v>
      </c>
      <c r="L93" s="46">
        <v>0.58438657407407402</v>
      </c>
      <c r="M93" s="2">
        <v>1</v>
      </c>
      <c r="N93" s="2" t="s">
        <v>164</v>
      </c>
      <c r="O93" s="2">
        <v>0.19800000000000001</v>
      </c>
      <c r="P93" s="2">
        <v>1.0699999999999999E-2</v>
      </c>
      <c r="Q93" s="2">
        <v>24.6</v>
      </c>
      <c r="R93" s="2" t="s">
        <v>95</v>
      </c>
      <c r="S93" s="48">
        <f t="shared" si="10"/>
        <v>24.6</v>
      </c>
      <c r="T93" s="2" t="s">
        <v>171</v>
      </c>
      <c r="U93" s="48" t="s">
        <v>97</v>
      </c>
      <c r="V93" s="44" t="s">
        <v>97</v>
      </c>
      <c r="W93" s="44" t="s">
        <v>98</v>
      </c>
      <c r="X93" s="44" t="s">
        <v>97</v>
      </c>
      <c r="Y93" s="2" t="s">
        <v>161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 t="str">
        <f t="shared" si="12"/>
        <v>FALSE</v>
      </c>
      <c r="AM93" s="2" t="str">
        <f t="shared" si="12"/>
        <v>FALSE</v>
      </c>
      <c r="AN93" s="2" t="str">
        <f t="shared" si="12"/>
        <v>FALSE</v>
      </c>
      <c r="AO93" s="2" t="str">
        <f t="shared" si="13"/>
        <v>FALSE</v>
      </c>
      <c r="AP93" s="2" t="str">
        <f t="shared" si="13"/>
        <v>FALSE</v>
      </c>
      <c r="AQ93" s="2" t="b">
        <f>IF(AND(I93="TP",S93&lt;=150),VLOOKUP(AF93,[1]TPCalibEq150!$AZ$2:$BB$74,3,),IF(AND(I93="TDP",S93&lt;=150),VLOOKUP(AF93,[1]TPCalibEq150!$AZ$2:$BB$74,3,)))</f>
        <v>0</v>
      </c>
      <c r="AR93" s="2" t="b">
        <f>IF(AND(I93="TP",S93&lt;=300),VLOOKUP(AF93,[1]TPCalibEq300!$AZ$2:$BB$76,3,),IF(AND(I93="TDP",S93&lt;=300),VLOOKUP(AF93,[1]TPCalibEq300!$AZ$2:$BB$76,3,)))</f>
        <v>0</v>
      </c>
      <c r="AS93" s="2" t="b">
        <f>IF(AND(I93="TP",S93&lt;=500),VLOOKUP(AF93,[1]TPCalibEq500!$AZ$2:$BB$88,3,),IF(AND(I93="TDP",S93&lt;=500),VLOOKUP(AF93,[1]TPCalibEq500!$AZ$2:$BB$88,3,)))</f>
        <v>0</v>
      </c>
      <c r="AT93" s="2" t="b">
        <f>IF(AND(I93="TN",S93&lt;=2800),VLOOKUP(AF93,[1]TNCalibEq2500!$AZ$2:$BB$80,3,),IF(AND(I93="TDN",S93&lt;=2800),VLOOKUP(AF93,[1]TNCalibEq2500!$AZ$2:$BB$80,3,)))</f>
        <v>0</v>
      </c>
      <c r="AU93" s="2" t="b">
        <f>IF(I93="TP",VLOOKUP(AF93,[1]TPCalibEqFull!$AZ$2:$BB$164,3),IF(I93="TDP",VLOOKUP(AF93,[1]TPCalibEqFull!$AZ$2:$BB$164,3),IF(I93="TDN",VLOOKUP(AF93,[1]TNCalibEqFull!$AZ$2:$BB$116,3),IF(I93="TN",VLOOKUP(AF93,[1]TNCalibEqFull!$AZ$2:$BB$118,3),FALSE))))</f>
        <v>0</v>
      </c>
      <c r="AV93" s="2" t="str">
        <f t="shared" si="11"/>
        <v>0712 12:00:00-C1ANF-0-C-1-SW-UKN</v>
      </c>
      <c r="AW93" s="2"/>
      <c r="AX93" s="2"/>
      <c r="AY93" s="2"/>
    </row>
    <row r="94" spans="1:51" x14ac:dyDescent="0.35">
      <c r="A94" s="45">
        <v>45485</v>
      </c>
      <c r="B94" s="46">
        <v>0.5</v>
      </c>
      <c r="C94" s="2" t="s">
        <v>129</v>
      </c>
      <c r="D94" s="2">
        <v>0</v>
      </c>
      <c r="E94" s="2" t="s">
        <v>108</v>
      </c>
      <c r="F94" s="2">
        <v>2</v>
      </c>
      <c r="G94" s="2" t="s">
        <v>125</v>
      </c>
      <c r="H94" s="2" t="s">
        <v>126</v>
      </c>
      <c r="I94" s="2" t="s">
        <v>163</v>
      </c>
      <c r="J94" s="2">
        <v>36</v>
      </c>
      <c r="K94" s="47">
        <v>45497</v>
      </c>
      <c r="L94" s="46">
        <v>0.58520833333333333</v>
      </c>
      <c r="M94" s="2">
        <v>1</v>
      </c>
      <c r="N94" s="2" t="s">
        <v>164</v>
      </c>
      <c r="O94" s="2">
        <v>0.255</v>
      </c>
      <c r="P94" s="2">
        <v>1.35E-2</v>
      </c>
      <c r="Q94" s="2">
        <v>31.1</v>
      </c>
      <c r="R94" s="2" t="s">
        <v>95</v>
      </c>
      <c r="S94" s="48">
        <f t="shared" si="10"/>
        <v>31.1</v>
      </c>
      <c r="T94" s="2" t="s">
        <v>171</v>
      </c>
      <c r="U94" s="48" t="s">
        <v>97</v>
      </c>
      <c r="V94" s="44" t="s">
        <v>97</v>
      </c>
      <c r="W94" s="44" t="s">
        <v>98</v>
      </c>
      <c r="X94" s="44" t="s">
        <v>97</v>
      </c>
      <c r="Y94" s="2" t="s">
        <v>161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 t="str">
        <f t="shared" si="12"/>
        <v>FALSE</v>
      </c>
      <c r="AM94" s="2" t="str">
        <f t="shared" si="12"/>
        <v>FALSE</v>
      </c>
      <c r="AN94" s="2" t="str">
        <f t="shared" si="12"/>
        <v>FALSE</v>
      </c>
      <c r="AO94" s="2" t="str">
        <f t="shared" si="13"/>
        <v>FALSE</v>
      </c>
      <c r="AP94" s="2" t="str">
        <f t="shared" si="13"/>
        <v>FALSE</v>
      </c>
      <c r="AQ94" s="2" t="b">
        <f>IF(AND(I94="TP",S94&lt;=150),VLOOKUP(AF94,[1]TPCalibEq150!$AZ$2:$BB$74,3,),IF(AND(I94="TDP",S94&lt;=150),VLOOKUP(AF94,[1]TPCalibEq150!$AZ$2:$BB$74,3,)))</f>
        <v>0</v>
      </c>
      <c r="AR94" s="2" t="b">
        <f>IF(AND(I94="TP",S94&lt;=300),VLOOKUP(AF94,[1]TPCalibEq300!$AZ$2:$BB$76,3,),IF(AND(I94="TDP",S94&lt;=300),VLOOKUP(AF94,[1]TPCalibEq300!$AZ$2:$BB$76,3,)))</f>
        <v>0</v>
      </c>
      <c r="AS94" s="2" t="b">
        <f>IF(AND(I94="TP",S94&lt;=500),VLOOKUP(AF94,[1]TPCalibEq500!$AZ$2:$BB$88,3,),IF(AND(I94="TDP",S94&lt;=500),VLOOKUP(AF94,[1]TPCalibEq500!$AZ$2:$BB$88,3,)))</f>
        <v>0</v>
      </c>
      <c r="AT94" s="2" t="b">
        <f>IF(AND(I94="TN",S94&lt;=2800),VLOOKUP(AF94,[1]TNCalibEq2500!$AZ$2:$BB$80,3,),IF(AND(I94="TDN",S94&lt;=2800),VLOOKUP(AF94,[1]TNCalibEq2500!$AZ$2:$BB$80,3,)))</f>
        <v>0</v>
      </c>
      <c r="AU94" s="2" t="b">
        <f>IF(I94="TP",VLOOKUP(AF94,[1]TPCalibEqFull!$AZ$2:$BB$164,3),IF(I94="TDP",VLOOKUP(AF94,[1]TPCalibEqFull!$AZ$2:$BB$164,3),IF(I94="TDN",VLOOKUP(AF94,[1]TNCalibEqFull!$AZ$2:$BB$116,3),IF(I94="TN",VLOOKUP(AF94,[1]TNCalibEqFull!$AZ$2:$BB$118,3),FALSE))))</f>
        <v>0</v>
      </c>
      <c r="AV94" s="2" t="str">
        <f t="shared" si="11"/>
        <v>0712 12:00:00-C1BNF-0-C-2-SW-UKN</v>
      </c>
      <c r="AW94" s="2"/>
      <c r="AX94" s="2"/>
      <c r="AY94" s="2"/>
    </row>
    <row r="95" spans="1:51" x14ac:dyDescent="0.35">
      <c r="A95" s="45">
        <v>45485</v>
      </c>
      <c r="B95" s="46">
        <v>0.5</v>
      </c>
      <c r="C95" s="2" t="s">
        <v>130</v>
      </c>
      <c r="D95" s="2">
        <v>0</v>
      </c>
      <c r="E95" s="2" t="s">
        <v>108</v>
      </c>
      <c r="F95" s="2">
        <v>1</v>
      </c>
      <c r="G95" s="2" t="s">
        <v>125</v>
      </c>
      <c r="H95" s="2" t="s">
        <v>126</v>
      </c>
      <c r="I95" s="2" t="s">
        <v>163</v>
      </c>
      <c r="J95" s="2">
        <v>37</v>
      </c>
      <c r="K95" s="47">
        <v>45497</v>
      </c>
      <c r="L95" s="46">
        <v>0.58604166666666668</v>
      </c>
      <c r="M95" s="2">
        <v>1</v>
      </c>
      <c r="N95" s="2" t="s">
        <v>164</v>
      </c>
      <c r="O95" s="2">
        <v>0.20699999999999999</v>
      </c>
      <c r="P95" s="2">
        <v>1.15E-2</v>
      </c>
      <c r="Q95" s="2">
        <v>25.7</v>
      </c>
      <c r="R95" s="2" t="s">
        <v>95</v>
      </c>
      <c r="S95" s="48">
        <f t="shared" si="10"/>
        <v>25.7</v>
      </c>
      <c r="T95" s="2" t="s">
        <v>171</v>
      </c>
      <c r="U95" s="48" t="s">
        <v>97</v>
      </c>
      <c r="V95" s="44" t="s">
        <v>97</v>
      </c>
      <c r="W95" s="44" t="s">
        <v>98</v>
      </c>
      <c r="X95" s="44" t="s">
        <v>97</v>
      </c>
      <c r="Y95" s="2" t="s">
        <v>161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 t="str">
        <f t="shared" si="12"/>
        <v>FALSE</v>
      </c>
      <c r="AM95" s="2" t="str">
        <f t="shared" si="12"/>
        <v>FALSE</v>
      </c>
      <c r="AN95" s="2" t="str">
        <f t="shared" si="12"/>
        <v>FALSE</v>
      </c>
      <c r="AO95" s="2" t="str">
        <f t="shared" si="13"/>
        <v>FALSE</v>
      </c>
      <c r="AP95" s="2" t="str">
        <f t="shared" si="13"/>
        <v>FALSE</v>
      </c>
      <c r="AQ95" s="2" t="b">
        <f>IF(AND(I95="TP",S95&lt;=150),VLOOKUP(AF95,[1]TPCalibEq150!$AZ$2:$BB$74,3,),IF(AND(I95="TDP",S95&lt;=150),VLOOKUP(AF95,[1]TPCalibEq150!$AZ$2:$BB$74,3,)))</f>
        <v>0</v>
      </c>
      <c r="AR95" s="2" t="b">
        <f>IF(AND(I95="TP",S95&lt;=300),VLOOKUP(AF95,[1]TPCalibEq300!$AZ$2:$BB$76,3,),IF(AND(I95="TDP",S95&lt;=300),VLOOKUP(AF95,[1]TPCalibEq300!$AZ$2:$BB$76,3,)))</f>
        <v>0</v>
      </c>
      <c r="AS95" s="2" t="b">
        <f>IF(AND(I95="TP",S95&lt;=500),VLOOKUP(AF95,[1]TPCalibEq500!$AZ$2:$BB$88,3,),IF(AND(I95="TDP",S95&lt;=500),VLOOKUP(AF95,[1]TPCalibEq500!$AZ$2:$BB$88,3,)))</f>
        <v>0</v>
      </c>
      <c r="AT95" s="2" t="b">
        <f>IF(AND(I95="TN",S95&lt;=2800),VLOOKUP(AF95,[1]TNCalibEq2500!$AZ$2:$BB$80,3,),IF(AND(I95="TDN",S95&lt;=2800),VLOOKUP(AF95,[1]TNCalibEq2500!$AZ$2:$BB$80,3,)))</f>
        <v>0</v>
      </c>
      <c r="AU95" s="2" t="b">
        <f>IF(I95="TP",VLOOKUP(AF95,[1]TPCalibEqFull!$AZ$2:$BB$164,3),IF(I95="TDP",VLOOKUP(AF95,[1]TPCalibEqFull!$AZ$2:$BB$164,3),IF(I95="TDN",VLOOKUP(AF95,[1]TNCalibEqFull!$AZ$2:$BB$116,3),IF(I95="TN",VLOOKUP(AF95,[1]TNCalibEqFull!$AZ$2:$BB$118,3),FALSE))))</f>
        <v>0</v>
      </c>
      <c r="AV95" s="2" t="str">
        <f t="shared" si="11"/>
        <v>0712 12:00:00-T2ANF-0-C-1-SW-UKN</v>
      </c>
      <c r="AW95" s="2"/>
      <c r="AX95" s="2"/>
      <c r="AY95" s="2"/>
    </row>
    <row r="96" spans="1:51" x14ac:dyDescent="0.35">
      <c r="A96" s="45">
        <v>45485</v>
      </c>
      <c r="B96" s="46">
        <v>0.5</v>
      </c>
      <c r="C96" s="2" t="s">
        <v>131</v>
      </c>
      <c r="D96" s="2">
        <v>0</v>
      </c>
      <c r="E96" s="2" t="s">
        <v>108</v>
      </c>
      <c r="F96" s="2">
        <v>2</v>
      </c>
      <c r="G96" s="2" t="s">
        <v>125</v>
      </c>
      <c r="H96" s="2" t="s">
        <v>126</v>
      </c>
      <c r="I96" s="2" t="s">
        <v>163</v>
      </c>
      <c r="J96" s="2">
        <v>38</v>
      </c>
      <c r="K96" s="47">
        <v>45497</v>
      </c>
      <c r="L96" s="46">
        <v>0.58686342592592589</v>
      </c>
      <c r="M96" s="2">
        <v>1</v>
      </c>
      <c r="N96" s="2" t="s">
        <v>164</v>
      </c>
      <c r="O96" s="2">
        <v>0.222</v>
      </c>
      <c r="P96" s="2">
        <v>1.1900000000000001E-2</v>
      </c>
      <c r="Q96" s="2">
        <v>27.4</v>
      </c>
      <c r="R96" s="2" t="s">
        <v>95</v>
      </c>
      <c r="S96" s="48">
        <f t="shared" si="10"/>
        <v>27.4</v>
      </c>
      <c r="T96" s="2" t="s">
        <v>171</v>
      </c>
      <c r="U96" s="48" t="s">
        <v>97</v>
      </c>
      <c r="V96" s="44" t="s">
        <v>97</v>
      </c>
      <c r="W96" s="44" t="s">
        <v>98</v>
      </c>
      <c r="X96" s="44" t="s">
        <v>97</v>
      </c>
      <c r="Y96" s="2" t="s">
        <v>161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 t="str">
        <f t="shared" si="12"/>
        <v>FALSE</v>
      </c>
      <c r="AM96" s="2" t="str">
        <f t="shared" si="12"/>
        <v>FALSE</v>
      </c>
      <c r="AN96" s="2" t="str">
        <f t="shared" si="12"/>
        <v>FALSE</v>
      </c>
      <c r="AO96" s="2" t="str">
        <f t="shared" si="13"/>
        <v>FALSE</v>
      </c>
      <c r="AP96" s="2" t="str">
        <f t="shared" si="13"/>
        <v>FALSE</v>
      </c>
      <c r="AQ96" s="2" t="b">
        <f>IF(AND(I96="TP",S96&lt;=150),VLOOKUP(AF96,[1]TPCalibEq150!$AZ$2:$BB$74,3,),IF(AND(I96="TDP",S96&lt;=150),VLOOKUP(AF96,[1]TPCalibEq150!$AZ$2:$BB$74,3,)))</f>
        <v>0</v>
      </c>
      <c r="AR96" s="2" t="b">
        <f>IF(AND(I96="TP",S96&lt;=300),VLOOKUP(AF96,[1]TPCalibEq300!$AZ$2:$BB$76,3,),IF(AND(I96="TDP",S96&lt;=300),VLOOKUP(AF96,[1]TPCalibEq300!$AZ$2:$BB$76,3,)))</f>
        <v>0</v>
      </c>
      <c r="AS96" s="2" t="b">
        <f>IF(AND(I96="TP",S96&lt;=500),VLOOKUP(AF96,[1]TPCalibEq500!$AZ$2:$BB$88,3,),IF(AND(I96="TDP",S96&lt;=500),VLOOKUP(AF96,[1]TPCalibEq500!$AZ$2:$BB$88,3,)))</f>
        <v>0</v>
      </c>
      <c r="AT96" s="2" t="b">
        <f>IF(AND(I96="TN",S96&lt;=2800),VLOOKUP(AF96,[1]TNCalibEq2500!$AZ$2:$BB$80,3,),IF(AND(I96="TDN",S96&lt;=2800),VLOOKUP(AF96,[1]TNCalibEq2500!$AZ$2:$BB$80,3,)))</f>
        <v>0</v>
      </c>
      <c r="AU96" s="2" t="b">
        <f>IF(I96="TP",VLOOKUP(AF96,[1]TPCalibEqFull!$AZ$2:$BB$164,3),IF(I96="TDP",VLOOKUP(AF96,[1]TPCalibEqFull!$AZ$2:$BB$164,3),IF(I96="TDN",VLOOKUP(AF96,[1]TNCalibEqFull!$AZ$2:$BB$116,3),IF(I96="TN",VLOOKUP(AF96,[1]TNCalibEqFull!$AZ$2:$BB$118,3),FALSE))))</f>
        <v>0</v>
      </c>
      <c r="AV96" s="2" t="str">
        <f t="shared" si="11"/>
        <v>0712 12:00:00-T2BNF-0-C-2-SW-UKN</v>
      </c>
      <c r="AW96" s="2"/>
      <c r="AX96" s="2"/>
      <c r="AY96" s="2"/>
    </row>
    <row r="97" spans="1:51" x14ac:dyDescent="0.35">
      <c r="A97" s="45">
        <v>45485</v>
      </c>
      <c r="B97" s="46">
        <v>0.5</v>
      </c>
      <c r="C97" s="2" t="s">
        <v>132</v>
      </c>
      <c r="D97" s="2">
        <v>0</v>
      </c>
      <c r="E97" s="2" t="s">
        <v>108</v>
      </c>
      <c r="F97" s="2">
        <v>1</v>
      </c>
      <c r="G97" s="2" t="s">
        <v>125</v>
      </c>
      <c r="H97" s="2" t="s">
        <v>126</v>
      </c>
      <c r="I97" s="2" t="s">
        <v>163</v>
      </c>
      <c r="J97" s="2">
        <v>39</v>
      </c>
      <c r="K97" s="47">
        <v>45497</v>
      </c>
      <c r="L97" s="46">
        <v>0.5876851851851852</v>
      </c>
      <c r="M97" s="2">
        <v>1</v>
      </c>
      <c r="N97" s="2" t="s">
        <v>164</v>
      </c>
      <c r="O97" s="2">
        <v>0.35099999999999998</v>
      </c>
      <c r="P97" s="2">
        <v>1.9300000000000001E-2</v>
      </c>
      <c r="Q97" s="2">
        <v>42.3</v>
      </c>
      <c r="R97" s="2" t="s">
        <v>95</v>
      </c>
      <c r="S97" s="48">
        <f t="shared" si="10"/>
        <v>42.3</v>
      </c>
      <c r="T97" s="2" t="s">
        <v>171</v>
      </c>
      <c r="U97" s="48" t="s">
        <v>97</v>
      </c>
      <c r="V97" s="44" t="s">
        <v>97</v>
      </c>
      <c r="W97" s="44" t="s">
        <v>98</v>
      </c>
      <c r="X97" s="44" t="s">
        <v>97</v>
      </c>
      <c r="Y97" s="2" t="s">
        <v>161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 t="str">
        <f t="shared" si="12"/>
        <v>FALSE</v>
      </c>
      <c r="AM97" s="2" t="str">
        <f t="shared" si="12"/>
        <v>FALSE</v>
      </c>
      <c r="AN97" s="2" t="str">
        <f t="shared" si="12"/>
        <v>FALSE</v>
      </c>
      <c r="AO97" s="2" t="str">
        <f t="shared" si="13"/>
        <v>FALSE</v>
      </c>
      <c r="AP97" s="2" t="str">
        <f t="shared" si="13"/>
        <v>FALSE</v>
      </c>
      <c r="AQ97" s="2" t="b">
        <f>IF(AND(I97="TP",S97&lt;=150),VLOOKUP(AF97,[1]TPCalibEq150!$AZ$2:$BB$74,3,),IF(AND(I97="TDP",S97&lt;=150),VLOOKUP(AF97,[1]TPCalibEq150!$AZ$2:$BB$74,3,)))</f>
        <v>0</v>
      </c>
      <c r="AR97" s="2" t="b">
        <f>IF(AND(I97="TP",S97&lt;=300),VLOOKUP(AF97,[1]TPCalibEq300!$AZ$2:$BB$76,3,),IF(AND(I97="TDP",S97&lt;=300),VLOOKUP(AF97,[1]TPCalibEq300!$AZ$2:$BB$76,3,)))</f>
        <v>0</v>
      </c>
      <c r="AS97" s="2" t="b">
        <f>IF(AND(I97="TP",S97&lt;=500),VLOOKUP(AF97,[1]TPCalibEq500!$AZ$2:$BB$88,3,),IF(AND(I97="TDP",S97&lt;=500),VLOOKUP(AF97,[1]TPCalibEq500!$AZ$2:$BB$88,3,)))</f>
        <v>0</v>
      </c>
      <c r="AT97" s="2" t="b">
        <f>IF(AND(I97="TN",S97&lt;=2800),VLOOKUP(AF97,[1]TNCalibEq2500!$AZ$2:$BB$80,3,),IF(AND(I97="TDN",S97&lt;=2800),VLOOKUP(AF97,[1]TNCalibEq2500!$AZ$2:$BB$80,3,)))</f>
        <v>0</v>
      </c>
      <c r="AU97" s="2" t="b">
        <f>IF(I97="TP",VLOOKUP(AF97,[1]TPCalibEqFull!$AZ$2:$BB$164,3),IF(I97="TDP",VLOOKUP(AF97,[1]TPCalibEqFull!$AZ$2:$BB$164,3),IF(I97="TDN",VLOOKUP(AF97,[1]TNCalibEqFull!$AZ$2:$BB$116,3),IF(I97="TN",VLOOKUP(AF97,[1]TNCalibEqFull!$AZ$2:$BB$118,3),FALSE))))</f>
        <v>0</v>
      </c>
      <c r="AV97" s="2" t="str">
        <f t="shared" si="11"/>
        <v>0712 12:00:00-C2ANF-0-C-1-SW-UKN</v>
      </c>
      <c r="AW97" s="2"/>
      <c r="AX97" s="2"/>
      <c r="AY97" s="2"/>
    </row>
    <row r="98" spans="1:51" x14ac:dyDescent="0.35">
      <c r="A98" s="45">
        <v>45485</v>
      </c>
      <c r="B98" s="46">
        <v>0.5</v>
      </c>
      <c r="C98" s="2" t="s">
        <v>133</v>
      </c>
      <c r="D98" s="2">
        <v>0</v>
      </c>
      <c r="E98" s="2" t="s">
        <v>108</v>
      </c>
      <c r="F98" s="2">
        <v>2</v>
      </c>
      <c r="G98" s="2" t="s">
        <v>125</v>
      </c>
      <c r="H98" s="2" t="s">
        <v>126</v>
      </c>
      <c r="I98" s="2" t="s">
        <v>163</v>
      </c>
      <c r="J98" s="2">
        <v>40</v>
      </c>
      <c r="K98" s="47">
        <v>45497</v>
      </c>
      <c r="L98" s="46">
        <v>0.58850694444444451</v>
      </c>
      <c r="M98" s="2">
        <v>1</v>
      </c>
      <c r="N98" s="2" t="s">
        <v>164</v>
      </c>
      <c r="O98" s="2">
        <v>0.35299999999999998</v>
      </c>
      <c r="P98" s="2">
        <v>1.9900000000000001E-2</v>
      </c>
      <c r="Q98" s="2">
        <v>42.5</v>
      </c>
      <c r="R98" s="2" t="s">
        <v>95</v>
      </c>
      <c r="S98" s="48">
        <f t="shared" si="10"/>
        <v>42.5</v>
      </c>
      <c r="T98" s="2" t="s">
        <v>171</v>
      </c>
      <c r="U98" s="48" t="s">
        <v>97</v>
      </c>
      <c r="V98" s="44" t="s">
        <v>97</v>
      </c>
      <c r="W98" s="44" t="s">
        <v>98</v>
      </c>
      <c r="X98" s="44" t="s">
        <v>97</v>
      </c>
      <c r="Y98" s="2" t="s">
        <v>161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 t="str">
        <f t="shared" si="12"/>
        <v>FALSE</v>
      </c>
      <c r="AM98" s="2" t="str">
        <f t="shared" si="12"/>
        <v>FALSE</v>
      </c>
      <c r="AN98" s="2" t="str">
        <f t="shared" si="12"/>
        <v>FALSE</v>
      </c>
      <c r="AO98" s="2" t="str">
        <f t="shared" si="13"/>
        <v>FALSE</v>
      </c>
      <c r="AP98" s="2" t="str">
        <f t="shared" si="13"/>
        <v>FALSE</v>
      </c>
      <c r="AQ98" s="2" t="b">
        <f>IF(AND(I98="TP",S98&lt;=150),VLOOKUP(AF98,[1]TPCalibEq150!$AZ$2:$BB$74,3,),IF(AND(I98="TDP",S98&lt;=150),VLOOKUP(AF98,[1]TPCalibEq150!$AZ$2:$BB$74,3,)))</f>
        <v>0</v>
      </c>
      <c r="AR98" s="2" t="b">
        <f>IF(AND(I98="TP",S98&lt;=300),VLOOKUP(AF98,[1]TPCalibEq300!$AZ$2:$BB$76,3,),IF(AND(I98="TDP",S98&lt;=300),VLOOKUP(AF98,[1]TPCalibEq300!$AZ$2:$BB$76,3,)))</f>
        <v>0</v>
      </c>
      <c r="AS98" s="2" t="b">
        <f>IF(AND(I98="TP",S98&lt;=500),VLOOKUP(AF98,[1]TPCalibEq500!$AZ$2:$BB$88,3,),IF(AND(I98="TDP",S98&lt;=500),VLOOKUP(AF98,[1]TPCalibEq500!$AZ$2:$BB$88,3,)))</f>
        <v>0</v>
      </c>
      <c r="AT98" s="2" t="b">
        <f>IF(AND(I98="TN",S98&lt;=2800),VLOOKUP(AF98,[1]TNCalibEq2500!$AZ$2:$BB$80,3,),IF(AND(I98="TDN",S98&lt;=2800),VLOOKUP(AF98,[1]TNCalibEq2500!$AZ$2:$BB$80,3,)))</f>
        <v>0</v>
      </c>
      <c r="AU98" s="2" t="b">
        <f>IF(I98="TP",VLOOKUP(AF98,[1]TPCalibEqFull!$AZ$2:$BB$164,3),IF(I98="TDP",VLOOKUP(AF98,[1]TPCalibEqFull!$AZ$2:$BB$164,3),IF(I98="TDN",VLOOKUP(AF98,[1]TNCalibEqFull!$AZ$2:$BB$116,3),IF(I98="TN",VLOOKUP(AF98,[1]TNCalibEqFull!$AZ$2:$BB$118,3),FALSE))))</f>
        <v>0</v>
      </c>
      <c r="AV98" s="2" t="str">
        <f t="shared" si="11"/>
        <v>0712 12:00:00-C2BNF-0-C-2-SW-UKN</v>
      </c>
      <c r="AW98" s="2"/>
      <c r="AX98" s="2"/>
      <c r="AY98" s="2"/>
    </row>
    <row r="99" spans="1:51" x14ac:dyDescent="0.35">
      <c r="A99" s="45">
        <v>45485</v>
      </c>
      <c r="B99" s="46">
        <v>0.5</v>
      </c>
      <c r="C99" s="2" t="s">
        <v>133</v>
      </c>
      <c r="D99" s="2">
        <v>0</v>
      </c>
      <c r="E99" s="2" t="s">
        <v>108</v>
      </c>
      <c r="F99" s="2">
        <v>2</v>
      </c>
      <c r="G99" s="2" t="s">
        <v>125</v>
      </c>
      <c r="H99" s="2" t="s">
        <v>134</v>
      </c>
      <c r="I99" s="2" t="s">
        <v>163</v>
      </c>
      <c r="J99" s="2">
        <v>40</v>
      </c>
      <c r="K99" s="47">
        <v>45497</v>
      </c>
      <c r="L99" s="46">
        <v>0.58932870370370372</v>
      </c>
      <c r="M99" s="2">
        <v>1</v>
      </c>
      <c r="N99" s="2" t="s">
        <v>164</v>
      </c>
      <c r="O99" s="2">
        <v>0.35299999999999998</v>
      </c>
      <c r="P99" s="2">
        <v>1.9699999999999999E-2</v>
      </c>
      <c r="Q99" s="2">
        <v>42.5</v>
      </c>
      <c r="R99" s="2" t="s">
        <v>95</v>
      </c>
      <c r="S99" s="48">
        <f t="shared" si="10"/>
        <v>42.5</v>
      </c>
      <c r="T99" s="2" t="s">
        <v>171</v>
      </c>
      <c r="U99" s="48">
        <v>0</v>
      </c>
      <c r="V99" s="44" t="s">
        <v>97</v>
      </c>
      <c r="W99" s="44" t="s">
        <v>98</v>
      </c>
      <c r="X99" s="44" t="s">
        <v>135</v>
      </c>
      <c r="Y99" s="2" t="s">
        <v>161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 t="str">
        <f t="shared" si="12"/>
        <v>FALSE</v>
      </c>
      <c r="AM99" s="2" t="str">
        <f t="shared" si="12"/>
        <v>FALSE</v>
      </c>
      <c r="AN99" s="2" t="str">
        <f t="shared" si="12"/>
        <v>FALSE</v>
      </c>
      <c r="AO99" s="2" t="str">
        <f t="shared" si="13"/>
        <v>FALSE</v>
      </c>
      <c r="AP99" s="2" t="str">
        <f t="shared" si="13"/>
        <v>FALSE</v>
      </c>
      <c r="AQ99" s="2" t="b">
        <f>IF(AND(I99="TP",S99&lt;=150),VLOOKUP(AF99,[1]TPCalibEq150!$AZ$2:$BB$74,3,),IF(AND(I99="TDP",S99&lt;=150),VLOOKUP(AF99,[1]TPCalibEq150!$AZ$2:$BB$74,3,)))</f>
        <v>0</v>
      </c>
      <c r="AR99" s="2" t="b">
        <f>IF(AND(I99="TP",S99&lt;=300),VLOOKUP(AF99,[1]TPCalibEq300!$AZ$2:$BB$76,3,),IF(AND(I99="TDP",S99&lt;=300),VLOOKUP(AF99,[1]TPCalibEq300!$AZ$2:$BB$76,3,)))</f>
        <v>0</v>
      </c>
      <c r="AS99" s="2" t="b">
        <f>IF(AND(I99="TP",S99&lt;=500),VLOOKUP(AF99,[1]TPCalibEq500!$AZ$2:$BB$88,3,),IF(AND(I99="TDP",S99&lt;=500),VLOOKUP(AF99,[1]TPCalibEq500!$AZ$2:$BB$88,3,)))</f>
        <v>0</v>
      </c>
      <c r="AT99" s="2" t="b">
        <f>IF(AND(I99="TN",S99&lt;=2800),VLOOKUP(AF99,[1]TNCalibEq2500!$AZ$2:$BB$80,3,),IF(AND(I99="TDN",S99&lt;=2800),VLOOKUP(AF99,[1]TNCalibEq2500!$AZ$2:$BB$80,3,)))</f>
        <v>0</v>
      </c>
      <c r="AU99" s="2" t="b">
        <f>IF(I99="TP",VLOOKUP(AF99,[1]TPCalibEqFull!$AZ$2:$BB$164,3),IF(I99="TDP",VLOOKUP(AF99,[1]TPCalibEqFull!$AZ$2:$BB$164,3),IF(I99="TDN",VLOOKUP(AF99,[1]TNCalibEqFull!$AZ$2:$BB$116,3),IF(I99="TN",VLOOKUP(AF99,[1]TNCalibEqFull!$AZ$2:$BB$118,3),FALSE))))</f>
        <v>0</v>
      </c>
      <c r="AV99" s="2" t="str">
        <f t="shared" si="11"/>
        <v>0712 12:00:00-C2BNF-0-C-2-SW-DUP</v>
      </c>
      <c r="AW99" s="2"/>
      <c r="AX99" s="2"/>
      <c r="AY99" s="2"/>
    </row>
    <row r="100" spans="1:51" x14ac:dyDescent="0.35">
      <c r="A100" s="45">
        <v>45485</v>
      </c>
      <c r="B100" s="46">
        <v>0.5</v>
      </c>
      <c r="C100" s="2" t="s">
        <v>133</v>
      </c>
      <c r="D100" s="2">
        <v>0</v>
      </c>
      <c r="E100" s="2" t="s">
        <v>108</v>
      </c>
      <c r="F100" s="2">
        <v>2</v>
      </c>
      <c r="G100" s="2" t="s">
        <v>125</v>
      </c>
      <c r="H100" s="2" t="s">
        <v>117</v>
      </c>
      <c r="I100" s="2" t="s">
        <v>163</v>
      </c>
      <c r="J100" s="2">
        <v>84</v>
      </c>
      <c r="K100" s="47">
        <v>45497</v>
      </c>
      <c r="L100" s="46">
        <v>0.59015046296296292</v>
      </c>
      <c r="M100" s="2">
        <v>1</v>
      </c>
      <c r="N100" s="2" t="s">
        <v>164</v>
      </c>
      <c r="O100" s="2">
        <v>5.74</v>
      </c>
      <c r="P100" s="2">
        <v>0.26800000000000002</v>
      </c>
      <c r="Q100" s="2">
        <v>665</v>
      </c>
      <c r="R100" s="2" t="s">
        <v>95</v>
      </c>
      <c r="S100" s="48">
        <f t="shared" si="10"/>
        <v>665</v>
      </c>
      <c r="T100" s="2" t="s">
        <v>171</v>
      </c>
      <c r="U100" s="48">
        <v>99.6</v>
      </c>
      <c r="V100" s="44">
        <v>625</v>
      </c>
      <c r="W100" s="44" t="s">
        <v>98</v>
      </c>
      <c r="X100" s="44" t="s">
        <v>118</v>
      </c>
      <c r="Y100" s="2" t="s">
        <v>161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 t="str">
        <f t="shared" si="12"/>
        <v>FALSE</v>
      </c>
      <c r="AM100" s="2" t="str">
        <f t="shared" si="12"/>
        <v>FALSE</v>
      </c>
      <c r="AN100" s="2" t="str">
        <f t="shared" si="12"/>
        <v>FALSE</v>
      </c>
      <c r="AO100" s="2" t="str">
        <f t="shared" si="13"/>
        <v>FALSE</v>
      </c>
      <c r="AP100" s="2" t="str">
        <f t="shared" si="13"/>
        <v>FALSE</v>
      </c>
      <c r="AQ100" s="2" t="b">
        <f>IF(AND(I100="TP",S100&lt;=150),VLOOKUP(AF100,[1]TPCalibEq150!$AZ$2:$BB$74,3,),IF(AND(I100="TDP",S100&lt;=150),VLOOKUP(AF100,[1]TPCalibEq150!$AZ$2:$BB$74,3,)))</f>
        <v>0</v>
      </c>
      <c r="AR100" s="2" t="b">
        <f>IF(AND(I100="TP",S100&lt;=300),VLOOKUP(AF100,[1]TPCalibEq300!$AZ$2:$BB$76,3,),IF(AND(I100="TDP",S100&lt;=300),VLOOKUP(AF100,[1]TPCalibEq300!$AZ$2:$BB$76,3,)))</f>
        <v>0</v>
      </c>
      <c r="AS100" s="2" t="b">
        <f>IF(AND(I100="TP",S100&lt;=500),VLOOKUP(AF100,[1]TPCalibEq500!$AZ$2:$BB$88,3,),IF(AND(I100="TDP",S100&lt;=500),VLOOKUP(AF100,[1]TPCalibEq500!$AZ$2:$BB$88,3,)))</f>
        <v>0</v>
      </c>
      <c r="AT100" s="2" t="b">
        <f>IF(AND(I100="TN",S100&lt;=2800),VLOOKUP(AF100,[1]TNCalibEq2500!$AZ$2:$BB$80,3,),IF(AND(I100="TDN",S100&lt;=2800),VLOOKUP(AF100,[1]TNCalibEq2500!$AZ$2:$BB$80,3,)))</f>
        <v>0</v>
      </c>
      <c r="AU100" s="2" t="b">
        <f>IF(I100="TP",VLOOKUP(AF100,[1]TPCalibEqFull!$AZ$2:$BB$164,3),IF(I100="TDP",VLOOKUP(AF100,[1]TPCalibEqFull!$AZ$2:$BB$164,3),IF(I100="TDN",VLOOKUP(AF100,[1]TNCalibEqFull!$AZ$2:$BB$116,3),IF(I100="TN",VLOOKUP(AF100,[1]TNCalibEqFull!$AZ$2:$BB$118,3),FALSE))))</f>
        <v>0</v>
      </c>
      <c r="AV100" s="2" t="str">
        <f t="shared" si="11"/>
        <v>0712 12:00:00-C2BNF-0-C-2-SW-SPK</v>
      </c>
      <c r="AW100" s="2"/>
      <c r="AX100" s="2"/>
      <c r="AY100" s="2"/>
    </row>
    <row r="101" spans="1:51" x14ac:dyDescent="0.35">
      <c r="A101" s="45">
        <v>45497</v>
      </c>
      <c r="B101" s="46">
        <v>0.375</v>
      </c>
      <c r="C101" s="2" t="s">
        <v>88</v>
      </c>
      <c r="D101" s="2" t="s">
        <v>89</v>
      </c>
      <c r="E101" s="2" t="s">
        <v>106</v>
      </c>
      <c r="F101" s="2">
        <v>1</v>
      </c>
      <c r="G101" s="2" t="s">
        <v>91</v>
      </c>
      <c r="H101" s="2" t="s">
        <v>122</v>
      </c>
      <c r="I101" s="2" t="s">
        <v>163</v>
      </c>
      <c r="J101" s="2">
        <v>201</v>
      </c>
      <c r="K101" s="47">
        <v>45497</v>
      </c>
      <c r="L101" s="46">
        <v>0.59262731481481479</v>
      </c>
      <c r="M101" s="2">
        <v>1</v>
      </c>
      <c r="N101" s="2" t="s">
        <v>164</v>
      </c>
      <c r="O101" s="2">
        <v>2.44</v>
      </c>
      <c r="P101" s="2">
        <v>0.13300000000000001</v>
      </c>
      <c r="Q101" s="2">
        <v>283</v>
      </c>
      <c r="R101" s="2" t="s">
        <v>95</v>
      </c>
      <c r="S101" s="48">
        <f t="shared" si="10"/>
        <v>283</v>
      </c>
      <c r="T101" s="2" t="s">
        <v>171</v>
      </c>
      <c r="U101" s="48">
        <v>94.333333333333343</v>
      </c>
      <c r="V101" s="44">
        <v>300</v>
      </c>
      <c r="W101" s="44" t="s">
        <v>98</v>
      </c>
      <c r="X101" s="44" t="s">
        <v>123</v>
      </c>
      <c r="Y101" s="2" t="s">
        <v>161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 t="str">
        <f t="shared" si="12"/>
        <v>FALSE</v>
      </c>
      <c r="AM101" s="2" t="str">
        <f t="shared" si="12"/>
        <v>FALSE</v>
      </c>
      <c r="AN101" s="2" t="str">
        <f t="shared" si="12"/>
        <v>FALSE</v>
      </c>
      <c r="AO101" s="2" t="str">
        <f t="shared" si="13"/>
        <v>FALSE</v>
      </c>
      <c r="AP101" s="2" t="str">
        <f t="shared" si="13"/>
        <v>FALSE</v>
      </c>
      <c r="AQ101" s="2" t="b">
        <f>IF(AND(I101="TP",S101&lt;=150),VLOOKUP(AF101,[1]TPCalibEq150!$AZ$2:$BB$74,3,),IF(AND(I101="TDP",S101&lt;=150),VLOOKUP(AF101,[1]TPCalibEq150!$AZ$2:$BB$74,3,)))</f>
        <v>0</v>
      </c>
      <c r="AR101" s="2" t="b">
        <f>IF(AND(I101="TP",S101&lt;=300),VLOOKUP(AF101,[1]TPCalibEq300!$AZ$2:$BB$76,3,),IF(AND(I101="TDP",S101&lt;=300),VLOOKUP(AF101,[1]TPCalibEq300!$AZ$2:$BB$76,3,)))</f>
        <v>0</v>
      </c>
      <c r="AS101" s="2" t="b">
        <f>IF(AND(I101="TP",S101&lt;=500),VLOOKUP(AF101,[1]TPCalibEq500!$AZ$2:$BB$88,3,),IF(AND(I101="TDP",S101&lt;=500),VLOOKUP(AF101,[1]TPCalibEq500!$AZ$2:$BB$88,3,)))</f>
        <v>0</v>
      </c>
      <c r="AT101" s="2" t="b">
        <f>IF(AND(I101="TN",S101&lt;=2800),VLOOKUP(AF101,[1]TNCalibEq2500!$AZ$2:$BB$80,3,),IF(AND(I101="TDN",S101&lt;=2800),VLOOKUP(AF101,[1]TNCalibEq2500!$AZ$2:$BB$80,3,)))</f>
        <v>0</v>
      </c>
      <c r="AU101" s="2" t="b">
        <f>IF(I101="TP",VLOOKUP(AF101,[1]TPCalibEqFull!$AZ$2:$BB$164,3),IF(I101="TDP",VLOOKUP(AF101,[1]TPCalibEqFull!$AZ$2:$BB$164,3),IF(I101="TDN",VLOOKUP(AF101,[1]TNCalibEqFull!$AZ$2:$BB$116,3),IF(I101="TN",VLOOKUP(AF101,[1]TNCalibEqFull!$AZ$2:$BB$118,3),FALSE))))</f>
        <v>0</v>
      </c>
      <c r="AV101" s="2" t="str">
        <f t="shared" si="11"/>
        <v>0724 09:00:00-QAC-STD-D-1-DI-CHK</v>
      </c>
      <c r="AW101" s="2"/>
      <c r="AX101" s="2"/>
      <c r="AY101" s="2"/>
    </row>
    <row r="102" spans="1:51" x14ac:dyDescent="0.35">
      <c r="A102" s="45">
        <v>45497</v>
      </c>
      <c r="B102" s="46">
        <v>0.375</v>
      </c>
      <c r="C102" s="2" t="s">
        <v>88</v>
      </c>
      <c r="D102" s="2" t="s">
        <v>89</v>
      </c>
      <c r="E102" s="2" t="s">
        <v>106</v>
      </c>
      <c r="F102" s="2">
        <v>1</v>
      </c>
      <c r="G102" s="2" t="s">
        <v>91</v>
      </c>
      <c r="H102" s="2" t="s">
        <v>122</v>
      </c>
      <c r="I102" s="2" t="s">
        <v>163</v>
      </c>
      <c r="J102" s="2">
        <v>199</v>
      </c>
      <c r="K102" s="47">
        <v>45497</v>
      </c>
      <c r="L102" s="46">
        <v>0.63590277777777782</v>
      </c>
      <c r="M102" s="2">
        <v>1</v>
      </c>
      <c r="N102" s="2" t="s">
        <v>164</v>
      </c>
      <c r="O102" s="2">
        <v>2.4700000000000002</v>
      </c>
      <c r="P102" s="2">
        <v>0.13100000000000001</v>
      </c>
      <c r="Q102" s="2">
        <v>287</v>
      </c>
      <c r="R102" s="2" t="s">
        <v>95</v>
      </c>
      <c r="S102" s="48">
        <f t="shared" si="10"/>
        <v>287</v>
      </c>
      <c r="T102" s="2" t="s">
        <v>171</v>
      </c>
      <c r="U102" s="48">
        <v>95.666666666666671</v>
      </c>
      <c r="V102" s="44">
        <v>300</v>
      </c>
      <c r="W102" s="44" t="s">
        <v>98</v>
      </c>
      <c r="X102" s="44" t="s">
        <v>123</v>
      </c>
      <c r="Y102" s="2" t="s">
        <v>161</v>
      </c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 t="str">
        <f t="shared" ref="AL102:AN117" si="14">IF($O102="", "", IF(AQ102&lt;&gt;"", SUBSTITUTE(SUBSTITUTE(AQ102, "x", "*"&amp;$O102&amp;"^", 1), "x", "*"&amp;$O102, 1), ""))</f>
        <v>FALSE</v>
      </c>
      <c r="AM102" s="2" t="str">
        <f t="shared" si="14"/>
        <v>FALSE</v>
      </c>
      <c r="AN102" s="2" t="str">
        <f t="shared" si="14"/>
        <v>FALSE</v>
      </c>
      <c r="AO102" s="2" t="str">
        <f t="shared" ref="AO102:AP117" si="15">IF($O102="", "FALSE", IF(AT102&lt;&gt;"FALSE", SUBSTITUTE(SUBSTITUTE(AT102, "x", "*"&amp;$O102&amp;"^", 1), "x", "*"&amp;$O102, 1), ""))</f>
        <v>FALSE</v>
      </c>
      <c r="AP102" s="2" t="str">
        <f t="shared" si="15"/>
        <v>FALSE</v>
      </c>
      <c r="AQ102" s="2" t="b">
        <f>IF(AND(I102="TP",S102&lt;=150),VLOOKUP(AF102,[1]TPCalibEq150!$AZ$2:$BB$74,3,),IF(AND(I102="TDP",S102&lt;=150),VLOOKUP(AF102,[1]TPCalibEq150!$AZ$2:$BB$74,3,)))</f>
        <v>0</v>
      </c>
      <c r="AR102" s="2" t="b">
        <f>IF(AND(I102="TP",S102&lt;=300),VLOOKUP(AF102,[1]TPCalibEq300!$AZ$2:$BB$76,3,),IF(AND(I102="TDP",S102&lt;=300),VLOOKUP(AF102,[1]TPCalibEq300!$AZ$2:$BB$76,3,)))</f>
        <v>0</v>
      </c>
      <c r="AS102" s="2" t="b">
        <f>IF(AND(I102="TP",S102&lt;=500),VLOOKUP(AF102,[1]TPCalibEq500!$AZ$2:$BB$88,3,),IF(AND(I102="TDP",S102&lt;=500),VLOOKUP(AF102,[1]TPCalibEq500!$AZ$2:$BB$88,3,)))</f>
        <v>0</v>
      </c>
      <c r="AT102" s="2" t="b">
        <f>IF(AND(I102="TN",S102&lt;=2800),VLOOKUP(AF102,[1]TNCalibEq2500!$AZ$2:$BB$80,3,),IF(AND(I102="TDN",S102&lt;=2800),VLOOKUP(AF102,[1]TNCalibEq2500!$AZ$2:$BB$80,3,)))</f>
        <v>0</v>
      </c>
      <c r="AU102" s="2" t="b">
        <f>IF(I102="TP",VLOOKUP(AF102,[1]TPCalibEqFull!$AZ$2:$BB$164,3),IF(I102="TDP",VLOOKUP(AF102,[1]TPCalibEqFull!$AZ$2:$BB$164,3),IF(I102="TDN",VLOOKUP(AF102,[1]TNCalibEqFull!$AZ$2:$BB$116,3),IF(I102="TN",VLOOKUP(AF102,[1]TNCalibEqFull!$AZ$2:$BB$118,3),FALSE))))</f>
        <v>0</v>
      </c>
      <c r="AV102" s="2" t="str">
        <f t="shared" si="11"/>
        <v>0724 09:00:00-QAC-STD-D-1-DI-CHK</v>
      </c>
      <c r="AW102" s="2"/>
      <c r="AX102" s="2"/>
      <c r="AY102" s="2"/>
    </row>
    <row r="103" spans="1:51" x14ac:dyDescent="0.35">
      <c r="A103" s="45">
        <v>45485</v>
      </c>
      <c r="B103" s="46">
        <v>0.5</v>
      </c>
      <c r="C103" s="2" t="s">
        <v>136</v>
      </c>
      <c r="D103" s="2">
        <v>0</v>
      </c>
      <c r="E103" s="2" t="s">
        <v>137</v>
      </c>
      <c r="F103" s="2">
        <v>1</v>
      </c>
      <c r="G103" s="2" t="s">
        <v>125</v>
      </c>
      <c r="H103" s="2" t="s">
        <v>126</v>
      </c>
      <c r="I103" s="2" t="s">
        <v>173</v>
      </c>
      <c r="J103" s="2">
        <v>73</v>
      </c>
      <c r="K103" s="47">
        <v>45497</v>
      </c>
      <c r="L103" s="46">
        <v>0.63673611111111106</v>
      </c>
      <c r="M103" s="2">
        <v>1</v>
      </c>
      <c r="N103" s="2" t="s">
        <v>164</v>
      </c>
      <c r="O103" s="2">
        <v>3.3399999999999999E-2</v>
      </c>
      <c r="P103" s="2">
        <v>1.6000000000000001E-3</v>
      </c>
      <c r="Q103" s="2">
        <v>5.6</v>
      </c>
      <c r="R103" s="2" t="s">
        <v>95</v>
      </c>
      <c r="S103" s="48">
        <f t="shared" si="10"/>
        <v>5.6</v>
      </c>
      <c r="T103" s="2" t="s">
        <v>171</v>
      </c>
      <c r="U103" s="48" t="s">
        <v>97</v>
      </c>
      <c r="V103" s="44" t="s">
        <v>97</v>
      </c>
      <c r="W103" s="44" t="s">
        <v>98</v>
      </c>
      <c r="X103" s="44" t="s">
        <v>97</v>
      </c>
      <c r="Y103" s="2" t="s">
        <v>161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 t="str">
        <f t="shared" si="14"/>
        <v>FALSE</v>
      </c>
      <c r="AM103" s="2" t="str">
        <f t="shared" si="14"/>
        <v>FALSE</v>
      </c>
      <c r="AN103" s="2" t="str">
        <f t="shared" si="14"/>
        <v>FALSE</v>
      </c>
      <c r="AO103" s="2" t="str">
        <f t="shared" si="15"/>
        <v>FALSE</v>
      </c>
      <c r="AP103" s="2" t="str">
        <f t="shared" si="15"/>
        <v>FALSE</v>
      </c>
      <c r="AQ103" s="2" t="b">
        <f>IF(AND(I103="TP",S103&lt;=150),VLOOKUP(AF103,[1]TPCalibEq150!$AZ$2:$BB$74,3,),IF(AND(I103="TDP",S103&lt;=150),VLOOKUP(AF103,[1]TPCalibEq150!$AZ$2:$BB$74,3,)))</f>
        <v>0</v>
      </c>
      <c r="AR103" s="2" t="b">
        <f>IF(AND(I103="TP",S103&lt;=300),VLOOKUP(AF103,[1]TPCalibEq300!$AZ$2:$BB$76,3,),IF(AND(I103="TDP",S103&lt;=300),VLOOKUP(AF103,[1]TPCalibEq300!$AZ$2:$BB$76,3,)))</f>
        <v>0</v>
      </c>
      <c r="AS103" s="2" t="b">
        <f>IF(AND(I103="TP",S103&lt;=500),VLOOKUP(AF103,[1]TPCalibEq500!$AZ$2:$BB$88,3,),IF(AND(I103="TDP",S103&lt;=500),VLOOKUP(AF103,[1]TPCalibEq500!$AZ$2:$BB$88,3,)))</f>
        <v>0</v>
      </c>
      <c r="AT103" s="2" t="b">
        <f>IF(AND(I103="TN",S103&lt;=2800),VLOOKUP(AF103,[1]TNCalibEq2500!$AZ$2:$BB$80,3,),IF(AND(I103="TDN",S103&lt;=2800),VLOOKUP(AF103,[1]TNCalibEq2500!$AZ$2:$BB$80,3,)))</f>
        <v>0</v>
      </c>
      <c r="AU103" s="2" t="b">
        <f>IF(I103="TP",VLOOKUP(AF103,[1]TPCalibEqFull!$AZ$2:$BB$164,3),IF(I103="TDP",VLOOKUP(AF103,[1]TPCalibEqFull!$AZ$2:$BB$164,3),IF(I103="TDN",VLOOKUP(AF103,[1]TNCalibEqFull!$AZ$2:$BB$116,3),IF(I103="TN",VLOOKUP(AF103,[1]TNCalibEqFull!$AZ$2:$BB$118,3),FALSE))))</f>
        <v>0</v>
      </c>
      <c r="AV103" s="2" t="str">
        <f t="shared" si="11"/>
        <v>0712 12:00:00-T1AF-0-FIL-1-SW-UKN</v>
      </c>
      <c r="AW103" s="2"/>
      <c r="AX103" s="2"/>
      <c r="AY103" s="2"/>
    </row>
    <row r="104" spans="1:51" x14ac:dyDescent="0.35">
      <c r="A104" s="45">
        <v>45474</v>
      </c>
      <c r="B104" s="46">
        <v>0.5</v>
      </c>
      <c r="C104" s="2" t="s">
        <v>139</v>
      </c>
      <c r="D104" s="2">
        <v>0</v>
      </c>
      <c r="E104" s="2" t="s">
        <v>137</v>
      </c>
      <c r="F104" s="2">
        <v>2</v>
      </c>
      <c r="G104" s="2" t="s">
        <v>125</v>
      </c>
      <c r="H104" s="2" t="s">
        <v>126</v>
      </c>
      <c r="I104" s="2" t="s">
        <v>173</v>
      </c>
      <c r="J104" s="2">
        <v>74</v>
      </c>
      <c r="K104" s="47">
        <v>45497</v>
      </c>
      <c r="L104" s="46">
        <v>0.63755787037037037</v>
      </c>
      <c r="M104" s="2">
        <v>1</v>
      </c>
      <c r="N104" s="2" t="s">
        <v>164</v>
      </c>
      <c r="O104" s="2">
        <v>2.0500000000000001E-2</v>
      </c>
      <c r="P104" s="2">
        <v>9.3499999999999996E-4</v>
      </c>
      <c r="Q104" s="2">
        <v>4.1100000000000003</v>
      </c>
      <c r="R104" s="2" t="s">
        <v>95</v>
      </c>
      <c r="S104" s="48">
        <f t="shared" si="10"/>
        <v>4.1100000000000003</v>
      </c>
      <c r="T104" s="2" t="s">
        <v>171</v>
      </c>
      <c r="U104" s="48" t="s">
        <v>97</v>
      </c>
      <c r="V104" s="44" t="s">
        <v>97</v>
      </c>
      <c r="W104" s="44" t="s">
        <v>98</v>
      </c>
      <c r="X104" s="44" t="s">
        <v>97</v>
      </c>
      <c r="Y104" s="2" t="s">
        <v>161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 t="str">
        <f t="shared" si="14"/>
        <v>FALSE</v>
      </c>
      <c r="AM104" s="2" t="str">
        <f t="shared" si="14"/>
        <v>FALSE</v>
      </c>
      <c r="AN104" s="2" t="str">
        <f t="shared" si="14"/>
        <v>FALSE</v>
      </c>
      <c r="AO104" s="2" t="str">
        <f t="shared" si="15"/>
        <v>FALSE</v>
      </c>
      <c r="AP104" s="2" t="str">
        <f t="shared" si="15"/>
        <v>FALSE</v>
      </c>
      <c r="AQ104" s="2" t="b">
        <f>IF(AND(I104="TP",S104&lt;=150),VLOOKUP(AF104,[1]TPCalibEq150!$AZ$2:$BB$74,3,),IF(AND(I104="TDP",S104&lt;=150),VLOOKUP(AF104,[1]TPCalibEq150!$AZ$2:$BB$74,3,)))</f>
        <v>0</v>
      </c>
      <c r="AR104" s="2" t="b">
        <f>IF(AND(I104="TP",S104&lt;=300),VLOOKUP(AF104,[1]TPCalibEq300!$AZ$2:$BB$76,3,),IF(AND(I104="TDP",S104&lt;=300),VLOOKUP(AF104,[1]TPCalibEq300!$AZ$2:$BB$76,3,)))</f>
        <v>0</v>
      </c>
      <c r="AS104" s="2" t="b">
        <f>IF(AND(I104="TP",S104&lt;=500),VLOOKUP(AF104,[1]TPCalibEq500!$AZ$2:$BB$88,3,),IF(AND(I104="TDP",S104&lt;=500),VLOOKUP(AF104,[1]TPCalibEq500!$AZ$2:$BB$88,3,)))</f>
        <v>0</v>
      </c>
      <c r="AT104" s="2" t="b">
        <f>IF(AND(I104="TN",S104&lt;=2800),VLOOKUP(AF104,[1]TNCalibEq2500!$AZ$2:$BB$80,3,),IF(AND(I104="TDN",S104&lt;=2800),VLOOKUP(AF104,[1]TNCalibEq2500!$AZ$2:$BB$80,3,)))</f>
        <v>0</v>
      </c>
      <c r="AU104" s="2" t="b">
        <f>IF(I104="TP",VLOOKUP(AF104,[1]TPCalibEqFull!$AZ$2:$BB$164,3),IF(I104="TDP",VLOOKUP(AF104,[1]TPCalibEqFull!$AZ$2:$BB$164,3),IF(I104="TDN",VLOOKUP(AF104,[1]TNCalibEqFull!$AZ$2:$BB$116,3),IF(I104="TN",VLOOKUP(AF104,[1]TNCalibEqFull!$AZ$2:$BB$118,3),FALSE))))</f>
        <v>0</v>
      </c>
      <c r="AV104" s="2" t="str">
        <f t="shared" si="11"/>
        <v>0701 12:00:00-T1BF-0-FIL-2-SW-UKN</v>
      </c>
      <c r="AW104" s="2"/>
      <c r="AX104" s="2"/>
      <c r="AY104" s="2"/>
    </row>
    <row r="105" spans="1:51" x14ac:dyDescent="0.35">
      <c r="A105" s="45">
        <v>45485</v>
      </c>
      <c r="B105" s="46">
        <v>0.5</v>
      </c>
      <c r="C105" s="2" t="s">
        <v>140</v>
      </c>
      <c r="D105" s="2">
        <v>0</v>
      </c>
      <c r="E105" s="2" t="s">
        <v>137</v>
      </c>
      <c r="F105" s="2">
        <v>1</v>
      </c>
      <c r="G105" s="2" t="s">
        <v>125</v>
      </c>
      <c r="H105" s="2" t="s">
        <v>126</v>
      </c>
      <c r="I105" s="2" t="s">
        <v>173</v>
      </c>
      <c r="J105" s="2">
        <v>75</v>
      </c>
      <c r="K105" s="47">
        <v>45497</v>
      </c>
      <c r="L105" s="46">
        <v>0.63836805555555554</v>
      </c>
      <c r="M105" s="2">
        <v>1</v>
      </c>
      <c r="N105" s="2" t="s">
        <v>164</v>
      </c>
      <c r="O105" s="2">
        <v>2.2800000000000001E-2</v>
      </c>
      <c r="P105" s="2">
        <v>1.06E-3</v>
      </c>
      <c r="Q105" s="2">
        <v>4.38</v>
      </c>
      <c r="R105" s="2" t="s">
        <v>95</v>
      </c>
      <c r="S105" s="48">
        <f t="shared" si="10"/>
        <v>4.38</v>
      </c>
      <c r="T105" s="2" t="s">
        <v>171</v>
      </c>
      <c r="U105" s="48" t="s">
        <v>97</v>
      </c>
      <c r="V105" s="44" t="s">
        <v>97</v>
      </c>
      <c r="W105" s="44" t="s">
        <v>98</v>
      </c>
      <c r="X105" s="44" t="s">
        <v>97</v>
      </c>
      <c r="Y105" s="2" t="s">
        <v>161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 t="str">
        <f t="shared" si="14"/>
        <v>FALSE</v>
      </c>
      <c r="AM105" s="2" t="str">
        <f t="shared" si="14"/>
        <v>FALSE</v>
      </c>
      <c r="AN105" s="2" t="str">
        <f t="shared" si="14"/>
        <v>FALSE</v>
      </c>
      <c r="AO105" s="2" t="str">
        <f t="shared" si="15"/>
        <v>FALSE</v>
      </c>
      <c r="AP105" s="2" t="str">
        <f t="shared" si="15"/>
        <v>FALSE</v>
      </c>
      <c r="AQ105" s="2" t="b">
        <f>IF(AND(I105="TP",S105&lt;=150),VLOOKUP(AF105,[1]TPCalibEq150!$AZ$2:$BB$74,3,),IF(AND(I105="TDP",S105&lt;=150),VLOOKUP(AF105,[1]TPCalibEq150!$AZ$2:$BB$74,3,)))</f>
        <v>0</v>
      </c>
      <c r="AR105" s="2" t="b">
        <f>IF(AND(I105="TP",S105&lt;=300),VLOOKUP(AF105,[1]TPCalibEq300!$AZ$2:$BB$76,3,),IF(AND(I105="TDP",S105&lt;=300),VLOOKUP(AF105,[1]TPCalibEq300!$AZ$2:$BB$76,3,)))</f>
        <v>0</v>
      </c>
      <c r="AS105" s="2" t="b">
        <f>IF(AND(I105="TP",S105&lt;=500),VLOOKUP(AF105,[1]TPCalibEq500!$AZ$2:$BB$88,3,),IF(AND(I105="TDP",S105&lt;=500),VLOOKUP(AF105,[1]TPCalibEq500!$AZ$2:$BB$88,3,)))</f>
        <v>0</v>
      </c>
      <c r="AT105" s="2" t="b">
        <f>IF(AND(I105="TN",S105&lt;=2800),VLOOKUP(AF105,[1]TNCalibEq2500!$AZ$2:$BB$80,3,),IF(AND(I105="TDN",S105&lt;=2800),VLOOKUP(AF105,[1]TNCalibEq2500!$AZ$2:$BB$80,3,)))</f>
        <v>0</v>
      </c>
      <c r="AU105" s="2" t="b">
        <f>IF(I105="TP",VLOOKUP(AF105,[1]TPCalibEqFull!$AZ$2:$BB$164,3),IF(I105="TDP",VLOOKUP(AF105,[1]TPCalibEqFull!$AZ$2:$BB$164,3),IF(I105="TDN",VLOOKUP(AF105,[1]TNCalibEqFull!$AZ$2:$BB$116,3),IF(I105="TN",VLOOKUP(AF105,[1]TNCalibEqFull!$AZ$2:$BB$118,3),FALSE))))</f>
        <v>0</v>
      </c>
      <c r="AV105" s="2" t="str">
        <f t="shared" si="11"/>
        <v>0712 12:00:00-C1AF-0-FIL-1-SW-UKN</v>
      </c>
      <c r="AW105" s="2"/>
      <c r="AX105" s="2"/>
      <c r="AY105" s="2"/>
    </row>
    <row r="106" spans="1:51" x14ac:dyDescent="0.35">
      <c r="A106" s="45">
        <v>45485</v>
      </c>
      <c r="B106" s="46">
        <v>0.5</v>
      </c>
      <c r="C106" s="2" t="s">
        <v>141</v>
      </c>
      <c r="D106" s="2">
        <v>0</v>
      </c>
      <c r="E106" s="2" t="s">
        <v>137</v>
      </c>
      <c r="F106" s="2">
        <v>2</v>
      </c>
      <c r="G106" s="2" t="s">
        <v>125</v>
      </c>
      <c r="H106" s="2" t="s">
        <v>126</v>
      </c>
      <c r="I106" s="2" t="s">
        <v>173</v>
      </c>
      <c r="J106" s="2">
        <v>76</v>
      </c>
      <c r="K106" s="47">
        <v>45497</v>
      </c>
      <c r="L106" s="46">
        <v>0.63920138888888889</v>
      </c>
      <c r="M106" s="2">
        <v>1</v>
      </c>
      <c r="N106" s="2" t="s">
        <v>164</v>
      </c>
      <c r="O106" s="2">
        <v>1.46E-2</v>
      </c>
      <c r="P106" s="2">
        <v>7.2199999999999999E-4</v>
      </c>
      <c r="Q106" s="2">
        <v>3.42</v>
      </c>
      <c r="R106" s="2" t="s">
        <v>95</v>
      </c>
      <c r="S106" s="48">
        <f t="shared" si="10"/>
        <v>3.42</v>
      </c>
      <c r="T106" s="2" t="s">
        <v>171</v>
      </c>
      <c r="U106" s="48" t="s">
        <v>97</v>
      </c>
      <c r="V106" s="44" t="s">
        <v>97</v>
      </c>
      <c r="W106" s="44" t="s">
        <v>98</v>
      </c>
      <c r="X106" s="44" t="s">
        <v>97</v>
      </c>
      <c r="Y106" s="2" t="s">
        <v>161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 t="str">
        <f t="shared" si="14"/>
        <v>FALSE</v>
      </c>
      <c r="AM106" s="2" t="str">
        <f t="shared" si="14"/>
        <v>FALSE</v>
      </c>
      <c r="AN106" s="2" t="str">
        <f t="shared" si="14"/>
        <v>FALSE</v>
      </c>
      <c r="AO106" s="2" t="str">
        <f t="shared" si="15"/>
        <v>FALSE</v>
      </c>
      <c r="AP106" s="2" t="str">
        <f t="shared" si="15"/>
        <v>FALSE</v>
      </c>
      <c r="AQ106" s="2" t="b">
        <f>IF(AND(I106="TP",S106&lt;=150),VLOOKUP(AF106,[1]TPCalibEq150!$AZ$2:$BB$74,3,),IF(AND(I106="TDP",S106&lt;=150),VLOOKUP(AF106,[1]TPCalibEq150!$AZ$2:$BB$74,3,)))</f>
        <v>0</v>
      </c>
      <c r="AR106" s="2" t="b">
        <f>IF(AND(I106="TP",S106&lt;=300),VLOOKUP(AF106,[1]TPCalibEq300!$AZ$2:$BB$76,3,),IF(AND(I106="TDP",S106&lt;=300),VLOOKUP(AF106,[1]TPCalibEq300!$AZ$2:$BB$76,3,)))</f>
        <v>0</v>
      </c>
      <c r="AS106" s="2" t="b">
        <f>IF(AND(I106="TP",S106&lt;=500),VLOOKUP(AF106,[1]TPCalibEq500!$AZ$2:$BB$88,3,),IF(AND(I106="TDP",S106&lt;=500),VLOOKUP(AF106,[1]TPCalibEq500!$AZ$2:$BB$88,3,)))</f>
        <v>0</v>
      </c>
      <c r="AT106" s="2" t="b">
        <f>IF(AND(I106="TN",S106&lt;=2800),VLOOKUP(AF106,[1]TNCalibEq2500!$AZ$2:$BB$80,3,),IF(AND(I106="TDN",S106&lt;=2800),VLOOKUP(AF106,[1]TNCalibEq2500!$AZ$2:$BB$80,3,)))</f>
        <v>0</v>
      </c>
      <c r="AU106" s="2" t="b">
        <f>IF(I106="TP",VLOOKUP(AF106,[1]TPCalibEqFull!$AZ$2:$BB$164,3),IF(I106="TDP",VLOOKUP(AF106,[1]TPCalibEqFull!$AZ$2:$BB$164,3),IF(I106="TDN",VLOOKUP(AF106,[1]TNCalibEqFull!$AZ$2:$BB$116,3),IF(I106="TN",VLOOKUP(AF106,[1]TNCalibEqFull!$AZ$2:$BB$118,3),FALSE))))</f>
        <v>0</v>
      </c>
      <c r="AV106" s="2" t="str">
        <f t="shared" si="11"/>
        <v>0712 12:00:00-C1BF-0-FIL-2-SW-UKN</v>
      </c>
      <c r="AW106" s="2"/>
      <c r="AX106" s="2"/>
      <c r="AY106" s="2"/>
    </row>
    <row r="107" spans="1:51" x14ac:dyDescent="0.35">
      <c r="A107" s="45">
        <v>45485</v>
      </c>
      <c r="B107" s="46">
        <v>0.5</v>
      </c>
      <c r="C107" s="2" t="s">
        <v>142</v>
      </c>
      <c r="D107" s="2">
        <v>0</v>
      </c>
      <c r="E107" s="2" t="s">
        <v>137</v>
      </c>
      <c r="F107" s="2">
        <v>1</v>
      </c>
      <c r="G107" s="2" t="s">
        <v>125</v>
      </c>
      <c r="H107" s="2" t="s">
        <v>126</v>
      </c>
      <c r="I107" s="2" t="s">
        <v>173</v>
      </c>
      <c r="J107" s="2">
        <v>77</v>
      </c>
      <c r="K107" s="47">
        <v>45497</v>
      </c>
      <c r="L107" s="46">
        <v>0.64003472222222224</v>
      </c>
      <c r="M107" s="2">
        <v>1</v>
      </c>
      <c r="N107" s="2" t="s">
        <v>164</v>
      </c>
      <c r="O107" s="2">
        <v>3.0499999999999999E-2</v>
      </c>
      <c r="P107" s="2">
        <v>1.25E-3</v>
      </c>
      <c r="Q107" s="2">
        <v>5.27</v>
      </c>
      <c r="R107" s="2" t="s">
        <v>95</v>
      </c>
      <c r="S107" s="48">
        <f t="shared" si="10"/>
        <v>5.27</v>
      </c>
      <c r="T107" s="2" t="s">
        <v>171</v>
      </c>
      <c r="U107" s="48" t="s">
        <v>97</v>
      </c>
      <c r="V107" s="44" t="s">
        <v>97</v>
      </c>
      <c r="W107" s="44" t="s">
        <v>98</v>
      </c>
      <c r="X107" s="44" t="s">
        <v>97</v>
      </c>
      <c r="Y107" s="2" t="s">
        <v>161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 t="str">
        <f t="shared" si="14"/>
        <v>FALSE</v>
      </c>
      <c r="AM107" s="2" t="str">
        <f t="shared" si="14"/>
        <v>FALSE</v>
      </c>
      <c r="AN107" s="2" t="str">
        <f t="shared" si="14"/>
        <v>FALSE</v>
      </c>
      <c r="AO107" s="2" t="str">
        <f t="shared" si="15"/>
        <v>FALSE</v>
      </c>
      <c r="AP107" s="2" t="str">
        <f t="shared" si="15"/>
        <v>FALSE</v>
      </c>
      <c r="AQ107" s="2" t="b">
        <f>IF(AND(I107="TP",S107&lt;=150),VLOOKUP(AF107,[1]TPCalibEq150!$AZ$2:$BB$74,3,),IF(AND(I107="TDP",S107&lt;=150),VLOOKUP(AF107,[1]TPCalibEq150!$AZ$2:$BB$74,3,)))</f>
        <v>0</v>
      </c>
      <c r="AR107" s="2" t="b">
        <f>IF(AND(I107="TP",S107&lt;=300),VLOOKUP(AF107,[1]TPCalibEq300!$AZ$2:$BB$76,3,),IF(AND(I107="TDP",S107&lt;=300),VLOOKUP(AF107,[1]TPCalibEq300!$AZ$2:$BB$76,3,)))</f>
        <v>0</v>
      </c>
      <c r="AS107" s="2" t="b">
        <f>IF(AND(I107="TP",S107&lt;=500),VLOOKUP(AF107,[1]TPCalibEq500!$AZ$2:$BB$88,3,),IF(AND(I107="TDP",S107&lt;=500),VLOOKUP(AF107,[1]TPCalibEq500!$AZ$2:$BB$88,3,)))</f>
        <v>0</v>
      </c>
      <c r="AT107" s="2" t="b">
        <f>IF(AND(I107="TN",S107&lt;=2800),VLOOKUP(AF107,[1]TNCalibEq2500!$AZ$2:$BB$80,3,),IF(AND(I107="TDN",S107&lt;=2800),VLOOKUP(AF107,[1]TNCalibEq2500!$AZ$2:$BB$80,3,)))</f>
        <v>0</v>
      </c>
      <c r="AU107" s="2" t="b">
        <f>IF(I107="TP",VLOOKUP(AF107,[1]TPCalibEqFull!$AZ$2:$BB$164,3),IF(I107="TDP",VLOOKUP(AF107,[1]TPCalibEqFull!$AZ$2:$BB$164,3),IF(I107="TDN",VLOOKUP(AF107,[1]TNCalibEqFull!$AZ$2:$BB$116,3),IF(I107="TN",VLOOKUP(AF107,[1]TNCalibEqFull!$AZ$2:$BB$118,3),FALSE))))</f>
        <v>0</v>
      </c>
      <c r="AV107" s="2" t="str">
        <f t="shared" si="11"/>
        <v>0712 12:00:00-T2AF-0-FIL-1-SW-UKN</v>
      </c>
      <c r="AW107" s="2"/>
      <c r="AX107" s="2"/>
      <c r="AY107" s="2"/>
    </row>
    <row r="108" spans="1:51" x14ac:dyDescent="0.35">
      <c r="A108" s="45">
        <v>45485</v>
      </c>
      <c r="B108" s="46">
        <v>0.5</v>
      </c>
      <c r="C108" s="2" t="s">
        <v>143</v>
      </c>
      <c r="D108" s="2">
        <v>0</v>
      </c>
      <c r="E108" s="2" t="s">
        <v>137</v>
      </c>
      <c r="F108" s="2">
        <v>2</v>
      </c>
      <c r="G108" s="2" t="s">
        <v>125</v>
      </c>
      <c r="H108" s="2" t="s">
        <v>126</v>
      </c>
      <c r="I108" s="2" t="s">
        <v>173</v>
      </c>
      <c r="J108" s="2">
        <v>78</v>
      </c>
      <c r="K108" s="47">
        <v>45497</v>
      </c>
      <c r="L108" s="46">
        <v>0.64086805555555559</v>
      </c>
      <c r="M108" s="2">
        <v>1</v>
      </c>
      <c r="N108" s="2" t="s">
        <v>164</v>
      </c>
      <c r="O108" s="2">
        <v>2.9399999999999999E-2</v>
      </c>
      <c r="P108" s="2">
        <v>1.42E-3</v>
      </c>
      <c r="Q108" s="2">
        <v>5.14</v>
      </c>
      <c r="R108" s="2" t="s">
        <v>95</v>
      </c>
      <c r="S108" s="48">
        <f t="shared" si="10"/>
        <v>5.14</v>
      </c>
      <c r="T108" s="2" t="s">
        <v>171</v>
      </c>
      <c r="U108" s="48" t="s">
        <v>97</v>
      </c>
      <c r="V108" s="44" t="s">
        <v>97</v>
      </c>
      <c r="W108" s="44" t="s">
        <v>98</v>
      </c>
      <c r="X108" s="44" t="s">
        <v>97</v>
      </c>
      <c r="Y108" s="2" t="s">
        <v>161</v>
      </c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 t="str">
        <f t="shared" si="14"/>
        <v>FALSE</v>
      </c>
      <c r="AM108" s="2" t="str">
        <f t="shared" si="14"/>
        <v>FALSE</v>
      </c>
      <c r="AN108" s="2" t="str">
        <f t="shared" si="14"/>
        <v>FALSE</v>
      </c>
      <c r="AO108" s="2" t="str">
        <f t="shared" si="15"/>
        <v>FALSE</v>
      </c>
      <c r="AP108" s="2" t="str">
        <f t="shared" si="15"/>
        <v>FALSE</v>
      </c>
      <c r="AQ108" s="2" t="b">
        <f>IF(AND(I108="TP",S108&lt;=150),VLOOKUP(AF108,[1]TPCalibEq150!$AZ$2:$BB$74,3,),IF(AND(I108="TDP",S108&lt;=150),VLOOKUP(AF108,[1]TPCalibEq150!$AZ$2:$BB$74,3,)))</f>
        <v>0</v>
      </c>
      <c r="AR108" s="2" t="b">
        <f>IF(AND(I108="TP",S108&lt;=300),VLOOKUP(AF108,[1]TPCalibEq300!$AZ$2:$BB$76,3,),IF(AND(I108="TDP",S108&lt;=300),VLOOKUP(AF108,[1]TPCalibEq300!$AZ$2:$BB$76,3,)))</f>
        <v>0</v>
      </c>
      <c r="AS108" s="2" t="b">
        <f>IF(AND(I108="TP",S108&lt;=500),VLOOKUP(AF108,[1]TPCalibEq500!$AZ$2:$BB$88,3,),IF(AND(I108="TDP",S108&lt;=500),VLOOKUP(AF108,[1]TPCalibEq500!$AZ$2:$BB$88,3,)))</f>
        <v>0</v>
      </c>
      <c r="AT108" s="2" t="b">
        <f>IF(AND(I108="TN",S108&lt;=2800),VLOOKUP(AF108,[1]TNCalibEq2500!$AZ$2:$BB$80,3,),IF(AND(I108="TDN",S108&lt;=2800),VLOOKUP(AF108,[1]TNCalibEq2500!$AZ$2:$BB$80,3,)))</f>
        <v>0</v>
      </c>
      <c r="AU108" s="2" t="b">
        <f>IF(I108="TP",VLOOKUP(AF108,[1]TPCalibEqFull!$AZ$2:$BB$164,3),IF(I108="TDP",VLOOKUP(AF108,[1]TPCalibEqFull!$AZ$2:$BB$164,3),IF(I108="TDN",VLOOKUP(AF108,[1]TNCalibEqFull!$AZ$2:$BB$116,3),IF(I108="TN",VLOOKUP(AF108,[1]TNCalibEqFull!$AZ$2:$BB$118,3),FALSE))))</f>
        <v>0</v>
      </c>
      <c r="AV108" s="2" t="str">
        <f t="shared" si="11"/>
        <v>0712 12:00:00-T2BF-0-FIL-2-SW-UKN</v>
      </c>
      <c r="AW108" s="2"/>
      <c r="AX108" s="2"/>
      <c r="AY108" s="2"/>
    </row>
    <row r="109" spans="1:51" x14ac:dyDescent="0.35">
      <c r="A109" s="45">
        <v>45485</v>
      </c>
      <c r="B109" s="46">
        <v>0.5</v>
      </c>
      <c r="C109" s="2" t="s">
        <v>144</v>
      </c>
      <c r="D109" s="2">
        <v>0</v>
      </c>
      <c r="E109" s="2" t="s">
        <v>137</v>
      </c>
      <c r="F109" s="2">
        <v>1</v>
      </c>
      <c r="G109" s="2" t="s">
        <v>125</v>
      </c>
      <c r="H109" s="2" t="s">
        <v>126</v>
      </c>
      <c r="I109" s="2" t="s">
        <v>173</v>
      </c>
      <c r="J109" s="2">
        <v>79</v>
      </c>
      <c r="K109" s="47">
        <v>45497</v>
      </c>
      <c r="L109" s="46">
        <v>0.6416898148148148</v>
      </c>
      <c r="M109" s="2">
        <v>1</v>
      </c>
      <c r="N109" s="2" t="s">
        <v>164</v>
      </c>
      <c r="O109" s="2">
        <v>1.2E-2</v>
      </c>
      <c r="P109" s="2">
        <v>5.6599999999999999E-4</v>
      </c>
      <c r="Q109" s="2">
        <v>3.12</v>
      </c>
      <c r="R109" s="2" t="s">
        <v>95</v>
      </c>
      <c r="S109" s="48">
        <f t="shared" si="10"/>
        <v>3.12</v>
      </c>
      <c r="T109" s="2" t="s">
        <v>171</v>
      </c>
      <c r="U109" s="48" t="s">
        <v>97</v>
      </c>
      <c r="V109" s="44" t="s">
        <v>97</v>
      </c>
      <c r="W109" s="44" t="s">
        <v>98</v>
      </c>
      <c r="X109" s="44" t="s">
        <v>97</v>
      </c>
      <c r="Y109" s="2" t="s">
        <v>161</v>
      </c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 t="str">
        <f t="shared" si="14"/>
        <v>FALSE</v>
      </c>
      <c r="AM109" s="2" t="str">
        <f t="shared" si="14"/>
        <v>FALSE</v>
      </c>
      <c r="AN109" s="2" t="str">
        <f t="shared" si="14"/>
        <v>FALSE</v>
      </c>
      <c r="AO109" s="2" t="str">
        <f t="shared" si="15"/>
        <v>FALSE</v>
      </c>
      <c r="AP109" s="2" t="str">
        <f t="shared" si="15"/>
        <v>FALSE</v>
      </c>
      <c r="AQ109" s="2" t="b">
        <f>IF(AND(I109="TP",S109&lt;=150),VLOOKUP(AF109,[1]TPCalibEq150!$AZ$2:$BB$74,3,),IF(AND(I109="TDP",S109&lt;=150),VLOOKUP(AF109,[1]TPCalibEq150!$AZ$2:$BB$74,3,)))</f>
        <v>0</v>
      </c>
      <c r="AR109" s="2" t="b">
        <f>IF(AND(I109="TP",S109&lt;=300),VLOOKUP(AF109,[1]TPCalibEq300!$AZ$2:$BB$76,3,),IF(AND(I109="TDP",S109&lt;=300),VLOOKUP(AF109,[1]TPCalibEq300!$AZ$2:$BB$76,3,)))</f>
        <v>0</v>
      </c>
      <c r="AS109" s="2" t="b">
        <f>IF(AND(I109="TP",S109&lt;=500),VLOOKUP(AF109,[1]TPCalibEq500!$AZ$2:$BB$88,3,),IF(AND(I109="TDP",S109&lt;=500),VLOOKUP(AF109,[1]TPCalibEq500!$AZ$2:$BB$88,3,)))</f>
        <v>0</v>
      </c>
      <c r="AT109" s="2" t="b">
        <f>IF(AND(I109="TN",S109&lt;=2800),VLOOKUP(AF109,[1]TNCalibEq2500!$AZ$2:$BB$80,3,),IF(AND(I109="TDN",S109&lt;=2800),VLOOKUP(AF109,[1]TNCalibEq2500!$AZ$2:$BB$80,3,)))</f>
        <v>0</v>
      </c>
      <c r="AU109" s="2" t="b">
        <f>IF(I109="TP",VLOOKUP(AF109,[1]TPCalibEqFull!$AZ$2:$BB$164,3),IF(I109="TDP",VLOOKUP(AF109,[1]TPCalibEqFull!$AZ$2:$BB$164,3),IF(I109="TDN",VLOOKUP(AF109,[1]TNCalibEqFull!$AZ$2:$BB$116,3),IF(I109="TN",VLOOKUP(AF109,[1]TNCalibEqFull!$AZ$2:$BB$118,3),FALSE))))</f>
        <v>0</v>
      </c>
      <c r="AV109" s="2" t="str">
        <f t="shared" si="11"/>
        <v>0712 12:00:00-C2AF-0-FIL-1-SW-UKN</v>
      </c>
      <c r="AW109" s="2"/>
      <c r="AX109" s="2"/>
      <c r="AY109" s="2"/>
    </row>
    <row r="110" spans="1:51" x14ac:dyDescent="0.35">
      <c r="A110" s="45">
        <v>45485</v>
      </c>
      <c r="B110" s="46">
        <v>0.5</v>
      </c>
      <c r="C110" s="2" t="s">
        <v>145</v>
      </c>
      <c r="D110" s="2">
        <v>0</v>
      </c>
      <c r="E110" s="2" t="s">
        <v>137</v>
      </c>
      <c r="F110" s="2">
        <v>2</v>
      </c>
      <c r="G110" s="2" t="s">
        <v>125</v>
      </c>
      <c r="H110" s="2" t="s">
        <v>126</v>
      </c>
      <c r="I110" s="2" t="s">
        <v>173</v>
      </c>
      <c r="J110" s="2">
        <v>80</v>
      </c>
      <c r="K110" s="47">
        <v>45497</v>
      </c>
      <c r="L110" s="46">
        <v>0.64256944444444442</v>
      </c>
      <c r="M110" s="2">
        <v>1</v>
      </c>
      <c r="N110" s="2" t="s">
        <v>164</v>
      </c>
      <c r="O110" s="2">
        <v>1.8100000000000002E-2</v>
      </c>
      <c r="P110" s="2">
        <v>7.4600000000000003E-4</v>
      </c>
      <c r="Q110" s="2">
        <v>3.83</v>
      </c>
      <c r="R110" s="2" t="s">
        <v>95</v>
      </c>
      <c r="S110" s="48">
        <f t="shared" si="10"/>
        <v>3.83</v>
      </c>
      <c r="T110" s="2" t="s">
        <v>171</v>
      </c>
      <c r="U110" s="48" t="s">
        <v>97</v>
      </c>
      <c r="V110" s="44" t="s">
        <v>97</v>
      </c>
      <c r="W110" s="44" t="s">
        <v>98</v>
      </c>
      <c r="X110" s="44" t="s">
        <v>97</v>
      </c>
      <c r="Y110" s="2" t="s">
        <v>161</v>
      </c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 t="str">
        <f t="shared" si="14"/>
        <v>FALSE</v>
      </c>
      <c r="AM110" s="2" t="str">
        <f t="shared" si="14"/>
        <v>FALSE</v>
      </c>
      <c r="AN110" s="2" t="str">
        <f t="shared" si="14"/>
        <v>FALSE</v>
      </c>
      <c r="AO110" s="2" t="str">
        <f t="shared" si="15"/>
        <v>FALSE</v>
      </c>
      <c r="AP110" s="2" t="str">
        <f t="shared" si="15"/>
        <v>FALSE</v>
      </c>
      <c r="AQ110" s="2" t="b">
        <f>IF(AND(I110="TP",S110&lt;=150),VLOOKUP(AF110,[1]TPCalibEq150!$AZ$2:$BB$74,3,),IF(AND(I110="TDP",S110&lt;=150),VLOOKUP(AF110,[1]TPCalibEq150!$AZ$2:$BB$74,3,)))</f>
        <v>0</v>
      </c>
      <c r="AR110" s="2" t="b">
        <f>IF(AND(I110="TP",S110&lt;=300),VLOOKUP(AF110,[1]TPCalibEq300!$AZ$2:$BB$76,3,),IF(AND(I110="TDP",S110&lt;=300),VLOOKUP(AF110,[1]TPCalibEq300!$AZ$2:$BB$76,3,)))</f>
        <v>0</v>
      </c>
      <c r="AS110" s="2" t="b">
        <f>IF(AND(I110="TP",S110&lt;=500),VLOOKUP(AF110,[1]TPCalibEq500!$AZ$2:$BB$88,3,),IF(AND(I110="TDP",S110&lt;=500),VLOOKUP(AF110,[1]TPCalibEq500!$AZ$2:$BB$88,3,)))</f>
        <v>0</v>
      </c>
      <c r="AT110" s="2" t="b">
        <f>IF(AND(I110="TN",S110&lt;=2800),VLOOKUP(AF110,[1]TNCalibEq2500!$AZ$2:$BB$80,3,),IF(AND(I110="TDN",S110&lt;=2800),VLOOKUP(AF110,[1]TNCalibEq2500!$AZ$2:$BB$80,3,)))</f>
        <v>0</v>
      </c>
      <c r="AU110" s="2" t="b">
        <f>IF(I110="TP",VLOOKUP(AF110,[1]TPCalibEqFull!$AZ$2:$BB$164,3),IF(I110="TDP",VLOOKUP(AF110,[1]TPCalibEqFull!$AZ$2:$BB$164,3),IF(I110="TDN",VLOOKUP(AF110,[1]TNCalibEqFull!$AZ$2:$BB$116,3),IF(I110="TN",VLOOKUP(AF110,[1]TNCalibEqFull!$AZ$2:$BB$118,3),FALSE))))</f>
        <v>0</v>
      </c>
      <c r="AV110" s="2" t="str">
        <f t="shared" si="11"/>
        <v>0712 12:00:00-C2BF-0-FIL-2-SW-UKN</v>
      </c>
      <c r="AW110" s="2"/>
      <c r="AX110" s="2"/>
      <c r="AY110" s="2"/>
    </row>
    <row r="111" spans="1:51" x14ac:dyDescent="0.35">
      <c r="A111" s="45">
        <v>45485</v>
      </c>
      <c r="B111" s="46">
        <v>0.5</v>
      </c>
      <c r="C111" s="2" t="s">
        <v>145</v>
      </c>
      <c r="D111" s="2">
        <v>0</v>
      </c>
      <c r="E111" s="2" t="s">
        <v>137</v>
      </c>
      <c r="F111" s="2">
        <v>2</v>
      </c>
      <c r="G111" s="2" t="s">
        <v>125</v>
      </c>
      <c r="H111" s="2" t="s">
        <v>134</v>
      </c>
      <c r="I111" s="2" t="s">
        <v>173</v>
      </c>
      <c r="J111" s="2">
        <v>80</v>
      </c>
      <c r="K111" s="47">
        <v>45497</v>
      </c>
      <c r="L111" s="46">
        <v>0.6433564814814815</v>
      </c>
      <c r="M111" s="2">
        <v>1</v>
      </c>
      <c r="N111" s="2" t="s">
        <v>164</v>
      </c>
      <c r="O111" s="2">
        <v>1.38E-2</v>
      </c>
      <c r="P111" s="2">
        <v>7.8899999999999999E-4</v>
      </c>
      <c r="Q111" s="2">
        <v>3.33</v>
      </c>
      <c r="R111" s="2" t="s">
        <v>95</v>
      </c>
      <c r="S111" s="48">
        <f t="shared" si="10"/>
        <v>3.33</v>
      </c>
      <c r="T111" s="2" t="s">
        <v>171</v>
      </c>
      <c r="U111" s="48">
        <v>13.966480446927374</v>
      </c>
      <c r="V111" s="44" t="s">
        <v>97</v>
      </c>
      <c r="W111" s="44" t="s">
        <v>98</v>
      </c>
      <c r="X111" s="44" t="s">
        <v>135</v>
      </c>
      <c r="Y111" s="2" t="s">
        <v>161</v>
      </c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 t="str">
        <f t="shared" si="14"/>
        <v>FALSE</v>
      </c>
      <c r="AM111" s="2" t="str">
        <f t="shared" si="14"/>
        <v>FALSE</v>
      </c>
      <c r="AN111" s="2" t="str">
        <f t="shared" si="14"/>
        <v>FALSE</v>
      </c>
      <c r="AO111" s="2" t="str">
        <f t="shared" si="15"/>
        <v>FALSE</v>
      </c>
      <c r="AP111" s="2" t="str">
        <f t="shared" si="15"/>
        <v>FALSE</v>
      </c>
      <c r="AQ111" s="2" t="b">
        <f>IF(AND(I111="TP",S111&lt;=150),VLOOKUP(AF111,[1]TPCalibEq150!$AZ$2:$BB$74,3,),IF(AND(I111="TDP",S111&lt;=150),VLOOKUP(AF111,[1]TPCalibEq150!$AZ$2:$BB$74,3,)))</f>
        <v>0</v>
      </c>
      <c r="AR111" s="2" t="b">
        <f>IF(AND(I111="TP",S111&lt;=300),VLOOKUP(AF111,[1]TPCalibEq300!$AZ$2:$BB$76,3,),IF(AND(I111="TDP",S111&lt;=300),VLOOKUP(AF111,[1]TPCalibEq300!$AZ$2:$BB$76,3,)))</f>
        <v>0</v>
      </c>
      <c r="AS111" s="2" t="b">
        <f>IF(AND(I111="TP",S111&lt;=500),VLOOKUP(AF111,[1]TPCalibEq500!$AZ$2:$BB$88,3,),IF(AND(I111="TDP",S111&lt;=500),VLOOKUP(AF111,[1]TPCalibEq500!$AZ$2:$BB$88,3,)))</f>
        <v>0</v>
      </c>
      <c r="AT111" s="2" t="b">
        <f>IF(AND(I111="TN",S111&lt;=2800),VLOOKUP(AF111,[1]TNCalibEq2500!$AZ$2:$BB$80,3,),IF(AND(I111="TDN",S111&lt;=2800),VLOOKUP(AF111,[1]TNCalibEq2500!$AZ$2:$BB$80,3,)))</f>
        <v>0</v>
      </c>
      <c r="AU111" s="2" t="b">
        <f>IF(I111="TP",VLOOKUP(AF111,[1]TPCalibEqFull!$AZ$2:$BB$164,3),IF(I111="TDP",VLOOKUP(AF111,[1]TPCalibEqFull!$AZ$2:$BB$164,3),IF(I111="TDN",VLOOKUP(AF111,[1]TNCalibEqFull!$AZ$2:$BB$116,3),IF(I111="TN",VLOOKUP(AF111,[1]TNCalibEqFull!$AZ$2:$BB$118,3),FALSE))))</f>
        <v>0</v>
      </c>
      <c r="AV111" s="2" t="str">
        <f t="shared" si="11"/>
        <v>0712 12:00:00-C2BF-0-FIL-2-SW-DUP</v>
      </c>
      <c r="AW111" s="2"/>
      <c r="AX111" s="2"/>
      <c r="AY111" s="2"/>
    </row>
    <row r="112" spans="1:51" x14ac:dyDescent="0.35">
      <c r="A112" s="45">
        <v>45485</v>
      </c>
      <c r="B112" s="46">
        <v>0.5</v>
      </c>
      <c r="C112" s="2" t="s">
        <v>145</v>
      </c>
      <c r="D112" s="2">
        <v>0</v>
      </c>
      <c r="E112" s="2" t="s">
        <v>137</v>
      </c>
      <c r="F112" s="2">
        <v>2</v>
      </c>
      <c r="G112" s="2" t="s">
        <v>125</v>
      </c>
      <c r="H112" s="2" t="s">
        <v>117</v>
      </c>
      <c r="I112" s="2" t="s">
        <v>173</v>
      </c>
      <c r="J112" s="2">
        <v>88</v>
      </c>
      <c r="K112" s="47">
        <v>45497</v>
      </c>
      <c r="L112" s="46">
        <v>0.64416666666666667</v>
      </c>
      <c r="M112" s="2">
        <v>1</v>
      </c>
      <c r="N112" s="2" t="s">
        <v>164</v>
      </c>
      <c r="O112" s="2">
        <v>5.22</v>
      </c>
      <c r="P112" s="2">
        <v>0.26300000000000001</v>
      </c>
      <c r="Q112" s="2">
        <v>605</v>
      </c>
      <c r="R112" s="2" t="s">
        <v>95</v>
      </c>
      <c r="S112" s="48">
        <f t="shared" si="10"/>
        <v>605</v>
      </c>
      <c r="T112" s="2" t="s">
        <v>171</v>
      </c>
      <c r="U112" s="48">
        <v>96.267200000000003</v>
      </c>
      <c r="V112" s="44">
        <v>625</v>
      </c>
      <c r="W112" s="44" t="s">
        <v>98</v>
      </c>
      <c r="X112" s="44" t="s">
        <v>118</v>
      </c>
      <c r="Y112" s="2" t="s">
        <v>161</v>
      </c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 t="str">
        <f t="shared" si="14"/>
        <v>FALSE</v>
      </c>
      <c r="AM112" s="2" t="str">
        <f t="shared" si="14"/>
        <v>FALSE</v>
      </c>
      <c r="AN112" s="2" t="str">
        <f t="shared" si="14"/>
        <v>FALSE</v>
      </c>
      <c r="AO112" s="2" t="str">
        <f t="shared" si="15"/>
        <v>FALSE</v>
      </c>
      <c r="AP112" s="2" t="str">
        <f t="shared" si="15"/>
        <v>FALSE</v>
      </c>
      <c r="AQ112" s="2" t="b">
        <f>IF(AND(I112="TP",S112&lt;=150),VLOOKUP(AF112,[1]TPCalibEq150!$AZ$2:$BB$74,3,),IF(AND(I112="TDP",S112&lt;=150),VLOOKUP(AF112,[1]TPCalibEq150!$AZ$2:$BB$74,3,)))</f>
        <v>0</v>
      </c>
      <c r="AR112" s="2" t="b">
        <f>IF(AND(I112="TP",S112&lt;=300),VLOOKUP(AF112,[1]TPCalibEq300!$AZ$2:$BB$76,3,),IF(AND(I112="TDP",S112&lt;=300),VLOOKUP(AF112,[1]TPCalibEq300!$AZ$2:$BB$76,3,)))</f>
        <v>0</v>
      </c>
      <c r="AS112" s="2" t="b">
        <f>IF(AND(I112="TP",S112&lt;=500),VLOOKUP(AF112,[1]TPCalibEq500!$AZ$2:$BB$88,3,),IF(AND(I112="TDP",S112&lt;=500),VLOOKUP(AF112,[1]TPCalibEq500!$AZ$2:$BB$88,3,)))</f>
        <v>0</v>
      </c>
      <c r="AT112" s="2" t="b">
        <f>IF(AND(I112="TN",S112&lt;=2800),VLOOKUP(AF112,[1]TNCalibEq2500!$AZ$2:$BB$80,3,),IF(AND(I112="TDN",S112&lt;=2800),VLOOKUP(AF112,[1]TNCalibEq2500!$AZ$2:$BB$80,3,)))</f>
        <v>0</v>
      </c>
      <c r="AU112" s="2" t="b">
        <f>IF(I112="TP",VLOOKUP(AF112,[1]TPCalibEqFull!$AZ$2:$BB$164,3),IF(I112="TDP",VLOOKUP(AF112,[1]TPCalibEqFull!$AZ$2:$BB$164,3),IF(I112="TDN",VLOOKUP(AF112,[1]TNCalibEqFull!$AZ$2:$BB$116,3),IF(I112="TN",VLOOKUP(AF112,[1]TNCalibEqFull!$AZ$2:$BB$118,3),FALSE))))</f>
        <v>0</v>
      </c>
      <c r="AV112" s="2" t="str">
        <f t="shared" si="11"/>
        <v>0712 12:00:00-C2BF-0-FIL-2-SW-SPK</v>
      </c>
      <c r="AW112" s="2"/>
      <c r="AX112" s="2"/>
      <c r="AY112" s="2"/>
    </row>
    <row r="113" spans="1:51" x14ac:dyDescent="0.35">
      <c r="A113" s="45">
        <v>45497</v>
      </c>
      <c r="B113" s="46">
        <v>0.375</v>
      </c>
      <c r="C113" s="2" t="s">
        <v>88</v>
      </c>
      <c r="D113" s="2" t="s">
        <v>89</v>
      </c>
      <c r="E113" s="2" t="s">
        <v>106</v>
      </c>
      <c r="F113" s="2">
        <v>1</v>
      </c>
      <c r="G113" s="2" t="s">
        <v>91</v>
      </c>
      <c r="H113" s="2" t="s">
        <v>122</v>
      </c>
      <c r="I113" s="2" t="s">
        <v>163</v>
      </c>
      <c r="J113" s="2">
        <v>199</v>
      </c>
      <c r="K113" s="47">
        <v>45497</v>
      </c>
      <c r="L113" s="46">
        <v>0.64500000000000002</v>
      </c>
      <c r="M113" s="2">
        <v>1</v>
      </c>
      <c r="N113" s="2" t="s">
        <v>164</v>
      </c>
      <c r="O113" s="2">
        <v>2.44</v>
      </c>
      <c r="P113" s="2">
        <v>0.128</v>
      </c>
      <c r="Q113" s="2">
        <v>283</v>
      </c>
      <c r="R113" s="2" t="s">
        <v>95</v>
      </c>
      <c r="S113" s="48">
        <f t="shared" si="10"/>
        <v>283</v>
      </c>
      <c r="T113" s="2" t="s">
        <v>171</v>
      </c>
      <c r="U113" s="48">
        <v>94.333333333333343</v>
      </c>
      <c r="V113" s="44">
        <v>300</v>
      </c>
      <c r="W113" s="44" t="s">
        <v>98</v>
      </c>
      <c r="X113" s="44" t="s">
        <v>123</v>
      </c>
      <c r="Y113" s="2" t="s">
        <v>161</v>
      </c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 t="str">
        <f t="shared" si="14"/>
        <v>FALSE</v>
      </c>
      <c r="AM113" s="2" t="str">
        <f t="shared" si="14"/>
        <v>FALSE</v>
      </c>
      <c r="AN113" s="2" t="str">
        <f t="shared" si="14"/>
        <v>FALSE</v>
      </c>
      <c r="AO113" s="2" t="str">
        <f t="shared" si="15"/>
        <v>FALSE</v>
      </c>
      <c r="AP113" s="2" t="str">
        <f t="shared" si="15"/>
        <v>FALSE</v>
      </c>
      <c r="AQ113" s="2" t="b">
        <f>IF(AND(I113="TP",S113&lt;=150),VLOOKUP(AF113,[1]TPCalibEq150!$AZ$2:$BB$74,3,),IF(AND(I113="TDP",S113&lt;=150),VLOOKUP(AF113,[1]TPCalibEq150!$AZ$2:$BB$74,3,)))</f>
        <v>0</v>
      </c>
      <c r="AR113" s="2" t="b">
        <f>IF(AND(I113="TP",S113&lt;=300),VLOOKUP(AF113,[1]TPCalibEq300!$AZ$2:$BB$76,3,),IF(AND(I113="TDP",S113&lt;=300),VLOOKUP(AF113,[1]TPCalibEq300!$AZ$2:$BB$76,3,)))</f>
        <v>0</v>
      </c>
      <c r="AS113" s="2" t="b">
        <f>IF(AND(I113="TP",S113&lt;=500),VLOOKUP(AF113,[1]TPCalibEq500!$AZ$2:$BB$88,3,),IF(AND(I113="TDP",S113&lt;=500),VLOOKUP(AF113,[1]TPCalibEq500!$AZ$2:$BB$88,3,)))</f>
        <v>0</v>
      </c>
      <c r="AT113" s="2" t="b">
        <f>IF(AND(I113="TN",S113&lt;=2800),VLOOKUP(AF113,[1]TNCalibEq2500!$AZ$2:$BB$80,3,),IF(AND(I113="TDN",S113&lt;=2800),VLOOKUP(AF113,[1]TNCalibEq2500!$AZ$2:$BB$80,3,)))</f>
        <v>0</v>
      </c>
      <c r="AU113" s="2" t="b">
        <f>IF(I113="TP",VLOOKUP(AF113,[1]TPCalibEqFull!$AZ$2:$BB$164,3),IF(I113="TDP",VLOOKUP(AF113,[1]TPCalibEqFull!$AZ$2:$BB$164,3),IF(I113="TDN",VLOOKUP(AF113,[1]TNCalibEqFull!$AZ$2:$BB$116,3),IF(I113="TN",VLOOKUP(AF113,[1]TNCalibEqFull!$AZ$2:$BB$118,3),FALSE))))</f>
        <v>0</v>
      </c>
      <c r="AV113" s="2" t="str">
        <f t="shared" si="11"/>
        <v>0724 09:00:00-QAC-STD-D-1-DI-CHK</v>
      </c>
      <c r="AW113" s="2"/>
      <c r="AX113" s="2"/>
      <c r="AY113" s="2"/>
    </row>
    <row r="114" spans="1:51" x14ac:dyDescent="0.35">
      <c r="A114" s="45">
        <v>45496</v>
      </c>
      <c r="B114" s="46">
        <v>0.20208333333333331</v>
      </c>
      <c r="C114" s="2" t="s">
        <v>88</v>
      </c>
      <c r="D114" s="2" t="s">
        <v>114</v>
      </c>
      <c r="E114" s="2" t="s">
        <v>112</v>
      </c>
      <c r="F114" s="2">
        <v>1</v>
      </c>
      <c r="G114" s="2" t="s">
        <v>91</v>
      </c>
      <c r="H114" s="2" t="s">
        <v>146</v>
      </c>
      <c r="I114" s="2" t="s">
        <v>163</v>
      </c>
      <c r="J114" s="2">
        <v>135</v>
      </c>
      <c r="K114" s="47">
        <v>45497</v>
      </c>
      <c r="L114" s="46">
        <v>0.64582175925925933</v>
      </c>
      <c r="M114" s="2">
        <v>1</v>
      </c>
      <c r="N114" s="2" t="s">
        <v>164</v>
      </c>
      <c r="O114" s="2">
        <v>7.7200000000000003E-3</v>
      </c>
      <c r="P114" s="2">
        <v>4.6999999999999999E-4</v>
      </c>
      <c r="Q114" s="2">
        <v>2.63</v>
      </c>
      <c r="R114" s="2" t="s">
        <v>95</v>
      </c>
      <c r="S114" s="48">
        <f t="shared" si="10"/>
        <v>2.63</v>
      </c>
      <c r="T114" s="2" t="s">
        <v>171</v>
      </c>
      <c r="U114" s="48">
        <v>2.63</v>
      </c>
      <c r="V114" s="44" t="s">
        <v>97</v>
      </c>
      <c r="W114" s="44" t="s">
        <v>98</v>
      </c>
      <c r="X114" s="44" t="s">
        <v>116</v>
      </c>
      <c r="Y114" s="2" t="s">
        <v>161</v>
      </c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 t="str">
        <f t="shared" si="14"/>
        <v>FALSE</v>
      </c>
      <c r="AM114" s="2" t="str">
        <f t="shared" si="14"/>
        <v>FALSE</v>
      </c>
      <c r="AN114" s="2" t="str">
        <f t="shared" si="14"/>
        <v>FALSE</v>
      </c>
      <c r="AO114" s="2" t="str">
        <f t="shared" si="15"/>
        <v>FALSE</v>
      </c>
      <c r="AP114" s="2" t="str">
        <f t="shared" si="15"/>
        <v>FALSE</v>
      </c>
      <c r="AQ114" s="2" t="b">
        <f>IF(AND(I114="TP",S114&lt;=150),VLOOKUP(AF114,[1]TPCalibEq150!$AZ$2:$BB$74,3,),IF(AND(I114="TDP",S114&lt;=150),VLOOKUP(AF114,[1]TPCalibEq150!$AZ$2:$BB$74,3,)))</f>
        <v>0</v>
      </c>
      <c r="AR114" s="2" t="b">
        <f>IF(AND(I114="TP",S114&lt;=300),VLOOKUP(AF114,[1]TPCalibEq300!$AZ$2:$BB$76,3,),IF(AND(I114="TDP",S114&lt;=300),VLOOKUP(AF114,[1]TPCalibEq300!$AZ$2:$BB$76,3,)))</f>
        <v>0</v>
      </c>
      <c r="AS114" s="2" t="b">
        <f>IF(AND(I114="TP",S114&lt;=500),VLOOKUP(AF114,[1]TPCalibEq500!$AZ$2:$BB$88,3,),IF(AND(I114="TDP",S114&lt;=500),VLOOKUP(AF114,[1]TPCalibEq500!$AZ$2:$BB$88,3,)))</f>
        <v>0</v>
      </c>
      <c r="AT114" s="2" t="b">
        <f>IF(AND(I114="TN",S114&lt;=2800),VLOOKUP(AF114,[1]TNCalibEq2500!$AZ$2:$BB$80,3,),IF(AND(I114="TDN",S114&lt;=2800),VLOOKUP(AF114,[1]TNCalibEq2500!$AZ$2:$BB$80,3,)))</f>
        <v>0</v>
      </c>
      <c r="AU114" s="2" t="b">
        <f>IF(I114="TP",VLOOKUP(AF114,[1]TPCalibEqFull!$AZ$2:$BB$164,3),IF(I114="TDP",VLOOKUP(AF114,[1]TPCalibEqFull!$AZ$2:$BB$164,3),IF(I114="TDN",VLOOKUP(AF114,[1]TNCalibEqFull!$AZ$2:$BB$116,3),IF(I114="TN",VLOOKUP(AF114,[1]TNCalibEqFull!$AZ$2:$BB$118,3),FALSE))))</f>
        <v>0</v>
      </c>
      <c r="AV114" s="2" t="str">
        <f t="shared" si="11"/>
        <v>0723 04:51:00-QAC-BLK-A-1-DI-FLD</v>
      </c>
      <c r="AW114" s="2"/>
      <c r="AX114" s="2"/>
      <c r="AY114" s="2"/>
    </row>
    <row r="115" spans="1:51" x14ac:dyDescent="0.35">
      <c r="A115" s="45">
        <v>45496</v>
      </c>
      <c r="B115" s="46">
        <v>0.20208333333333331</v>
      </c>
      <c r="C115" s="2" t="s">
        <v>88</v>
      </c>
      <c r="D115" s="2" t="s">
        <v>114</v>
      </c>
      <c r="E115" s="2" t="s">
        <v>137</v>
      </c>
      <c r="F115" s="2">
        <v>1</v>
      </c>
      <c r="G115" s="2" t="s">
        <v>91</v>
      </c>
      <c r="H115" s="2" t="s">
        <v>146</v>
      </c>
      <c r="I115" s="2" t="s">
        <v>173</v>
      </c>
      <c r="J115" s="2">
        <v>136</v>
      </c>
      <c r="K115" s="47">
        <v>45497</v>
      </c>
      <c r="L115" s="46">
        <v>0.64665509259259257</v>
      </c>
      <c r="M115" s="2">
        <v>1</v>
      </c>
      <c r="N115" s="2" t="s">
        <v>164</v>
      </c>
      <c r="O115" s="2">
        <v>0.11</v>
      </c>
      <c r="P115" s="2">
        <v>5.13E-3</v>
      </c>
      <c r="Q115" s="2">
        <v>14.5</v>
      </c>
      <c r="R115" s="2" t="s">
        <v>95</v>
      </c>
      <c r="S115" s="48">
        <f t="shared" si="10"/>
        <v>14.5</v>
      </c>
      <c r="T115" s="2" t="s">
        <v>171</v>
      </c>
      <c r="U115" s="48">
        <v>14.5</v>
      </c>
      <c r="V115" s="44" t="s">
        <v>97</v>
      </c>
      <c r="W115" s="44" t="s">
        <v>98</v>
      </c>
      <c r="X115" s="44" t="s">
        <v>116</v>
      </c>
      <c r="Y115" s="2" t="s">
        <v>161</v>
      </c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 t="str">
        <f t="shared" si="14"/>
        <v>FALSE</v>
      </c>
      <c r="AM115" s="2" t="str">
        <f t="shared" si="14"/>
        <v>FALSE</v>
      </c>
      <c r="AN115" s="2" t="str">
        <f t="shared" si="14"/>
        <v>FALSE</v>
      </c>
      <c r="AO115" s="2" t="str">
        <f t="shared" si="15"/>
        <v>FALSE</v>
      </c>
      <c r="AP115" s="2" t="str">
        <f t="shared" si="15"/>
        <v>FALSE</v>
      </c>
      <c r="AQ115" s="2" t="b">
        <f>IF(AND(I115="TP",S115&lt;=150),VLOOKUP(AF115,[1]TPCalibEq150!$AZ$2:$BB$74,3,),IF(AND(I115="TDP",S115&lt;=150),VLOOKUP(AF115,[1]TPCalibEq150!$AZ$2:$BB$74,3,)))</f>
        <v>0</v>
      </c>
      <c r="AR115" s="2" t="b">
        <f>IF(AND(I115="TP",S115&lt;=300),VLOOKUP(AF115,[1]TPCalibEq300!$AZ$2:$BB$76,3,),IF(AND(I115="TDP",S115&lt;=300),VLOOKUP(AF115,[1]TPCalibEq300!$AZ$2:$BB$76,3,)))</f>
        <v>0</v>
      </c>
      <c r="AS115" s="2" t="b">
        <f>IF(AND(I115="TP",S115&lt;=500),VLOOKUP(AF115,[1]TPCalibEq500!$AZ$2:$BB$88,3,),IF(AND(I115="TDP",S115&lt;=500),VLOOKUP(AF115,[1]TPCalibEq500!$AZ$2:$BB$88,3,)))</f>
        <v>0</v>
      </c>
      <c r="AT115" s="2" t="b">
        <f>IF(AND(I115="TN",S115&lt;=2800),VLOOKUP(AF115,[1]TNCalibEq2500!$AZ$2:$BB$80,3,),IF(AND(I115="TDN",S115&lt;=2800),VLOOKUP(AF115,[1]TNCalibEq2500!$AZ$2:$BB$80,3,)))</f>
        <v>0</v>
      </c>
      <c r="AU115" s="2" t="b">
        <f>IF(I115="TP",VLOOKUP(AF115,[1]TPCalibEqFull!$AZ$2:$BB$164,3),IF(I115="TDP",VLOOKUP(AF115,[1]TPCalibEqFull!$AZ$2:$BB$164,3),IF(I115="TDN",VLOOKUP(AF115,[1]TNCalibEqFull!$AZ$2:$BB$116,3),IF(I115="TN",VLOOKUP(AF115,[1]TNCalibEqFull!$AZ$2:$BB$118,3),FALSE))))</f>
        <v>0</v>
      </c>
      <c r="AV115" s="2" t="str">
        <f t="shared" si="11"/>
        <v>0723 04:51:00-QAC-BLK-FIL-1-DI-FLD</v>
      </c>
      <c r="AW115" s="2"/>
      <c r="AX115" s="2"/>
      <c r="AY115" s="2"/>
    </row>
    <row r="116" spans="1:51" x14ac:dyDescent="0.35">
      <c r="A116" s="45">
        <v>45497</v>
      </c>
      <c r="B116" s="46">
        <v>0.375</v>
      </c>
      <c r="C116" s="2" t="s">
        <v>88</v>
      </c>
      <c r="D116" s="2" t="s">
        <v>89</v>
      </c>
      <c r="E116" s="2" t="s">
        <v>106</v>
      </c>
      <c r="F116" s="2">
        <v>1</v>
      </c>
      <c r="G116" s="2" t="s">
        <v>91</v>
      </c>
      <c r="H116" s="2" t="s">
        <v>122</v>
      </c>
      <c r="I116" s="2" t="s">
        <v>93</v>
      </c>
      <c r="J116" s="2">
        <v>199</v>
      </c>
      <c r="K116" s="47">
        <v>45497</v>
      </c>
      <c r="L116" s="46">
        <v>0.65593749999999995</v>
      </c>
      <c r="M116" s="2">
        <v>1</v>
      </c>
      <c r="N116" s="2" t="s">
        <v>94</v>
      </c>
      <c r="O116" s="2">
        <v>5.71</v>
      </c>
      <c r="P116" s="2">
        <v>0.46700000000000003</v>
      </c>
      <c r="Q116" s="2">
        <v>301</v>
      </c>
      <c r="R116" s="2" t="s">
        <v>95</v>
      </c>
      <c r="S116" s="48">
        <f t="shared" si="10"/>
        <v>301</v>
      </c>
      <c r="T116" s="2" t="s">
        <v>113</v>
      </c>
      <c r="U116" s="48">
        <v>100.33333333333334</v>
      </c>
      <c r="V116" s="44">
        <v>300</v>
      </c>
      <c r="W116" s="44" t="s">
        <v>98</v>
      </c>
      <c r="X116" s="44" t="s">
        <v>123</v>
      </c>
      <c r="Y116" s="2" t="s">
        <v>161</v>
      </c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 t="str">
        <f t="shared" si="14"/>
        <v>FALSE</v>
      </c>
      <c r="AM116" s="2" t="str">
        <f t="shared" si="14"/>
        <v>FALSE</v>
      </c>
      <c r="AN116" s="2" t="str">
        <f t="shared" si="14"/>
        <v>FALSE</v>
      </c>
      <c r="AO116" s="2" t="str">
        <f t="shared" si="15"/>
        <v>FALSE</v>
      </c>
      <c r="AP116" s="2" t="str">
        <f t="shared" si="15"/>
        <v>FALSE</v>
      </c>
      <c r="AQ116" s="2" t="b">
        <f>IF(AND(I116="TP",S116&lt;=150),VLOOKUP(AF116,[1]TPCalibEq150!$AZ$2:$BB$74,3,),IF(AND(I116="TDP",S116&lt;=150),VLOOKUP(AF116,[1]TPCalibEq150!$AZ$2:$BB$74,3,)))</f>
        <v>0</v>
      </c>
      <c r="AR116" s="2" t="b">
        <f>IF(AND(I116="TP",S116&lt;=300),VLOOKUP(AF116,[1]TPCalibEq300!$AZ$2:$BB$76,3,),IF(AND(I116="TDP",S116&lt;=300),VLOOKUP(AF116,[1]TPCalibEq300!$AZ$2:$BB$76,3,)))</f>
        <v>0</v>
      </c>
      <c r="AS116" s="2" t="b">
        <f>IF(AND(I116="TP",S116&lt;=500),VLOOKUP(AF116,[1]TPCalibEq500!$AZ$2:$BB$88,3,),IF(AND(I116="TDP",S116&lt;=500),VLOOKUP(AF116,[1]TPCalibEq500!$AZ$2:$BB$88,3,)))</f>
        <v>0</v>
      </c>
      <c r="AT116" s="2" t="b">
        <f>IF(AND(I116="TN",S116&lt;=2800),VLOOKUP(AF116,[1]TNCalibEq2500!$AZ$2:$BB$80,3,),IF(AND(I116="TDN",S116&lt;=2800),VLOOKUP(AF116,[1]TNCalibEq2500!$AZ$2:$BB$80,3,)))</f>
        <v>0</v>
      </c>
      <c r="AU116" s="2" t="b">
        <f>IF(I116="TP",VLOOKUP(AF116,[1]TPCalibEqFull!$AZ$2:$BB$164,3),IF(I116="TDP",VLOOKUP(AF116,[1]TPCalibEqFull!$AZ$2:$BB$164,3),IF(I116="TDN",VLOOKUP(AF116,[1]TNCalibEqFull!$AZ$2:$BB$116,3),IF(I116="TN",VLOOKUP(AF116,[1]TNCalibEqFull!$AZ$2:$BB$118,3),FALSE))))</f>
        <v>0</v>
      </c>
      <c r="AV116" s="2" t="str">
        <f t="shared" si="11"/>
        <v>0724 09:00:00-QAC-STD-D-1-DI-CHK</v>
      </c>
      <c r="AW116" s="2"/>
      <c r="AX116" s="2"/>
      <c r="AY116" s="2"/>
    </row>
    <row r="117" spans="1:51" x14ac:dyDescent="0.35">
      <c r="A117" s="45">
        <v>45497</v>
      </c>
      <c r="B117" s="46">
        <v>0.375</v>
      </c>
      <c r="C117" s="2" t="s">
        <v>88</v>
      </c>
      <c r="D117" s="2" t="s">
        <v>89</v>
      </c>
      <c r="E117" s="2" t="s">
        <v>174</v>
      </c>
      <c r="F117" s="2">
        <v>1</v>
      </c>
      <c r="G117" s="2" t="s">
        <v>91</v>
      </c>
      <c r="H117" s="2" t="s">
        <v>92</v>
      </c>
      <c r="I117" s="2" t="s">
        <v>175</v>
      </c>
      <c r="J117" s="2">
        <v>181</v>
      </c>
      <c r="K117" s="47">
        <v>45499</v>
      </c>
      <c r="L117" s="46">
        <v>0.43012731481481481</v>
      </c>
      <c r="M117" s="2">
        <v>1</v>
      </c>
      <c r="N117" s="2" t="s">
        <v>176</v>
      </c>
      <c r="O117" s="2">
        <v>0.58099999999999996</v>
      </c>
      <c r="P117" s="2">
        <v>2.9399999999999999E-2</v>
      </c>
      <c r="Q117" s="2">
        <v>0</v>
      </c>
      <c r="R117" s="2" t="s">
        <v>177</v>
      </c>
      <c r="S117" s="48">
        <f t="shared" si="10"/>
        <v>0</v>
      </c>
      <c r="T117" s="2" t="s">
        <v>96</v>
      </c>
      <c r="U117" s="48" t="s">
        <v>97</v>
      </c>
      <c r="V117" s="44" t="s">
        <v>97</v>
      </c>
      <c r="W117" s="44" t="s">
        <v>98</v>
      </c>
      <c r="X117" s="44" t="s">
        <v>97</v>
      </c>
      <c r="Y117" s="2" t="s">
        <v>178</v>
      </c>
      <c r="Z117" s="2"/>
      <c r="AA117" s="2"/>
      <c r="AB117" s="2"/>
      <c r="AC117" s="2"/>
      <c r="AD117" s="2"/>
      <c r="AE117" s="2"/>
      <c r="AF117" s="47">
        <v>45499</v>
      </c>
      <c r="AG117" s="2"/>
      <c r="AH117" s="2"/>
      <c r="AI117" s="2"/>
      <c r="AJ117" s="2">
        <f>-1.2417*0.581^2+180.63*0.581-137.56</f>
        <v>-33.033119493700013</v>
      </c>
      <c r="AK117" s="2">
        <f>0.822*0.581^2+151.75*0.581-95.73</f>
        <v>-7.2857748580000106</v>
      </c>
      <c r="AL117" s="2" t="str">
        <f t="shared" si="14"/>
        <v>FALSE</v>
      </c>
      <c r="AM117" s="2" t="str">
        <f t="shared" si="14"/>
        <v>FALSE</v>
      </c>
      <c r="AN117" s="2" t="str">
        <f t="shared" si="14"/>
        <v>FALSE</v>
      </c>
      <c r="AO117" s="2" t="str">
        <f t="shared" si="15"/>
        <v>y=-1.2417*0.581^2+180.63*0.581-137.56</v>
      </c>
      <c r="AP117" s="2" t="str">
        <f t="shared" si="15"/>
        <v>y=0.822*0.581^2+151.75*0.581-95.73</v>
      </c>
      <c r="AQ117" s="2" t="b">
        <f>IF(AND(I117="TP",S117&lt;=150),VLOOKUP(AF117,[1]TPCalibEq150!$AZ$2:$BB$74,3,),IF(AND(I117="TDP",S117&lt;=150),VLOOKUP(AF117,[1]TPCalibEq150!$AZ$2:$BB$74,3,)))</f>
        <v>0</v>
      </c>
      <c r="AR117" s="2" t="b">
        <f>IF(AND(I117="TP",S117&lt;=300),VLOOKUP(AF117,[1]TPCalibEq300!$AZ$2:$BB$76,3,),IF(AND(I117="TDP",S117&lt;=300),VLOOKUP(AF117,[1]TPCalibEq300!$AZ$2:$BB$76,3,)))</f>
        <v>0</v>
      </c>
      <c r="AS117" s="2" t="b">
        <f>IF(AND(I117="TP",S117&lt;=500),VLOOKUP(AF117,[1]TPCalibEq500!$AZ$2:$BB$88,3,),IF(AND(I117="TDP",S117&lt;=500),VLOOKUP(AF117,[1]TPCalibEq500!$AZ$2:$BB$88,3,)))</f>
        <v>0</v>
      </c>
      <c r="AT117" s="2" t="str">
        <f>IF(AND(I117="TN",S117&lt;=2800),VLOOKUP(AF117,[1]TNCalibEq2500!$AZ$2:$BB$80,3,),IF(AND(I117="TDN",S117&lt;=2800),VLOOKUP(AF117,[1]TNCalibEq2500!$AZ$2:$BB$80,3,)))</f>
        <v>y=-1.2417x2+180.63x-137.56</v>
      </c>
      <c r="AU117" s="2" t="str">
        <f>IF(I117="TP",VLOOKUP(AF117,[1]TPCalibEqFull!$AZ$2:$BB$164,3),IF(I117="TDP",VLOOKUP(AF117,[1]TPCalibEqFull!$AZ$2:$BB$164,3),IF(I117="TDN",VLOOKUP(AF117,[1]TNCalibEqFull!$AZ$2:$BB$116,3),IF(I117="TN",VLOOKUP(AF117,[1]TNCalibEqFull!$AZ$2:$BB$118,3),FALSE))))</f>
        <v>y=0.822x2+151.75x-95.73</v>
      </c>
      <c r="AV117" s="2" t="str">
        <f t="shared" si="11"/>
        <v>0724 09:00:00-QAC-STD-D.H-1-DI-CAL</v>
      </c>
      <c r="AW117" s="2"/>
      <c r="AX117" s="2"/>
      <c r="AY117" s="2"/>
    </row>
    <row r="118" spans="1:51" x14ac:dyDescent="0.35">
      <c r="A118" s="45">
        <v>45497</v>
      </c>
      <c r="B118" s="46">
        <v>0.375</v>
      </c>
      <c r="C118" s="2" t="s">
        <v>88</v>
      </c>
      <c r="D118" s="2" t="s">
        <v>89</v>
      </c>
      <c r="E118" s="2" t="s">
        <v>179</v>
      </c>
      <c r="F118" s="2">
        <v>1</v>
      </c>
      <c r="G118" s="2" t="s">
        <v>91</v>
      </c>
      <c r="H118" s="2" t="s">
        <v>92</v>
      </c>
      <c r="I118" s="2" t="s">
        <v>175</v>
      </c>
      <c r="J118" s="2">
        <v>182</v>
      </c>
      <c r="K118" s="47">
        <v>45499</v>
      </c>
      <c r="L118" s="46">
        <v>0.43082175925925931</v>
      </c>
      <c r="M118" s="2">
        <v>1</v>
      </c>
      <c r="N118" s="2" t="s">
        <v>176</v>
      </c>
      <c r="O118" s="2">
        <v>0.75600000000000001</v>
      </c>
      <c r="P118" s="2">
        <v>3.7699999999999997E-2</v>
      </c>
      <c r="Q118" s="2">
        <v>30</v>
      </c>
      <c r="R118" s="2" t="s">
        <v>177</v>
      </c>
      <c r="S118" s="48">
        <f t="shared" si="10"/>
        <v>30</v>
      </c>
      <c r="T118" s="2" t="s">
        <v>96</v>
      </c>
      <c r="U118" s="48" t="s">
        <v>97</v>
      </c>
      <c r="V118" s="44" t="s">
        <v>97</v>
      </c>
      <c r="W118" s="44" t="s">
        <v>98</v>
      </c>
      <c r="X118" s="44" t="s">
        <v>97</v>
      </c>
      <c r="Y118" s="2" t="s">
        <v>178</v>
      </c>
      <c r="Z118" s="2"/>
      <c r="AA118" s="2"/>
      <c r="AB118" s="2"/>
      <c r="AC118" s="2"/>
      <c r="AD118" s="2"/>
      <c r="AE118" s="2"/>
      <c r="AF118" s="47">
        <v>45499</v>
      </c>
      <c r="AG118" s="2"/>
      <c r="AH118" s="2"/>
      <c r="AI118" s="2"/>
      <c r="AJ118" s="2">
        <f>-1.2417*0.756^2+180.63*0.756-137.56</f>
        <v>-1.7133962512000096</v>
      </c>
      <c r="AK118" s="2">
        <f>0.822*0.756^2+151.75*0.756-95.73</f>
        <v>19.462802591999989</v>
      </c>
      <c r="AL118" s="2" t="str">
        <f t="shared" ref="AL118:AN133" si="16">IF($O118="", "", IF(AQ118&lt;&gt;"", SUBSTITUTE(SUBSTITUTE(AQ118, "x", "*"&amp;$O118&amp;"^", 1), "x", "*"&amp;$O118, 1), ""))</f>
        <v>FALSE</v>
      </c>
      <c r="AM118" s="2" t="str">
        <f t="shared" si="16"/>
        <v>FALSE</v>
      </c>
      <c r="AN118" s="2" t="str">
        <f t="shared" si="16"/>
        <v>FALSE</v>
      </c>
      <c r="AO118" s="2" t="str">
        <f t="shared" ref="AO118:AP133" si="17">IF($O118="", "FALSE", IF(AT118&lt;&gt;"FALSE", SUBSTITUTE(SUBSTITUTE(AT118, "x", "*"&amp;$O118&amp;"^", 1), "x", "*"&amp;$O118, 1), ""))</f>
        <v>y=-1.2417*0.756^2+180.63*0.756-137.56</v>
      </c>
      <c r="AP118" s="2" t="str">
        <f t="shared" si="17"/>
        <v>y=0.822*0.756^2+151.75*0.756-95.73</v>
      </c>
      <c r="AQ118" s="2" t="b">
        <f>IF(AND(I118="TP",S118&lt;=150),VLOOKUP(AF118,[1]TPCalibEq150!$AZ$2:$BB$74,3,),IF(AND(I118="TDP",S118&lt;=150),VLOOKUP(AF118,[1]TPCalibEq150!$AZ$2:$BB$74,3,)))</f>
        <v>0</v>
      </c>
      <c r="AR118" s="2" t="b">
        <f>IF(AND(I118="TP",S118&lt;=300),VLOOKUP(AF118,[1]TPCalibEq300!$AZ$2:$BB$76,3,),IF(AND(I118="TDP",S118&lt;=300),VLOOKUP(AF118,[1]TPCalibEq300!$AZ$2:$BB$76,3,)))</f>
        <v>0</v>
      </c>
      <c r="AS118" s="2" t="b">
        <f>IF(AND(I118="TP",S118&lt;=500),VLOOKUP(AF118,[1]TPCalibEq500!$AZ$2:$BB$88,3,),IF(AND(I118="TDP",S118&lt;=500),VLOOKUP(AF118,[1]TPCalibEq500!$AZ$2:$BB$88,3,)))</f>
        <v>0</v>
      </c>
      <c r="AT118" s="2" t="str">
        <f>IF(AND(I118="TN",S118&lt;=2800),VLOOKUP(AF118,[1]TNCalibEq2500!$AZ$2:$BB$80,3,),IF(AND(I118="TDN",S118&lt;=2800),VLOOKUP(AF118,[1]TNCalibEq2500!$AZ$2:$BB$80,3,)))</f>
        <v>y=-1.2417x2+180.63x-137.56</v>
      </c>
      <c r="AU118" s="2" t="str">
        <f>IF(I118="TP",VLOOKUP(AF118,[1]TPCalibEqFull!$AZ$2:$BB$164,3),IF(I118="TDP",VLOOKUP(AF118,[1]TPCalibEqFull!$AZ$2:$BB$164,3),IF(I118="TDN",VLOOKUP(AF118,[1]TNCalibEqFull!$AZ$2:$BB$116,3),IF(I118="TN",VLOOKUP(AF118,[1]TNCalibEqFull!$AZ$2:$BB$118,3),FALSE))))</f>
        <v>y=0.822x2+151.75x-95.73</v>
      </c>
      <c r="AV118" s="2" t="str">
        <f t="shared" si="11"/>
        <v>0724 09:00:00-QAC-STD-D.G-1-DI-CAL</v>
      </c>
      <c r="AW118" s="2"/>
      <c r="AX118" s="2"/>
      <c r="AY118" s="2"/>
    </row>
    <row r="119" spans="1:51" x14ac:dyDescent="0.35">
      <c r="A119" s="45">
        <v>45497</v>
      </c>
      <c r="B119" s="46">
        <v>0.375</v>
      </c>
      <c r="C119" s="2" t="s">
        <v>88</v>
      </c>
      <c r="D119" s="2" t="s">
        <v>89</v>
      </c>
      <c r="E119" s="2" t="s">
        <v>180</v>
      </c>
      <c r="F119" s="2">
        <v>1</v>
      </c>
      <c r="G119" s="2" t="s">
        <v>91</v>
      </c>
      <c r="H119" s="2" t="s">
        <v>92</v>
      </c>
      <c r="I119" s="2" t="s">
        <v>175</v>
      </c>
      <c r="J119" s="2">
        <v>183</v>
      </c>
      <c r="K119" s="47">
        <v>45499</v>
      </c>
      <c r="L119" s="46">
        <v>0.43149305555555556</v>
      </c>
      <c r="M119" s="2">
        <v>1</v>
      </c>
      <c r="N119" s="2" t="s">
        <v>176</v>
      </c>
      <c r="O119" s="2">
        <v>1.96</v>
      </c>
      <c r="P119" s="2">
        <v>9.8799999999999999E-2</v>
      </c>
      <c r="Q119" s="2">
        <v>125</v>
      </c>
      <c r="R119" s="2" t="s">
        <v>177</v>
      </c>
      <c r="S119" s="48">
        <f t="shared" si="10"/>
        <v>125</v>
      </c>
      <c r="T119" s="2" t="s">
        <v>181</v>
      </c>
      <c r="U119" s="48" t="s">
        <v>97</v>
      </c>
      <c r="V119" s="44" t="s">
        <v>97</v>
      </c>
      <c r="W119" s="44" t="s">
        <v>98</v>
      </c>
      <c r="X119" s="44" t="s">
        <v>97</v>
      </c>
      <c r="Y119" s="2" t="s">
        <v>178</v>
      </c>
      <c r="Z119" s="2"/>
      <c r="AA119" s="2"/>
      <c r="AB119" s="2"/>
      <c r="AC119" s="2"/>
      <c r="AD119" s="2"/>
      <c r="AE119" s="2"/>
      <c r="AF119" s="47">
        <v>45499</v>
      </c>
      <c r="AG119" s="2"/>
      <c r="AH119" s="2"/>
      <c r="AI119" s="2"/>
      <c r="AJ119" s="2">
        <f>-1.2417*1.96^2+180.63*1.96-137.56</f>
        <v>211.70468527999998</v>
      </c>
      <c r="AK119" s="2">
        <f>0.822*1.96^2+151.75*1.96-95.73</f>
        <v>204.8577952</v>
      </c>
      <c r="AL119" s="2" t="str">
        <f t="shared" si="16"/>
        <v>FALSE</v>
      </c>
      <c r="AM119" s="2" t="str">
        <f t="shared" si="16"/>
        <v>FALSE</v>
      </c>
      <c r="AN119" s="2" t="str">
        <f t="shared" si="16"/>
        <v>FALSE</v>
      </c>
      <c r="AO119" s="2" t="str">
        <f t="shared" si="17"/>
        <v>y=-1.2417*1.96^2+180.63*1.96-137.56</v>
      </c>
      <c r="AP119" s="2" t="str">
        <f t="shared" si="17"/>
        <v>y=0.822*1.96^2+151.75*1.96-95.73</v>
      </c>
      <c r="AQ119" s="2" t="b">
        <f>IF(AND(I119="TP",S119&lt;=150),VLOOKUP(AF119,[1]TPCalibEq150!$AZ$2:$BB$74,3,),IF(AND(I119="TDP",S119&lt;=150),VLOOKUP(AF119,[1]TPCalibEq150!$AZ$2:$BB$74,3,)))</f>
        <v>0</v>
      </c>
      <c r="AR119" s="2" t="b">
        <f>IF(AND(I119="TP",S119&lt;=300),VLOOKUP(AF119,[1]TPCalibEq300!$AZ$2:$BB$76,3,),IF(AND(I119="TDP",S119&lt;=300),VLOOKUP(AF119,[1]TPCalibEq300!$AZ$2:$BB$76,3,)))</f>
        <v>0</v>
      </c>
      <c r="AS119" s="2" t="b">
        <f>IF(AND(I119="TP",S119&lt;=500),VLOOKUP(AF119,[1]TPCalibEq500!$AZ$2:$BB$88,3,),IF(AND(I119="TDP",S119&lt;=500),VLOOKUP(AF119,[1]TPCalibEq500!$AZ$2:$BB$88,3,)))</f>
        <v>0</v>
      </c>
      <c r="AT119" s="2" t="str">
        <f>IF(AND(I119="TN",S119&lt;=2800),VLOOKUP(AF119,[1]TNCalibEq2500!$AZ$2:$BB$80,3,),IF(AND(I119="TDN",S119&lt;=2800),VLOOKUP(AF119,[1]TNCalibEq2500!$AZ$2:$BB$80,3,)))</f>
        <v>y=-1.2417x2+180.63x-137.56</v>
      </c>
      <c r="AU119" s="2" t="str">
        <f>IF(I119="TP",VLOOKUP(AF119,[1]TPCalibEqFull!$AZ$2:$BB$164,3),IF(I119="TDP",VLOOKUP(AF119,[1]TPCalibEqFull!$AZ$2:$BB$164,3),IF(I119="TDN",VLOOKUP(AF119,[1]TNCalibEqFull!$AZ$2:$BB$116,3),IF(I119="TN",VLOOKUP(AF119,[1]TNCalibEqFull!$AZ$2:$BB$118,3),FALSE))))</f>
        <v>y=0.822x2+151.75x-95.73</v>
      </c>
      <c r="AV119" s="2" t="str">
        <f t="shared" si="11"/>
        <v>0724 09:00:00-QAC-STD-D.F-1-DI-CAL</v>
      </c>
      <c r="AW119" s="2"/>
      <c r="AX119" s="2"/>
      <c r="AY119" s="2"/>
    </row>
    <row r="120" spans="1:51" x14ac:dyDescent="0.35">
      <c r="A120" s="45">
        <v>45497</v>
      </c>
      <c r="B120" s="46">
        <v>0.375</v>
      </c>
      <c r="C120" s="2" t="s">
        <v>88</v>
      </c>
      <c r="D120" s="2" t="s">
        <v>89</v>
      </c>
      <c r="E120" s="2" t="s">
        <v>182</v>
      </c>
      <c r="F120" s="2">
        <v>1</v>
      </c>
      <c r="G120" s="2" t="s">
        <v>91</v>
      </c>
      <c r="H120" s="2" t="s">
        <v>92</v>
      </c>
      <c r="I120" s="2" t="s">
        <v>175</v>
      </c>
      <c r="J120" s="2">
        <v>184</v>
      </c>
      <c r="K120" s="47">
        <v>45499</v>
      </c>
      <c r="L120" s="46">
        <v>0.43217592592592591</v>
      </c>
      <c r="M120" s="2">
        <v>1</v>
      </c>
      <c r="N120" s="2" t="s">
        <v>176</v>
      </c>
      <c r="O120" s="2">
        <v>3.61</v>
      </c>
      <c r="P120" s="2">
        <v>0.184</v>
      </c>
      <c r="Q120" s="2">
        <v>500</v>
      </c>
      <c r="R120" s="2" t="s">
        <v>177</v>
      </c>
      <c r="S120" s="48">
        <f t="shared" si="10"/>
        <v>500</v>
      </c>
      <c r="T120" s="2" t="s">
        <v>183</v>
      </c>
      <c r="U120" s="48" t="s">
        <v>97</v>
      </c>
      <c r="V120" s="44" t="s">
        <v>97</v>
      </c>
      <c r="W120" s="44" t="s">
        <v>98</v>
      </c>
      <c r="X120" s="44" t="s">
        <v>97</v>
      </c>
      <c r="Y120" s="2" t="s">
        <v>178</v>
      </c>
      <c r="Z120" s="2"/>
      <c r="AA120" s="2"/>
      <c r="AB120" s="2"/>
      <c r="AC120" s="2"/>
      <c r="AD120" s="2"/>
      <c r="AE120" s="2"/>
      <c r="AF120" s="47">
        <v>45499</v>
      </c>
      <c r="AG120" s="2"/>
      <c r="AH120" s="2"/>
      <c r="AI120" s="2"/>
      <c r="AJ120" s="2">
        <f>-1.2417*3.61^2+180.63*3.61-137.56</f>
        <v>498.33234142999999</v>
      </c>
      <c r="AK120" s="2">
        <f>0.822*3.61^2+151.75*3.61-95.73</f>
        <v>462.79988619999995</v>
      </c>
      <c r="AL120" s="2" t="str">
        <f t="shared" si="16"/>
        <v>FALSE</v>
      </c>
      <c r="AM120" s="2" t="str">
        <f t="shared" si="16"/>
        <v>FALSE</v>
      </c>
      <c r="AN120" s="2" t="str">
        <f t="shared" si="16"/>
        <v>FALSE</v>
      </c>
      <c r="AO120" s="2" t="str">
        <f t="shared" si="17"/>
        <v>y=-1.2417*3.61^2+180.63*3.61-137.56</v>
      </c>
      <c r="AP120" s="2" t="str">
        <f t="shared" si="17"/>
        <v>y=0.822*3.61^2+151.75*3.61-95.73</v>
      </c>
      <c r="AQ120" s="2" t="b">
        <f>IF(AND(I120="TP",S120&lt;=150),VLOOKUP(AF120,[1]TPCalibEq150!$AZ$2:$BB$74,3,),IF(AND(I120="TDP",S120&lt;=150),VLOOKUP(AF120,[1]TPCalibEq150!$AZ$2:$BB$74,3,)))</f>
        <v>0</v>
      </c>
      <c r="AR120" s="2" t="b">
        <f>IF(AND(I120="TP",S120&lt;=300),VLOOKUP(AF120,[1]TPCalibEq300!$AZ$2:$BB$76,3,),IF(AND(I120="TDP",S120&lt;=300),VLOOKUP(AF120,[1]TPCalibEq300!$AZ$2:$BB$76,3,)))</f>
        <v>0</v>
      </c>
      <c r="AS120" s="2" t="b">
        <f>IF(AND(I120="TP",S120&lt;=500),VLOOKUP(AF120,[1]TPCalibEq500!$AZ$2:$BB$88,3,),IF(AND(I120="TDP",S120&lt;=500),VLOOKUP(AF120,[1]TPCalibEq500!$AZ$2:$BB$88,3,)))</f>
        <v>0</v>
      </c>
      <c r="AT120" s="2" t="str">
        <f>IF(AND(I120="TN",S120&lt;=2800),VLOOKUP(AF120,[1]TNCalibEq2500!$AZ$2:$BB$80,3,),IF(AND(I120="TDN",S120&lt;=2800),VLOOKUP(AF120,[1]TNCalibEq2500!$AZ$2:$BB$80,3,)))</f>
        <v>y=-1.2417x2+180.63x-137.56</v>
      </c>
      <c r="AU120" s="2" t="str">
        <f>IF(I120="TP",VLOOKUP(AF120,[1]TPCalibEqFull!$AZ$2:$BB$164,3),IF(I120="TDP",VLOOKUP(AF120,[1]TPCalibEqFull!$AZ$2:$BB$164,3),IF(I120="TDN",VLOOKUP(AF120,[1]TNCalibEqFull!$AZ$2:$BB$116,3),IF(I120="TN",VLOOKUP(AF120,[1]TNCalibEqFull!$AZ$2:$BB$118,3),FALSE))))</f>
        <v>y=0.822x2+151.75x-95.73</v>
      </c>
      <c r="AV120" s="2" t="str">
        <f t="shared" si="11"/>
        <v>0724 09:00:00-QAC-STD-D.E-1-DI-CAL</v>
      </c>
      <c r="AW120" s="2"/>
      <c r="AX120" s="2"/>
      <c r="AY120" s="2"/>
    </row>
    <row r="121" spans="1:51" x14ac:dyDescent="0.35">
      <c r="A121" s="45">
        <v>45497</v>
      </c>
      <c r="B121" s="46">
        <v>0.375</v>
      </c>
      <c r="C121" s="2" t="s">
        <v>88</v>
      </c>
      <c r="D121" s="2" t="s">
        <v>89</v>
      </c>
      <c r="E121" s="2" t="s">
        <v>184</v>
      </c>
      <c r="F121" s="2">
        <v>1</v>
      </c>
      <c r="G121" s="2" t="s">
        <v>91</v>
      </c>
      <c r="H121" s="2" t="s">
        <v>92</v>
      </c>
      <c r="I121" s="2" t="s">
        <v>175</v>
      </c>
      <c r="J121" s="2">
        <v>185</v>
      </c>
      <c r="K121" s="47">
        <v>45499</v>
      </c>
      <c r="L121" s="46">
        <v>0.43285879629629626</v>
      </c>
      <c r="M121" s="2">
        <v>1</v>
      </c>
      <c r="N121" s="2" t="s">
        <v>176</v>
      </c>
      <c r="O121" s="2">
        <v>7.98</v>
      </c>
      <c r="P121" s="2">
        <v>0.378</v>
      </c>
      <c r="Q121" s="2">
        <v>1250</v>
      </c>
      <c r="R121" s="2" t="s">
        <v>177</v>
      </c>
      <c r="S121" s="48">
        <f t="shared" si="10"/>
        <v>1250</v>
      </c>
      <c r="T121" s="2" t="s">
        <v>185</v>
      </c>
      <c r="U121" s="48" t="s">
        <v>97</v>
      </c>
      <c r="V121" s="44" t="s">
        <v>97</v>
      </c>
      <c r="W121" s="44" t="s">
        <v>98</v>
      </c>
      <c r="X121" s="44" t="s">
        <v>97</v>
      </c>
      <c r="Y121" s="2" t="s">
        <v>178</v>
      </c>
      <c r="Z121" s="2"/>
      <c r="AA121" s="2"/>
      <c r="AB121" s="2"/>
      <c r="AC121" s="2"/>
      <c r="AD121" s="2"/>
      <c r="AE121" s="2"/>
      <c r="AF121" s="47">
        <v>45499</v>
      </c>
      <c r="AG121" s="2"/>
      <c r="AH121" s="2"/>
      <c r="AI121" s="2"/>
      <c r="AJ121" s="2">
        <f>-1.2417*7.98^2+180.63*7.98-137.56</f>
        <v>1224.79544732</v>
      </c>
      <c r="AK121" s="2">
        <f>0.822*7.98^2+151.75*7.98-95.73</f>
        <v>1167.5802888000001</v>
      </c>
      <c r="AL121" s="2" t="str">
        <f t="shared" si="16"/>
        <v>FALSE</v>
      </c>
      <c r="AM121" s="2" t="str">
        <f t="shared" si="16"/>
        <v>FALSE</v>
      </c>
      <c r="AN121" s="2" t="str">
        <f t="shared" si="16"/>
        <v>FALSE</v>
      </c>
      <c r="AO121" s="2" t="str">
        <f t="shared" si="17"/>
        <v>y=-1.2417*7.98^2+180.63*7.98-137.56</v>
      </c>
      <c r="AP121" s="2" t="str">
        <f t="shared" si="17"/>
        <v>y=0.822*7.98^2+151.75*7.98-95.73</v>
      </c>
      <c r="AQ121" s="2" t="b">
        <f>IF(AND(I121="TP",S121&lt;=150),VLOOKUP(AF121,[1]TPCalibEq150!$AZ$2:$BB$74,3,),IF(AND(I121="TDP",S121&lt;=150),VLOOKUP(AF121,[1]TPCalibEq150!$AZ$2:$BB$74,3,)))</f>
        <v>0</v>
      </c>
      <c r="AR121" s="2" t="b">
        <f>IF(AND(I121="TP",S121&lt;=300),VLOOKUP(AF121,[1]TPCalibEq300!$AZ$2:$BB$76,3,),IF(AND(I121="TDP",S121&lt;=300),VLOOKUP(AF121,[1]TPCalibEq300!$AZ$2:$BB$76,3,)))</f>
        <v>0</v>
      </c>
      <c r="AS121" s="2" t="b">
        <f>IF(AND(I121="TP",S121&lt;=500),VLOOKUP(AF121,[1]TPCalibEq500!$AZ$2:$BB$88,3,),IF(AND(I121="TDP",S121&lt;=500),VLOOKUP(AF121,[1]TPCalibEq500!$AZ$2:$BB$88,3,)))</f>
        <v>0</v>
      </c>
      <c r="AT121" s="2" t="str">
        <f>IF(AND(I121="TN",S121&lt;=2800),VLOOKUP(AF121,[1]TNCalibEq2500!$AZ$2:$BB$80,3,),IF(AND(I121="TDN",S121&lt;=2800),VLOOKUP(AF121,[1]TNCalibEq2500!$AZ$2:$BB$80,3,)))</f>
        <v>y=-1.2417x2+180.63x-137.56</v>
      </c>
      <c r="AU121" s="2" t="str">
        <f>IF(I121="TP",VLOOKUP(AF121,[1]TPCalibEqFull!$AZ$2:$BB$164,3),IF(I121="TDP",VLOOKUP(AF121,[1]TPCalibEqFull!$AZ$2:$BB$164,3),IF(I121="TDN",VLOOKUP(AF121,[1]TNCalibEqFull!$AZ$2:$BB$116,3),IF(I121="TN",VLOOKUP(AF121,[1]TNCalibEqFull!$AZ$2:$BB$118,3),FALSE))))</f>
        <v>y=0.822x2+151.75x-95.73</v>
      </c>
      <c r="AV121" s="2" t="str">
        <f t="shared" si="11"/>
        <v>0724 09:00:00-QAC-STD-D.D-1-DI-CAL</v>
      </c>
      <c r="AW121" s="2"/>
      <c r="AX121" s="2"/>
      <c r="AY121" s="2"/>
    </row>
    <row r="122" spans="1:51" x14ac:dyDescent="0.35">
      <c r="A122" s="45">
        <v>45497</v>
      </c>
      <c r="B122" s="46">
        <v>0.375</v>
      </c>
      <c r="C122" s="2" t="s">
        <v>88</v>
      </c>
      <c r="D122" s="2" t="s">
        <v>89</v>
      </c>
      <c r="E122" s="2" t="s">
        <v>186</v>
      </c>
      <c r="F122" s="2">
        <v>1</v>
      </c>
      <c r="G122" s="2" t="s">
        <v>91</v>
      </c>
      <c r="H122" s="2" t="s">
        <v>92</v>
      </c>
      <c r="I122" s="2" t="s">
        <v>175</v>
      </c>
      <c r="J122" s="2">
        <v>186</v>
      </c>
      <c r="K122" s="47">
        <v>45499</v>
      </c>
      <c r="L122" s="46">
        <v>0.43354166666666666</v>
      </c>
      <c r="M122" s="2">
        <v>1</v>
      </c>
      <c r="N122" s="2" t="s">
        <v>176</v>
      </c>
      <c r="O122" s="2">
        <v>16.5</v>
      </c>
      <c r="P122" s="2">
        <v>0.84199999999999997</v>
      </c>
      <c r="Q122" s="2">
        <v>2500</v>
      </c>
      <c r="R122" s="2" t="s">
        <v>177</v>
      </c>
      <c r="S122" s="48">
        <f t="shared" si="10"/>
        <v>2500</v>
      </c>
      <c r="T122" s="2" t="s">
        <v>187</v>
      </c>
      <c r="U122" s="48" t="s">
        <v>97</v>
      </c>
      <c r="V122" s="44" t="s">
        <v>97</v>
      </c>
      <c r="W122" s="44" t="s">
        <v>98</v>
      </c>
      <c r="X122" s="44" t="s">
        <v>97</v>
      </c>
      <c r="Y122" s="2" t="s">
        <v>178</v>
      </c>
      <c r="Z122" s="2"/>
      <c r="AA122" s="2"/>
      <c r="AB122" s="2"/>
      <c r="AC122" s="2"/>
      <c r="AD122" s="2"/>
      <c r="AE122" s="2"/>
      <c r="AF122" s="47">
        <v>45499</v>
      </c>
      <c r="AG122" s="2"/>
      <c r="AH122" s="2"/>
      <c r="AI122" s="2"/>
      <c r="AJ122" s="2">
        <f>-1.2417*16.5^2+180.63*16.5-137.56</f>
        <v>2504.7821749999998</v>
      </c>
      <c r="AK122" s="2">
        <f>0.822*16.5^2+151.75*16.5-95.73</f>
        <v>2631.9344999999998</v>
      </c>
      <c r="AL122" s="2" t="str">
        <f t="shared" si="16"/>
        <v>FALSE</v>
      </c>
      <c r="AM122" s="2" t="str">
        <f t="shared" si="16"/>
        <v>FALSE</v>
      </c>
      <c r="AN122" s="2" t="str">
        <f t="shared" si="16"/>
        <v>FALSE</v>
      </c>
      <c r="AO122" s="2" t="str">
        <f t="shared" si="17"/>
        <v>y=-1.2417*16.5^2+180.63*16.5-137.56</v>
      </c>
      <c r="AP122" s="2" t="str">
        <f t="shared" si="17"/>
        <v>y=0.822*16.5^2+151.75*16.5-95.73</v>
      </c>
      <c r="AQ122" s="2" t="b">
        <f>IF(AND(I122="TP",S122&lt;=150),VLOOKUP(AF122,[1]TPCalibEq150!$AZ$2:$BB$74,3,),IF(AND(I122="TDP",S122&lt;=150),VLOOKUP(AF122,[1]TPCalibEq150!$AZ$2:$BB$74,3,)))</f>
        <v>0</v>
      </c>
      <c r="AR122" s="2" t="b">
        <f>IF(AND(I122="TP",S122&lt;=300),VLOOKUP(AF122,[1]TPCalibEq300!$AZ$2:$BB$76,3,),IF(AND(I122="TDP",S122&lt;=300),VLOOKUP(AF122,[1]TPCalibEq300!$AZ$2:$BB$76,3,)))</f>
        <v>0</v>
      </c>
      <c r="AS122" s="2" t="b">
        <f>IF(AND(I122="TP",S122&lt;=500),VLOOKUP(AF122,[1]TPCalibEq500!$AZ$2:$BB$88,3,),IF(AND(I122="TDP",S122&lt;=500),VLOOKUP(AF122,[1]TPCalibEq500!$AZ$2:$BB$88,3,)))</f>
        <v>0</v>
      </c>
      <c r="AT122" s="2" t="str">
        <f>IF(AND(I122="TN",S122&lt;=2800),VLOOKUP(AF122,[1]TNCalibEq2500!$AZ$2:$BB$80,3,),IF(AND(I122="TDN",S122&lt;=2800),VLOOKUP(AF122,[1]TNCalibEq2500!$AZ$2:$BB$80,3,)))</f>
        <v>y=-1.2417x2+180.63x-137.56</v>
      </c>
      <c r="AU122" s="2" t="str">
        <f>IF(I122="TP",VLOOKUP(AF122,[1]TPCalibEqFull!$AZ$2:$BB$164,3),IF(I122="TDP",VLOOKUP(AF122,[1]TPCalibEqFull!$AZ$2:$BB$164,3),IF(I122="TDN",VLOOKUP(AF122,[1]TNCalibEqFull!$AZ$2:$BB$116,3),IF(I122="TN",VLOOKUP(AF122,[1]TNCalibEqFull!$AZ$2:$BB$118,3),FALSE))))</f>
        <v>y=0.822x2+151.75x-95.73</v>
      </c>
      <c r="AV122" s="2" t="str">
        <f t="shared" si="11"/>
        <v>0724 09:00:00-QAC-STD-D.C-1-DI-CAL</v>
      </c>
      <c r="AW122" s="2"/>
      <c r="AX122" s="2"/>
      <c r="AY122" s="2"/>
    </row>
    <row r="123" spans="1:51" x14ac:dyDescent="0.35">
      <c r="A123" s="45">
        <v>45497</v>
      </c>
      <c r="B123" s="46">
        <v>0.375</v>
      </c>
      <c r="C123" s="2" t="s">
        <v>88</v>
      </c>
      <c r="D123" s="2" t="s">
        <v>89</v>
      </c>
      <c r="E123" s="2" t="s">
        <v>188</v>
      </c>
      <c r="F123" s="2">
        <v>1</v>
      </c>
      <c r="G123" s="2" t="s">
        <v>91</v>
      </c>
      <c r="H123" s="2" t="s">
        <v>92</v>
      </c>
      <c r="I123" s="2" t="s">
        <v>175</v>
      </c>
      <c r="J123" s="2">
        <v>187</v>
      </c>
      <c r="K123" s="47">
        <v>45499</v>
      </c>
      <c r="L123" s="46">
        <v>0.43421296296296297</v>
      </c>
      <c r="M123" s="2">
        <v>1</v>
      </c>
      <c r="N123" s="2" t="s">
        <v>176</v>
      </c>
      <c r="O123" s="2">
        <v>22.1</v>
      </c>
      <c r="P123" s="2">
        <v>1.1299999999999999</v>
      </c>
      <c r="Q123" s="2">
        <v>3750</v>
      </c>
      <c r="R123" s="2" t="s">
        <v>177</v>
      </c>
      <c r="S123" s="48">
        <f t="shared" si="10"/>
        <v>3750</v>
      </c>
      <c r="T123" s="2" t="s">
        <v>189</v>
      </c>
      <c r="U123" s="48" t="s">
        <v>97</v>
      </c>
      <c r="V123" s="44" t="s">
        <v>97</v>
      </c>
      <c r="W123" s="44" t="s">
        <v>98</v>
      </c>
      <c r="X123" s="44" t="s">
        <v>97</v>
      </c>
      <c r="Y123" s="2" t="s">
        <v>178</v>
      </c>
      <c r="Z123" s="2"/>
      <c r="AA123" s="2"/>
      <c r="AB123" s="2"/>
      <c r="AC123" s="2"/>
      <c r="AD123" s="2"/>
      <c r="AE123" s="2"/>
      <c r="AF123" s="47">
        <v>45499</v>
      </c>
      <c r="AG123" s="2"/>
      <c r="AH123" s="2"/>
      <c r="AI123" s="2"/>
      <c r="AJ123" s="2"/>
      <c r="AK123" s="2">
        <f>0.822*22.1^2+151.75*22.1-95.73</f>
        <v>3659.4180200000001</v>
      </c>
      <c r="AL123" s="2" t="str">
        <f t="shared" si="16"/>
        <v>FALSE</v>
      </c>
      <c r="AM123" s="2" t="str">
        <f t="shared" si="16"/>
        <v>FALSE</v>
      </c>
      <c r="AN123" s="2" t="str">
        <f t="shared" si="16"/>
        <v>FALSE</v>
      </c>
      <c r="AO123" s="2" t="str">
        <f t="shared" si="17"/>
        <v>FALSE</v>
      </c>
      <c r="AP123" s="2" t="str">
        <f t="shared" si="17"/>
        <v>y=0.822*22.1^2+151.75*22.1-95.73</v>
      </c>
      <c r="AQ123" s="2" t="b">
        <f>IF(AND(I123="TP",S123&lt;=150),VLOOKUP(AF123,[1]TPCalibEq150!$AZ$2:$BB$74,3,),IF(AND(I123="TDP",S123&lt;=150),VLOOKUP(AF123,[1]TPCalibEq150!$AZ$2:$BB$74,3,)))</f>
        <v>0</v>
      </c>
      <c r="AR123" s="2" t="b">
        <f>IF(AND(I123="TP",S123&lt;=300),VLOOKUP(AF123,[1]TPCalibEq300!$AZ$2:$BB$76,3,),IF(AND(I123="TDP",S123&lt;=300),VLOOKUP(AF123,[1]TPCalibEq300!$AZ$2:$BB$76,3,)))</f>
        <v>0</v>
      </c>
      <c r="AS123" s="2" t="b">
        <f>IF(AND(I123="TP",S123&lt;=500),VLOOKUP(AF123,[1]TPCalibEq500!$AZ$2:$BB$88,3,),IF(AND(I123="TDP",S123&lt;=500),VLOOKUP(AF123,[1]TPCalibEq500!$AZ$2:$BB$88,3,)))</f>
        <v>0</v>
      </c>
      <c r="AT123" s="2" t="b">
        <f>IF(AND(I123="TN",S123&lt;=2800),VLOOKUP(AF123,[1]TNCalibEq2500!$AZ$2:$BB$80,3,),IF(AND(I123="TDN",S123&lt;=2800),VLOOKUP(AF123,[1]TNCalibEq2500!$AZ$2:$BB$80,3,)))</f>
        <v>0</v>
      </c>
      <c r="AU123" s="2" t="str">
        <f>IF(I123="TP",VLOOKUP(AF123,[1]TPCalibEqFull!$AZ$2:$BB$164,3),IF(I123="TDP",VLOOKUP(AF123,[1]TPCalibEqFull!$AZ$2:$BB$164,3),IF(I123="TDN",VLOOKUP(AF123,[1]TNCalibEqFull!$AZ$2:$BB$116,3),IF(I123="TN",VLOOKUP(AF123,[1]TNCalibEqFull!$AZ$2:$BB$118,3),FALSE))))</f>
        <v>y=0.822x2+151.75x-95.73</v>
      </c>
      <c r="AV123" s="2" t="str">
        <f t="shared" si="11"/>
        <v>0724 09:00:00-QAC-STD-D.B-1-DI-CAL</v>
      </c>
      <c r="AW123" s="2"/>
      <c r="AX123" s="2"/>
      <c r="AY123" s="2"/>
    </row>
    <row r="124" spans="1:51" x14ac:dyDescent="0.35">
      <c r="A124" s="45">
        <v>45497</v>
      </c>
      <c r="B124" s="46">
        <v>0.375</v>
      </c>
      <c r="C124" s="2" t="s">
        <v>88</v>
      </c>
      <c r="D124" s="2" t="s">
        <v>89</v>
      </c>
      <c r="E124" s="2" t="s">
        <v>190</v>
      </c>
      <c r="F124" s="2">
        <v>1</v>
      </c>
      <c r="G124" s="2" t="s">
        <v>91</v>
      </c>
      <c r="H124" s="2" t="s">
        <v>92</v>
      </c>
      <c r="I124" s="2" t="s">
        <v>175</v>
      </c>
      <c r="J124" s="2">
        <v>188</v>
      </c>
      <c r="K124" s="47">
        <v>45499</v>
      </c>
      <c r="L124" s="46">
        <v>0.43490740740740735</v>
      </c>
      <c r="M124" s="2">
        <v>1</v>
      </c>
      <c r="N124" s="2" t="s">
        <v>176</v>
      </c>
      <c r="O124" s="2">
        <v>29.1</v>
      </c>
      <c r="P124" s="2">
        <v>1.48</v>
      </c>
      <c r="Q124" s="2">
        <v>5000</v>
      </c>
      <c r="R124" s="2" t="s">
        <v>177</v>
      </c>
      <c r="S124" s="48">
        <f t="shared" si="10"/>
        <v>5000</v>
      </c>
      <c r="T124" s="2" t="s">
        <v>191</v>
      </c>
      <c r="U124" s="48" t="s">
        <v>97</v>
      </c>
      <c r="V124" s="44" t="s">
        <v>97</v>
      </c>
      <c r="W124" s="44" t="s">
        <v>98</v>
      </c>
      <c r="X124" s="44" t="s">
        <v>97</v>
      </c>
      <c r="Y124" s="2" t="s">
        <v>178</v>
      </c>
      <c r="Z124" s="2"/>
      <c r="AA124" s="2"/>
      <c r="AB124" s="2"/>
      <c r="AC124" s="2"/>
      <c r="AD124" s="2"/>
      <c r="AE124" s="2"/>
      <c r="AF124" s="47">
        <v>45499</v>
      </c>
      <c r="AG124" s="2"/>
      <c r="AH124" s="2"/>
      <c r="AI124" s="2"/>
      <c r="AJ124" s="2"/>
      <c r="AK124" s="2">
        <f>0.822*29.1^2+151.75*29.1-95.73</f>
        <v>5016.2728200000001</v>
      </c>
      <c r="AL124" s="2" t="str">
        <f t="shared" si="16"/>
        <v>FALSE</v>
      </c>
      <c r="AM124" s="2" t="str">
        <f t="shared" si="16"/>
        <v>FALSE</v>
      </c>
      <c r="AN124" s="2" t="str">
        <f t="shared" si="16"/>
        <v>FALSE</v>
      </c>
      <c r="AO124" s="2" t="str">
        <f t="shared" si="17"/>
        <v>FALSE</v>
      </c>
      <c r="AP124" s="2" t="str">
        <f t="shared" si="17"/>
        <v>y=0.822*29.1^2+151.75*29.1-95.73</v>
      </c>
      <c r="AQ124" s="2" t="b">
        <f>IF(AND(I124="TP",S124&lt;=150),VLOOKUP(AF124,[1]TPCalibEq150!$AZ$2:$BB$74,3,),IF(AND(I124="TDP",S124&lt;=150),VLOOKUP(AF124,[1]TPCalibEq150!$AZ$2:$BB$74,3,)))</f>
        <v>0</v>
      </c>
      <c r="AR124" s="2" t="b">
        <f>IF(AND(I124="TP",S124&lt;=300),VLOOKUP(AF124,[1]TPCalibEq300!$AZ$2:$BB$76,3,),IF(AND(I124="TDP",S124&lt;=300),VLOOKUP(AF124,[1]TPCalibEq300!$AZ$2:$BB$76,3,)))</f>
        <v>0</v>
      </c>
      <c r="AS124" s="2" t="b">
        <f>IF(AND(I124="TP",S124&lt;=500),VLOOKUP(AF124,[1]TPCalibEq500!$AZ$2:$BB$88,3,),IF(AND(I124="TDP",S124&lt;=500),VLOOKUP(AF124,[1]TPCalibEq500!$AZ$2:$BB$88,3,)))</f>
        <v>0</v>
      </c>
      <c r="AT124" s="2" t="b">
        <f>IF(AND(I124="TN",S124&lt;=2800),VLOOKUP(AF124,[1]TNCalibEq2500!$AZ$2:$BB$80,3,),IF(AND(I124="TDN",S124&lt;=2800),VLOOKUP(AF124,[1]TNCalibEq2500!$AZ$2:$BB$80,3,)))</f>
        <v>0</v>
      </c>
      <c r="AU124" s="2" t="str">
        <f>IF(I124="TP",VLOOKUP(AF124,[1]TPCalibEqFull!$AZ$2:$BB$164,3),IF(I124="TDP",VLOOKUP(AF124,[1]TPCalibEqFull!$AZ$2:$BB$164,3),IF(I124="TDN",VLOOKUP(AF124,[1]TNCalibEqFull!$AZ$2:$BB$116,3),IF(I124="TN",VLOOKUP(AF124,[1]TNCalibEqFull!$AZ$2:$BB$118,3),FALSE))))</f>
        <v>y=0.822x2+151.75x-95.73</v>
      </c>
      <c r="AV124" s="2" t="str">
        <f t="shared" si="11"/>
        <v>0724 09:00:00-QAC-STD-D.A-1-DI-CAL</v>
      </c>
      <c r="AW124" s="2"/>
      <c r="AX124" s="2"/>
      <c r="AY124" s="2"/>
    </row>
    <row r="125" spans="1:51" x14ac:dyDescent="0.35">
      <c r="A125" s="45">
        <v>45497</v>
      </c>
      <c r="B125" s="46">
        <v>0.375</v>
      </c>
      <c r="C125" s="2" t="s">
        <v>88</v>
      </c>
      <c r="D125" s="2" t="s">
        <v>114</v>
      </c>
      <c r="E125" s="2" t="s">
        <v>112</v>
      </c>
      <c r="F125" s="2">
        <v>1</v>
      </c>
      <c r="G125" s="2" t="s">
        <v>91</v>
      </c>
      <c r="H125" s="2" t="s">
        <v>115</v>
      </c>
      <c r="I125" s="2" t="s">
        <v>175</v>
      </c>
      <c r="J125" s="2">
        <v>198</v>
      </c>
      <c r="K125" s="47">
        <v>45499</v>
      </c>
      <c r="L125" s="46">
        <v>0.43626157407407407</v>
      </c>
      <c r="M125" s="2">
        <v>1</v>
      </c>
      <c r="N125" s="2" t="s">
        <v>176</v>
      </c>
      <c r="O125" s="2">
        <v>0.54200000000000004</v>
      </c>
      <c r="P125" s="2">
        <v>2.7099999999999999E-2</v>
      </c>
      <c r="Q125" s="2">
        <v>-12.8</v>
      </c>
      <c r="R125" s="2" t="s">
        <v>177</v>
      </c>
      <c r="S125" s="48">
        <f t="shared" si="10"/>
        <v>-12.8</v>
      </c>
      <c r="T125" s="2" t="s">
        <v>191</v>
      </c>
      <c r="U125" s="48">
        <v>-12.8</v>
      </c>
      <c r="V125" s="44" t="s">
        <v>97</v>
      </c>
      <c r="W125" s="44" t="s">
        <v>98</v>
      </c>
      <c r="X125" s="44" t="s">
        <v>116</v>
      </c>
      <c r="Y125" s="2" t="s">
        <v>178</v>
      </c>
      <c r="Z125" s="2"/>
      <c r="AA125" s="2"/>
      <c r="AB125" s="2"/>
      <c r="AC125" s="2"/>
      <c r="AD125" s="2"/>
      <c r="AE125" s="2"/>
      <c r="AF125" s="47">
        <v>45499</v>
      </c>
      <c r="AG125" s="2"/>
      <c r="AH125" s="2"/>
      <c r="AI125" s="2"/>
      <c r="AJ125" s="2">
        <f>-1.2417*0.542^2+180.63*0.542-137.56</f>
        <v>-40.023306758800004</v>
      </c>
      <c r="AK125" s="2">
        <f>0.822*0.542^2+151.75*0.542-95.73</f>
        <v>-13.240025992</v>
      </c>
      <c r="AL125" s="2" t="str">
        <f t="shared" si="16"/>
        <v>FALSE</v>
      </c>
      <c r="AM125" s="2" t="str">
        <f t="shared" si="16"/>
        <v>FALSE</v>
      </c>
      <c r="AN125" s="2" t="str">
        <f t="shared" si="16"/>
        <v>FALSE</v>
      </c>
      <c r="AO125" s="2" t="str">
        <f t="shared" si="17"/>
        <v>y=-1.2417*0.542^2+180.63*0.542-137.56</v>
      </c>
      <c r="AP125" s="2" t="str">
        <f t="shared" si="17"/>
        <v>y=0.822*0.542^2+151.75*0.542-95.73</v>
      </c>
      <c r="AQ125" s="2" t="b">
        <f>IF(AND(I125="TP",S125&lt;=150),VLOOKUP(AF125,[1]TPCalibEq150!$AZ$2:$BB$74,3,),IF(AND(I125="TDP",S125&lt;=150),VLOOKUP(AF125,[1]TPCalibEq150!$AZ$2:$BB$74,3,)))</f>
        <v>0</v>
      </c>
      <c r="AR125" s="2" t="b">
        <f>IF(AND(I125="TP",S125&lt;=300),VLOOKUP(AF125,[1]TPCalibEq300!$AZ$2:$BB$76,3,),IF(AND(I125="TDP",S125&lt;=300),VLOOKUP(AF125,[1]TPCalibEq300!$AZ$2:$BB$76,3,)))</f>
        <v>0</v>
      </c>
      <c r="AS125" s="2" t="b">
        <f>IF(AND(I125="TP",S125&lt;=500),VLOOKUP(AF125,[1]TPCalibEq500!$AZ$2:$BB$88,3,),IF(AND(I125="TDP",S125&lt;=500),VLOOKUP(AF125,[1]TPCalibEq500!$AZ$2:$BB$88,3,)))</f>
        <v>0</v>
      </c>
      <c r="AT125" s="2" t="str">
        <f>IF(AND(I125="TN",S125&lt;=2800),VLOOKUP(AF125,[1]TNCalibEq2500!$AZ$2:$BB$80,3,),IF(AND(I125="TDN",S125&lt;=2800),VLOOKUP(AF125,[1]TNCalibEq2500!$AZ$2:$BB$80,3,)))</f>
        <v>y=-1.2417x2+180.63x-137.56</v>
      </c>
      <c r="AU125" s="2" t="str">
        <f>IF(I125="TP",VLOOKUP(AF125,[1]TPCalibEqFull!$AZ$2:$BB$164,3),IF(I125="TDP",VLOOKUP(AF125,[1]TPCalibEqFull!$AZ$2:$BB$164,3),IF(I125="TDN",VLOOKUP(AF125,[1]TNCalibEqFull!$AZ$2:$BB$116,3),IF(I125="TN",VLOOKUP(AF125,[1]TNCalibEqFull!$AZ$2:$BB$118,3),FALSE))))</f>
        <v>y=0.822x2+151.75x-95.73</v>
      </c>
      <c r="AV125" s="2" t="str">
        <f t="shared" si="11"/>
        <v>0724 09:00:00-QAC-BLK-A-1-DI-LAB</v>
      </c>
      <c r="AW125" s="2"/>
      <c r="AX125" s="2"/>
      <c r="AY125" s="2"/>
    </row>
    <row r="126" spans="1:51" x14ac:dyDescent="0.35">
      <c r="A126" s="45">
        <v>45497</v>
      </c>
      <c r="B126" s="46">
        <v>0.375</v>
      </c>
      <c r="C126" s="2" t="s">
        <v>88</v>
      </c>
      <c r="D126" s="2" t="s">
        <v>114</v>
      </c>
      <c r="E126" s="2" t="s">
        <v>112</v>
      </c>
      <c r="F126" s="2">
        <v>1</v>
      </c>
      <c r="G126" s="2" t="s">
        <v>91</v>
      </c>
      <c r="H126" s="2" t="s">
        <v>117</v>
      </c>
      <c r="I126" s="2" t="s">
        <v>175</v>
      </c>
      <c r="J126" s="2">
        <v>225</v>
      </c>
      <c r="K126" s="47">
        <v>45499</v>
      </c>
      <c r="L126" s="46">
        <v>0.43693287037037037</v>
      </c>
      <c r="M126" s="2">
        <v>1</v>
      </c>
      <c r="N126" s="2" t="s">
        <v>176</v>
      </c>
      <c r="O126" s="2">
        <v>15.7</v>
      </c>
      <c r="P126" s="2">
        <v>0.79800000000000004</v>
      </c>
      <c r="Q126" s="2">
        <v>2480</v>
      </c>
      <c r="R126" s="2" t="s">
        <v>177</v>
      </c>
      <c r="S126" s="48">
        <f t="shared" si="10"/>
        <v>2489.3597799999998</v>
      </c>
      <c r="T126" s="2" t="s">
        <v>191</v>
      </c>
      <c r="U126" s="48">
        <v>100.08639120000001</v>
      </c>
      <c r="V126" s="44">
        <v>2500</v>
      </c>
      <c r="W126" s="44" t="s">
        <v>98</v>
      </c>
      <c r="X126" s="44" t="s">
        <v>118</v>
      </c>
      <c r="Y126" s="2" t="s">
        <v>178</v>
      </c>
      <c r="Z126" s="2"/>
      <c r="AA126" s="2"/>
      <c r="AB126" s="2"/>
      <c r="AC126" s="2"/>
      <c r="AD126" s="2"/>
      <c r="AE126" s="2"/>
      <c r="AF126" s="47">
        <v>45499</v>
      </c>
      <c r="AG126" s="2"/>
      <c r="AH126" s="2"/>
      <c r="AI126" s="2"/>
      <c r="AJ126" s="2">
        <f>-1.2417*15.7^2+180.63*15.7-137.56</f>
        <v>2392.2643669999998</v>
      </c>
      <c r="AK126" s="2">
        <f>0.822*15.7^2+151.75*15.7-95.73</f>
        <v>2489.3597799999998</v>
      </c>
      <c r="AL126" s="2" t="str">
        <f t="shared" si="16"/>
        <v>FALSE</v>
      </c>
      <c r="AM126" s="2" t="str">
        <f t="shared" si="16"/>
        <v>FALSE</v>
      </c>
      <c r="AN126" s="2" t="str">
        <f t="shared" si="16"/>
        <v>FALSE</v>
      </c>
      <c r="AO126" s="2" t="str">
        <f t="shared" si="17"/>
        <v>y=-1.2417*15.7^2+180.63*15.7-137.56</v>
      </c>
      <c r="AP126" s="2" t="str">
        <f t="shared" si="17"/>
        <v>y=0.822*15.7^2+151.75*15.7-95.73</v>
      </c>
      <c r="AQ126" s="2" t="b">
        <f>IF(AND(I126="TP",S126&lt;=150),VLOOKUP(AF126,[1]TPCalibEq150!$AZ$2:$BB$74,3,),IF(AND(I126="TDP",S126&lt;=150),VLOOKUP(AF126,[1]TPCalibEq150!$AZ$2:$BB$74,3,)))</f>
        <v>0</v>
      </c>
      <c r="AR126" s="2" t="b">
        <f>IF(AND(I126="TP",S126&lt;=300),VLOOKUP(AF126,[1]TPCalibEq300!$AZ$2:$BB$76,3,),IF(AND(I126="TDP",S126&lt;=300),VLOOKUP(AF126,[1]TPCalibEq300!$AZ$2:$BB$76,3,)))</f>
        <v>0</v>
      </c>
      <c r="AS126" s="2" t="b">
        <f>IF(AND(I126="TP",S126&lt;=500),VLOOKUP(AF126,[1]TPCalibEq500!$AZ$2:$BB$88,3,),IF(AND(I126="TDP",S126&lt;=500),VLOOKUP(AF126,[1]TPCalibEq500!$AZ$2:$BB$88,3,)))</f>
        <v>0</v>
      </c>
      <c r="AT126" s="2" t="str">
        <f>IF(AND(I126="TN",S126&lt;=2800),VLOOKUP(AF126,[1]TNCalibEq2500!$AZ$2:$BB$80,3,),IF(AND(I126="TDN",S126&lt;=2800),VLOOKUP(AF126,[1]TNCalibEq2500!$AZ$2:$BB$80,3,)))</f>
        <v>y=-1.2417x2+180.63x-137.56</v>
      </c>
      <c r="AU126" s="2" t="str">
        <f>IF(I126="TP",VLOOKUP(AF126,[1]TPCalibEqFull!$AZ$2:$BB$164,3),IF(I126="TDP",VLOOKUP(AF126,[1]TPCalibEqFull!$AZ$2:$BB$164,3),IF(I126="TDN",VLOOKUP(AF126,[1]TNCalibEqFull!$AZ$2:$BB$116,3),IF(I126="TN",VLOOKUP(AF126,[1]TNCalibEqFull!$AZ$2:$BB$118,3),FALSE))))</f>
        <v>y=0.822x2+151.75x-95.73</v>
      </c>
      <c r="AV126" s="2" t="str">
        <f t="shared" si="11"/>
        <v>0724 09:00:00-QAC-BLK-A-1-DI-SPK</v>
      </c>
      <c r="AW126" s="2"/>
      <c r="AX126" s="2"/>
      <c r="AY126" s="2"/>
    </row>
    <row r="127" spans="1:51" x14ac:dyDescent="0.35">
      <c r="A127" s="45">
        <v>45497</v>
      </c>
      <c r="B127" s="46">
        <v>0.375</v>
      </c>
      <c r="C127" s="2" t="s">
        <v>88</v>
      </c>
      <c r="D127" s="2" t="s">
        <v>89</v>
      </c>
      <c r="E127" s="2" t="s">
        <v>159</v>
      </c>
      <c r="F127" s="2">
        <v>1</v>
      </c>
      <c r="G127" s="2" t="s">
        <v>91</v>
      </c>
      <c r="H127" s="2" t="s">
        <v>120</v>
      </c>
      <c r="I127" s="2" t="s">
        <v>175</v>
      </c>
      <c r="J127" s="2">
        <v>197</v>
      </c>
      <c r="K127" s="47">
        <v>45499</v>
      </c>
      <c r="L127" s="46">
        <v>0.43761574074074078</v>
      </c>
      <c r="M127" s="2">
        <v>1</v>
      </c>
      <c r="N127" s="2" t="s">
        <v>176</v>
      </c>
      <c r="O127" s="2">
        <v>4.97</v>
      </c>
      <c r="P127" s="2">
        <v>0.254</v>
      </c>
      <c r="Q127" s="2">
        <v>678</v>
      </c>
      <c r="R127" s="2" t="s">
        <v>177</v>
      </c>
      <c r="S127" s="48">
        <f t="shared" si="10"/>
        <v>729.49999247000005</v>
      </c>
      <c r="T127" s="2" t="s">
        <v>191</v>
      </c>
      <c r="U127" s="48">
        <v>97.657294842034815</v>
      </c>
      <c r="V127" s="44">
        <v>747</v>
      </c>
      <c r="W127" s="44" t="s">
        <v>98</v>
      </c>
      <c r="X127" s="44" t="s">
        <v>121</v>
      </c>
      <c r="Y127" s="2" t="s">
        <v>178</v>
      </c>
      <c r="Z127" s="2"/>
      <c r="AA127" s="2"/>
      <c r="AB127" s="2"/>
      <c r="AC127" s="2"/>
      <c r="AD127" s="2"/>
      <c r="AE127" s="2"/>
      <c r="AF127" s="47">
        <v>45499</v>
      </c>
      <c r="AG127" s="2"/>
      <c r="AH127" s="2"/>
      <c r="AI127" s="2"/>
      <c r="AJ127" s="2">
        <f>-1.2417*4.97^2+180.63*4.97-137.56</f>
        <v>729.49999247000005</v>
      </c>
      <c r="AK127" s="2">
        <f>0.822*4.97^2+151.75*4.97-95.73</f>
        <v>678.7716398</v>
      </c>
      <c r="AL127" s="2" t="str">
        <f t="shared" si="16"/>
        <v>FALSE</v>
      </c>
      <c r="AM127" s="2" t="str">
        <f t="shared" si="16"/>
        <v>FALSE</v>
      </c>
      <c r="AN127" s="2" t="str">
        <f t="shared" si="16"/>
        <v>FALSE</v>
      </c>
      <c r="AO127" s="2" t="str">
        <f t="shared" si="17"/>
        <v>y=-1.2417*4.97^2+180.63*4.97-137.56</v>
      </c>
      <c r="AP127" s="2" t="str">
        <f t="shared" si="17"/>
        <v>y=0.822*4.97^2+151.75*4.97-95.73</v>
      </c>
      <c r="AQ127" s="2" t="b">
        <f>IF(AND(I127="TP",S127&lt;=150),VLOOKUP(AF127,[1]TPCalibEq150!$AZ$2:$BB$74,3,),IF(AND(I127="TDP",S127&lt;=150),VLOOKUP(AF127,[1]TPCalibEq150!$AZ$2:$BB$74,3,)))</f>
        <v>0</v>
      </c>
      <c r="AR127" s="2" t="b">
        <f>IF(AND(I127="TP",S127&lt;=300),VLOOKUP(AF127,[1]TPCalibEq300!$AZ$2:$BB$76,3,),IF(AND(I127="TDP",S127&lt;=300),VLOOKUP(AF127,[1]TPCalibEq300!$AZ$2:$BB$76,3,)))</f>
        <v>0</v>
      </c>
      <c r="AS127" s="2" t="b">
        <f>IF(AND(I127="TP",S127&lt;=500),VLOOKUP(AF127,[1]TPCalibEq500!$AZ$2:$BB$88,3,),IF(AND(I127="TDP",S127&lt;=500),VLOOKUP(AF127,[1]TPCalibEq500!$AZ$2:$BB$88,3,)))</f>
        <v>0</v>
      </c>
      <c r="AT127" s="2" t="str">
        <f>IF(AND(I127="TN",S127&lt;=2800),VLOOKUP(AF127,[1]TNCalibEq2500!$AZ$2:$BB$80,3,),IF(AND(I127="TDN",S127&lt;=2800),VLOOKUP(AF127,[1]TNCalibEq2500!$AZ$2:$BB$80,3,)))</f>
        <v>y=-1.2417x2+180.63x-137.56</v>
      </c>
      <c r="AU127" s="2" t="str">
        <f>IF(I127="TP",VLOOKUP(AF127,[1]TPCalibEqFull!$AZ$2:$BB$164,3),IF(I127="TDP",VLOOKUP(AF127,[1]TPCalibEqFull!$AZ$2:$BB$164,3),IF(I127="TDN",VLOOKUP(AF127,[1]TNCalibEqFull!$AZ$2:$BB$116,3),IF(I127="TN",VLOOKUP(AF127,[1]TNCalibEqFull!$AZ$2:$BB$118,3),FALSE))))</f>
        <v>y=0.822x2+151.75x-95.73</v>
      </c>
      <c r="AV127" s="2" t="str">
        <f t="shared" si="11"/>
        <v>0724 09:00:00-QAC-STD-24A-1-DI-PER</v>
      </c>
      <c r="AW127" s="2"/>
      <c r="AX127" s="2"/>
      <c r="AY127" s="2"/>
    </row>
    <row r="128" spans="1:51" x14ac:dyDescent="0.35">
      <c r="A128" s="45">
        <v>45497</v>
      </c>
      <c r="B128" s="46">
        <v>0.375</v>
      </c>
      <c r="C128" s="2" t="s">
        <v>88</v>
      </c>
      <c r="D128" s="2" t="s">
        <v>192</v>
      </c>
      <c r="E128" s="2" t="s">
        <v>112</v>
      </c>
      <c r="F128" s="2">
        <v>1</v>
      </c>
      <c r="G128" s="2" t="s">
        <v>91</v>
      </c>
      <c r="H128" s="2" t="s">
        <v>193</v>
      </c>
      <c r="I128" s="2" t="s">
        <v>175</v>
      </c>
      <c r="J128" s="2">
        <v>204</v>
      </c>
      <c r="K128" s="47">
        <v>45499</v>
      </c>
      <c r="L128" s="46">
        <v>0.43829861111111112</v>
      </c>
      <c r="M128" s="2">
        <v>1</v>
      </c>
      <c r="N128" s="2" t="s">
        <v>176</v>
      </c>
      <c r="O128" s="2">
        <v>6.74</v>
      </c>
      <c r="P128" s="2">
        <v>0.34499999999999997</v>
      </c>
      <c r="Q128" s="2">
        <v>964</v>
      </c>
      <c r="R128" s="2" t="s">
        <v>177</v>
      </c>
      <c r="S128" s="48">
        <f t="shared" si="10"/>
        <v>1023.4787490800002</v>
      </c>
      <c r="T128" s="2" t="s">
        <v>191</v>
      </c>
      <c r="U128" s="48">
        <v>102.34787490800001</v>
      </c>
      <c r="V128" s="44">
        <v>1000</v>
      </c>
      <c r="W128" s="44" t="s">
        <v>98</v>
      </c>
      <c r="X128" s="44" t="s">
        <v>194</v>
      </c>
      <c r="Y128" s="2" t="s">
        <v>178</v>
      </c>
      <c r="Z128" s="2"/>
      <c r="AA128" s="2"/>
      <c r="AB128" s="2"/>
      <c r="AC128" s="2"/>
      <c r="AD128" s="2"/>
      <c r="AE128" s="2"/>
      <c r="AF128" s="47">
        <v>45499</v>
      </c>
      <c r="AG128" s="2"/>
      <c r="AH128" s="2"/>
      <c r="AI128" s="2"/>
      <c r="AJ128" s="2">
        <f>-1.2417*6.74^2+180.63*6.74-137.56</f>
        <v>1023.4787490800002</v>
      </c>
      <c r="AK128" s="2">
        <f>0.822*6.74^2+151.75*6.74-95.73</f>
        <v>964.40648720000013</v>
      </c>
      <c r="AL128" s="2" t="str">
        <f t="shared" si="16"/>
        <v>FALSE</v>
      </c>
      <c r="AM128" s="2" t="str">
        <f t="shared" si="16"/>
        <v>FALSE</v>
      </c>
      <c r="AN128" s="2" t="str">
        <f t="shared" si="16"/>
        <v>FALSE</v>
      </c>
      <c r="AO128" s="2" t="str">
        <f t="shared" si="17"/>
        <v>y=-1.2417*6.74^2+180.63*6.74-137.56</v>
      </c>
      <c r="AP128" s="2" t="str">
        <f t="shared" si="17"/>
        <v>y=0.822*6.74^2+151.75*6.74-95.73</v>
      </c>
      <c r="AQ128" s="2" t="b">
        <f>IF(AND(I128="TP",S128&lt;=150),VLOOKUP(AF128,[1]TPCalibEq150!$AZ$2:$BB$74,3,),IF(AND(I128="TDP",S128&lt;=150),VLOOKUP(AF128,[1]TPCalibEq150!$AZ$2:$BB$74,3,)))</f>
        <v>0</v>
      </c>
      <c r="AR128" s="2" t="b">
        <f>IF(AND(I128="TP",S128&lt;=300),VLOOKUP(AF128,[1]TPCalibEq300!$AZ$2:$BB$76,3,),IF(AND(I128="TDP",S128&lt;=300),VLOOKUP(AF128,[1]TPCalibEq300!$AZ$2:$BB$76,3,)))</f>
        <v>0</v>
      </c>
      <c r="AS128" s="2" t="b">
        <f>IF(AND(I128="TP",S128&lt;=500),VLOOKUP(AF128,[1]TPCalibEq500!$AZ$2:$BB$88,3,),IF(AND(I128="TDP",S128&lt;=500),VLOOKUP(AF128,[1]TPCalibEq500!$AZ$2:$BB$88,3,)))</f>
        <v>0</v>
      </c>
      <c r="AT128" s="2" t="str">
        <f>IF(AND(I128="TN",S128&lt;=2800),VLOOKUP(AF128,[1]TNCalibEq2500!$AZ$2:$BB$80,3,),IF(AND(I128="TDN",S128&lt;=2800),VLOOKUP(AF128,[1]TNCalibEq2500!$AZ$2:$BB$80,3,)))</f>
        <v>y=-1.2417x2+180.63x-137.56</v>
      </c>
      <c r="AU128" s="2" t="str">
        <f>IF(I128="TP",VLOOKUP(AF128,[1]TPCalibEqFull!$AZ$2:$BB$164,3),IF(I128="TDP",VLOOKUP(AF128,[1]TPCalibEqFull!$AZ$2:$BB$164,3),IF(I128="TDN",VLOOKUP(AF128,[1]TNCalibEqFull!$AZ$2:$BB$116,3),IF(I128="TN",VLOOKUP(AF128,[1]TNCalibEqFull!$AZ$2:$BB$118,3),FALSE))))</f>
        <v>y=0.822x2+151.75x-95.73</v>
      </c>
      <c r="AV128" s="2" t="str">
        <f t="shared" si="11"/>
        <v>0724 09:00:00-QAC-REC-A-1-DI-GUP</v>
      </c>
      <c r="AW128" s="2"/>
      <c r="AX128" s="2"/>
      <c r="AY128" s="2"/>
    </row>
    <row r="129" spans="1:51" x14ac:dyDescent="0.35">
      <c r="A129" s="45">
        <v>45497</v>
      </c>
      <c r="B129" s="46">
        <v>0.375</v>
      </c>
      <c r="C129" s="2" t="s">
        <v>88</v>
      </c>
      <c r="D129" s="2" t="s">
        <v>192</v>
      </c>
      <c r="E129" s="2" t="s">
        <v>110</v>
      </c>
      <c r="F129" s="2">
        <v>1</v>
      </c>
      <c r="G129" s="2" t="s">
        <v>91</v>
      </c>
      <c r="H129" s="2" t="s">
        <v>193</v>
      </c>
      <c r="I129" s="2" t="s">
        <v>175</v>
      </c>
      <c r="J129" s="2">
        <v>205</v>
      </c>
      <c r="K129" s="47">
        <v>45499</v>
      </c>
      <c r="L129" s="46">
        <v>0.43898148148148147</v>
      </c>
      <c r="M129" s="2">
        <v>1</v>
      </c>
      <c r="N129" s="2" t="s">
        <v>176</v>
      </c>
      <c r="O129" s="2">
        <v>1.61</v>
      </c>
      <c r="P129" s="2">
        <v>8.1699999999999995E-2</v>
      </c>
      <c r="Q129" s="2">
        <v>152</v>
      </c>
      <c r="R129" s="2" t="s">
        <v>177</v>
      </c>
      <c r="S129" s="48">
        <f t="shared" si="10"/>
        <v>152</v>
      </c>
      <c r="T129" s="2" t="s">
        <v>191</v>
      </c>
      <c r="U129" s="48">
        <v>76</v>
      </c>
      <c r="V129" s="44">
        <v>200</v>
      </c>
      <c r="W129" s="44" t="s">
        <v>98</v>
      </c>
      <c r="X129" s="44" t="s">
        <v>194</v>
      </c>
      <c r="Y129" s="2" t="s">
        <v>178</v>
      </c>
      <c r="Z129" s="2"/>
      <c r="AA129" s="2"/>
      <c r="AB129" s="2"/>
      <c r="AC129" s="2"/>
      <c r="AD129" s="2"/>
      <c r="AE129" s="2"/>
      <c r="AF129" s="47">
        <v>45499</v>
      </c>
      <c r="AG129" s="2"/>
      <c r="AH129" s="2"/>
      <c r="AI129" s="2"/>
      <c r="AJ129" s="2">
        <f>-1.2417*1.61^2+180.63*1.61-137.56</f>
        <v>150.03568942999999</v>
      </c>
      <c r="AK129" s="2">
        <f>0.822*1.61^2+151.75*1.61-95.73</f>
        <v>150.7182062</v>
      </c>
      <c r="AL129" s="2" t="str">
        <f t="shared" si="16"/>
        <v>FALSE</v>
      </c>
      <c r="AM129" s="2" t="str">
        <f t="shared" si="16"/>
        <v>FALSE</v>
      </c>
      <c r="AN129" s="2" t="str">
        <f t="shared" si="16"/>
        <v>FALSE</v>
      </c>
      <c r="AO129" s="2" t="str">
        <f t="shared" si="17"/>
        <v>y=-1.2417*1.61^2+180.63*1.61-137.56</v>
      </c>
      <c r="AP129" s="2" t="str">
        <f t="shared" si="17"/>
        <v>y=0.822*1.61^2+151.75*1.61-95.73</v>
      </c>
      <c r="AQ129" s="2" t="b">
        <f>IF(AND(I129="TP",S129&lt;=150),VLOOKUP(AF129,[1]TPCalibEq150!$AZ$2:$BB$74,3,),IF(AND(I129="TDP",S129&lt;=150),VLOOKUP(AF129,[1]TPCalibEq150!$AZ$2:$BB$74,3,)))</f>
        <v>0</v>
      </c>
      <c r="AR129" s="2" t="b">
        <f>IF(AND(I129="TP",S129&lt;=300),VLOOKUP(AF129,[1]TPCalibEq300!$AZ$2:$BB$76,3,),IF(AND(I129="TDP",S129&lt;=300),VLOOKUP(AF129,[1]TPCalibEq300!$AZ$2:$BB$76,3,)))</f>
        <v>0</v>
      </c>
      <c r="AS129" s="2" t="b">
        <f>IF(AND(I129="TP",S129&lt;=500),VLOOKUP(AF129,[1]TPCalibEq500!$AZ$2:$BB$88,3,),IF(AND(I129="TDP",S129&lt;=500),VLOOKUP(AF129,[1]TPCalibEq500!$AZ$2:$BB$88,3,)))</f>
        <v>0</v>
      </c>
      <c r="AT129" s="2" t="str">
        <f>IF(AND(I129="TN",S129&lt;=2800),VLOOKUP(AF129,[1]TNCalibEq2500!$AZ$2:$BB$80,3,),IF(AND(I129="TDN",S129&lt;=2800),VLOOKUP(AF129,[1]TNCalibEq2500!$AZ$2:$BB$80,3,)))</f>
        <v>y=-1.2417x2+180.63x-137.56</v>
      </c>
      <c r="AU129" s="2" t="str">
        <f>IF(I129="TP",VLOOKUP(AF129,[1]TPCalibEqFull!$AZ$2:$BB$164,3),IF(I129="TDP",VLOOKUP(AF129,[1]TPCalibEqFull!$AZ$2:$BB$164,3),IF(I129="TDN",VLOOKUP(AF129,[1]TNCalibEqFull!$AZ$2:$BB$116,3),IF(I129="TN",VLOOKUP(AF129,[1]TNCalibEqFull!$AZ$2:$BB$118,3),FALSE))))</f>
        <v>y=0.822x2+151.75x-95.73</v>
      </c>
      <c r="AV129" s="2" t="str">
        <f t="shared" si="11"/>
        <v>0724 09:00:00-QAC-REC-B-1-DI-GUP</v>
      </c>
      <c r="AW129" s="2"/>
      <c r="AX129" s="2"/>
      <c r="AY129" s="2"/>
    </row>
    <row r="130" spans="1:51" x14ac:dyDescent="0.35">
      <c r="A130" s="45">
        <v>45497</v>
      </c>
      <c r="B130" s="46">
        <v>0.375</v>
      </c>
      <c r="C130" s="2" t="s">
        <v>88</v>
      </c>
      <c r="D130" s="2" t="s">
        <v>192</v>
      </c>
      <c r="E130" s="2" t="s">
        <v>108</v>
      </c>
      <c r="F130" s="2">
        <v>1</v>
      </c>
      <c r="G130" s="2" t="s">
        <v>91</v>
      </c>
      <c r="H130" s="2" t="s">
        <v>193</v>
      </c>
      <c r="I130" s="2" t="s">
        <v>175</v>
      </c>
      <c r="J130" s="2">
        <v>206</v>
      </c>
      <c r="K130" s="47">
        <v>45499</v>
      </c>
      <c r="L130" s="46">
        <v>0.43966435185185188</v>
      </c>
      <c r="M130" s="2">
        <v>1</v>
      </c>
      <c r="N130" s="2" t="s">
        <v>176</v>
      </c>
      <c r="O130" s="2">
        <v>0.96199999999999997</v>
      </c>
      <c r="P130" s="2">
        <v>4.8899999999999999E-2</v>
      </c>
      <c r="Q130" s="2">
        <v>51.4</v>
      </c>
      <c r="R130" s="2" t="s">
        <v>177</v>
      </c>
      <c r="S130" s="48">
        <f t="shared" ref="S130:S193" si="18">IF(OR(AND(I130&lt;&gt;"TP", I130&lt;&gt;"TDP",I130&lt;&gt;"TN", I130&lt;&gt;"TDN"),H130="CAL"), Q130*M130, IF(OR(AND(I130="TN", Q130&gt;2500), AND(I130="TDN", Q130&gt;2500)),MAX(Q130, AK130)*M130, IF(OR(AND(I130="TN", Q130&lt;=2500), AND(I130="TDN", Q130&lt;=2500)),MAX(Q130, AJ130,AK130)*M130, IF(OR(AND(I130="TP",Q130&gt;500), AND(I130="TDP", Q130&gt;500)),MAX(Q130,AK130)*M130,IF(OR(AND(I130="TP",Q130&lt;=150), AND(I130="TDP", Q130&lt;=150)),MAX(Q130,AG130:AI130,AK130)*M130,IF(OR(AND(I130="TP",Q130&lt;=300), AND(I130="TDP", Q130&lt;=300)),MAX(Q130,AH130,AI130,AK130)*M130,IF(OR(AND(I130="TP",Q130&lt;=500), AND(I130="TDP", Q130&lt;=500)),MAX(Q130,AI130,AK130)*M130,"")))))))</f>
        <v>51.4</v>
      </c>
      <c r="T130" s="2" t="s">
        <v>191</v>
      </c>
      <c r="U130" s="48">
        <v>51.4</v>
      </c>
      <c r="V130" s="44">
        <v>100</v>
      </c>
      <c r="W130" s="44" t="s">
        <v>147</v>
      </c>
      <c r="X130" s="44" t="s">
        <v>194</v>
      </c>
      <c r="Y130" s="2" t="s">
        <v>178</v>
      </c>
      <c r="Z130" s="2"/>
      <c r="AA130" s="2"/>
      <c r="AB130" s="2"/>
      <c r="AC130" s="2"/>
      <c r="AD130" s="2"/>
      <c r="AE130" s="2"/>
      <c r="AF130" s="47">
        <v>45499</v>
      </c>
      <c r="AG130" s="2"/>
      <c r="AH130" s="2"/>
      <c r="AI130" s="2"/>
      <c r="AJ130" s="2">
        <f>-1.2417*0.962^2+180.63*0.962-137.56</f>
        <v>35.056936185199987</v>
      </c>
      <c r="AK130" s="2">
        <f>0.822*0.962^2+151.75*0.962-95.73</f>
        <v>51.01421496799999</v>
      </c>
      <c r="AL130" s="2" t="str">
        <f t="shared" si="16"/>
        <v>FALSE</v>
      </c>
      <c r="AM130" s="2" t="str">
        <f t="shared" si="16"/>
        <v>FALSE</v>
      </c>
      <c r="AN130" s="2" t="str">
        <f t="shared" si="16"/>
        <v>FALSE</v>
      </c>
      <c r="AO130" s="2" t="str">
        <f t="shared" si="17"/>
        <v>y=-1.2417*0.962^2+180.63*0.962-137.56</v>
      </c>
      <c r="AP130" s="2" t="str">
        <f t="shared" si="17"/>
        <v>y=0.822*0.962^2+151.75*0.962-95.73</v>
      </c>
      <c r="AQ130" s="2" t="b">
        <f>IF(AND(I130="TP",S130&lt;=150),VLOOKUP(AF130,[1]TPCalibEq150!$AZ$2:$BB$74,3,),IF(AND(I130="TDP",S130&lt;=150),VLOOKUP(AF130,[1]TPCalibEq150!$AZ$2:$BB$74,3,)))</f>
        <v>0</v>
      </c>
      <c r="AR130" s="2" t="b">
        <f>IF(AND(I130="TP",S130&lt;=300),VLOOKUP(AF130,[1]TPCalibEq300!$AZ$2:$BB$76,3,),IF(AND(I130="TDP",S130&lt;=300),VLOOKUP(AF130,[1]TPCalibEq300!$AZ$2:$BB$76,3,)))</f>
        <v>0</v>
      </c>
      <c r="AS130" s="2" t="b">
        <f>IF(AND(I130="TP",S130&lt;=500),VLOOKUP(AF130,[1]TPCalibEq500!$AZ$2:$BB$88,3,),IF(AND(I130="TDP",S130&lt;=500),VLOOKUP(AF130,[1]TPCalibEq500!$AZ$2:$BB$88,3,)))</f>
        <v>0</v>
      </c>
      <c r="AT130" s="2" t="str">
        <f>IF(AND(I130="TN",S130&lt;=2800),VLOOKUP(AF130,[1]TNCalibEq2500!$AZ$2:$BB$80,3,),IF(AND(I130="TDN",S130&lt;=2800),VLOOKUP(AF130,[1]TNCalibEq2500!$AZ$2:$BB$80,3,)))</f>
        <v>y=-1.2417x2+180.63x-137.56</v>
      </c>
      <c r="AU130" s="2" t="str">
        <f>IF(I130="TP",VLOOKUP(AF130,[1]TPCalibEqFull!$AZ$2:$BB$164,3),IF(I130="TDP",VLOOKUP(AF130,[1]TPCalibEqFull!$AZ$2:$BB$164,3),IF(I130="TDN",VLOOKUP(AF130,[1]TNCalibEqFull!$AZ$2:$BB$116,3),IF(I130="TN",VLOOKUP(AF130,[1]TNCalibEqFull!$AZ$2:$BB$118,3),FALSE))))</f>
        <v>y=0.822x2+151.75x-95.73</v>
      </c>
      <c r="AV130" s="2" t="str">
        <f t="shared" ref="AV130:AV164" si="19">TEXT(A130, "MMDD")&amp;" "&amp;TEXT(B130, "HH:MM:SS")&amp;"-"&amp;C130&amp;"-"&amp;D130&amp;"-"&amp;E130&amp;"-"&amp;F130&amp;"-"&amp;G130&amp;"-"&amp;H130</f>
        <v>0724 09:00:00-QAC-REC-C-1-DI-GUP</v>
      </c>
      <c r="AW130" s="2"/>
      <c r="AX130" s="2"/>
      <c r="AY130" s="2"/>
    </row>
    <row r="131" spans="1:51" x14ac:dyDescent="0.35">
      <c r="A131" s="45">
        <v>45497</v>
      </c>
      <c r="B131" s="46">
        <v>0.375</v>
      </c>
      <c r="C131" s="2" t="s">
        <v>88</v>
      </c>
      <c r="D131" s="2" t="s">
        <v>192</v>
      </c>
      <c r="E131" s="2" t="s">
        <v>112</v>
      </c>
      <c r="F131" s="2">
        <v>1</v>
      </c>
      <c r="G131" s="2" t="s">
        <v>91</v>
      </c>
      <c r="H131" s="2" t="s">
        <v>195</v>
      </c>
      <c r="I131" s="2" t="s">
        <v>175</v>
      </c>
      <c r="J131" s="2">
        <v>207</v>
      </c>
      <c r="K131" s="47">
        <v>45499</v>
      </c>
      <c r="L131" s="46">
        <v>0.44033564814814818</v>
      </c>
      <c r="M131" s="2">
        <v>1</v>
      </c>
      <c r="N131" s="2" t="s">
        <v>176</v>
      </c>
      <c r="O131" s="2">
        <v>5.23</v>
      </c>
      <c r="P131" s="2">
        <v>0.26300000000000001</v>
      </c>
      <c r="Q131" s="2">
        <v>720</v>
      </c>
      <c r="R131" s="2" t="s">
        <v>177</v>
      </c>
      <c r="S131" s="48">
        <f t="shared" si="18"/>
        <v>773.17080407000003</v>
      </c>
      <c r="T131" s="2" t="s">
        <v>191</v>
      </c>
      <c r="U131" s="48">
        <v>77.317080407000006</v>
      </c>
      <c r="V131" s="44">
        <v>1000</v>
      </c>
      <c r="W131" s="44" t="s">
        <v>98</v>
      </c>
      <c r="X131" s="44" t="s">
        <v>194</v>
      </c>
      <c r="Y131" s="2" t="s">
        <v>178</v>
      </c>
      <c r="Z131" s="2"/>
      <c r="AA131" s="2"/>
      <c r="AB131" s="2"/>
      <c r="AC131" s="2"/>
      <c r="AD131" s="2"/>
      <c r="AE131" s="2"/>
      <c r="AF131" s="47">
        <v>45499</v>
      </c>
      <c r="AG131" s="2"/>
      <c r="AH131" s="2"/>
      <c r="AI131" s="2"/>
      <c r="AJ131" s="2">
        <f>-1.2417*5.23^2+180.63*5.23-137.56</f>
        <v>773.17080407000003</v>
      </c>
      <c r="AK131" s="2">
        <f>0.822*5.23^2+151.75*5.23-95.73</f>
        <v>720.40658380000002</v>
      </c>
      <c r="AL131" s="2" t="str">
        <f t="shared" si="16"/>
        <v>FALSE</v>
      </c>
      <c r="AM131" s="2" t="str">
        <f t="shared" si="16"/>
        <v>FALSE</v>
      </c>
      <c r="AN131" s="2" t="str">
        <f t="shared" si="16"/>
        <v>FALSE</v>
      </c>
      <c r="AO131" s="2" t="str">
        <f t="shared" si="17"/>
        <v>y=-1.2417*5.23^2+180.63*5.23-137.56</v>
      </c>
      <c r="AP131" s="2" t="str">
        <f t="shared" si="17"/>
        <v>y=0.822*5.23^2+151.75*5.23-95.73</v>
      </c>
      <c r="AQ131" s="2" t="b">
        <f>IF(AND(I131="TP",S131&lt;=150),VLOOKUP(AF131,[1]TPCalibEq150!$AZ$2:$BB$74,3,),IF(AND(I131="TDP",S131&lt;=150),VLOOKUP(AF131,[1]TPCalibEq150!$AZ$2:$BB$74,3,)))</f>
        <v>0</v>
      </c>
      <c r="AR131" s="2" t="b">
        <f>IF(AND(I131="TP",S131&lt;=300),VLOOKUP(AF131,[1]TPCalibEq300!$AZ$2:$BB$76,3,),IF(AND(I131="TDP",S131&lt;=300),VLOOKUP(AF131,[1]TPCalibEq300!$AZ$2:$BB$76,3,)))</f>
        <v>0</v>
      </c>
      <c r="AS131" s="2" t="b">
        <f>IF(AND(I131="TP",S131&lt;=500),VLOOKUP(AF131,[1]TPCalibEq500!$AZ$2:$BB$88,3,),IF(AND(I131="TDP",S131&lt;=500),VLOOKUP(AF131,[1]TPCalibEq500!$AZ$2:$BB$88,3,)))</f>
        <v>0</v>
      </c>
      <c r="AT131" s="2" t="str">
        <f>IF(AND(I131="TN",S131&lt;=2800),VLOOKUP(AF131,[1]TNCalibEq2500!$AZ$2:$BB$80,3,),IF(AND(I131="TDN",S131&lt;=2800),VLOOKUP(AF131,[1]TNCalibEq2500!$AZ$2:$BB$80,3,)))</f>
        <v>y=-1.2417x2+180.63x-137.56</v>
      </c>
      <c r="AU131" s="2" t="str">
        <f>IF(I131="TP",VLOOKUP(AF131,[1]TPCalibEqFull!$AZ$2:$BB$164,3),IF(I131="TDP",VLOOKUP(AF131,[1]TPCalibEqFull!$AZ$2:$BB$164,3),IF(I131="TDN",VLOOKUP(AF131,[1]TNCalibEqFull!$AZ$2:$BB$116,3),IF(I131="TN",VLOOKUP(AF131,[1]TNCalibEqFull!$AZ$2:$BB$118,3),FALSE))))</f>
        <v>y=0.822x2+151.75x-95.73</v>
      </c>
      <c r="AV131" s="2" t="str">
        <f t="shared" si="19"/>
        <v>0724 09:00:00-QAC-REC-A-1-DI-ATP</v>
      </c>
      <c r="AW131" s="2"/>
      <c r="AX131" s="2"/>
      <c r="AY131" s="2"/>
    </row>
    <row r="132" spans="1:51" x14ac:dyDescent="0.35">
      <c r="A132" s="45">
        <v>45497</v>
      </c>
      <c r="B132" s="46">
        <v>0.375</v>
      </c>
      <c r="C132" s="2" t="s">
        <v>88</v>
      </c>
      <c r="D132" s="2" t="s">
        <v>192</v>
      </c>
      <c r="E132" s="2" t="s">
        <v>110</v>
      </c>
      <c r="F132" s="2">
        <v>1</v>
      </c>
      <c r="G132" s="2" t="s">
        <v>91</v>
      </c>
      <c r="H132" s="2" t="s">
        <v>195</v>
      </c>
      <c r="I132" s="2" t="s">
        <v>175</v>
      </c>
      <c r="J132" s="2">
        <v>208</v>
      </c>
      <c r="K132" s="47">
        <v>45499</v>
      </c>
      <c r="L132" s="46">
        <v>0.44101851851851853</v>
      </c>
      <c r="M132" s="2">
        <v>1</v>
      </c>
      <c r="N132" s="2" t="s">
        <v>176</v>
      </c>
      <c r="O132" s="2">
        <v>1.52</v>
      </c>
      <c r="P132" s="2">
        <v>7.7100000000000002E-2</v>
      </c>
      <c r="Q132" s="2">
        <v>136</v>
      </c>
      <c r="R132" s="2" t="s">
        <v>177</v>
      </c>
      <c r="S132" s="48">
        <f t="shared" si="18"/>
        <v>136.82914879999998</v>
      </c>
      <c r="T132" s="2" t="s">
        <v>191</v>
      </c>
      <c r="U132" s="48">
        <v>68.414574399999992</v>
      </c>
      <c r="V132" s="44">
        <v>200</v>
      </c>
      <c r="W132" s="44" t="s">
        <v>147</v>
      </c>
      <c r="X132" s="44" t="s">
        <v>194</v>
      </c>
      <c r="Y132" s="2" t="s">
        <v>178</v>
      </c>
      <c r="Z132" s="2"/>
      <c r="AA132" s="2"/>
      <c r="AB132" s="2"/>
      <c r="AC132" s="2"/>
      <c r="AD132" s="2"/>
      <c r="AE132" s="2"/>
      <c r="AF132" s="47">
        <v>45499</v>
      </c>
      <c r="AG132" s="2"/>
      <c r="AH132" s="2"/>
      <c r="AI132" s="2"/>
      <c r="AJ132" s="2">
        <f>-1.2417*1.52^2+180.63*1.52-137.56</f>
        <v>134.12877631999999</v>
      </c>
      <c r="AK132" s="2">
        <f>0.822*1.52^2+151.75*1.52-95.73</f>
        <v>136.82914879999998</v>
      </c>
      <c r="AL132" s="2" t="str">
        <f t="shared" si="16"/>
        <v>FALSE</v>
      </c>
      <c r="AM132" s="2" t="str">
        <f t="shared" si="16"/>
        <v>FALSE</v>
      </c>
      <c r="AN132" s="2" t="str">
        <f t="shared" si="16"/>
        <v>FALSE</v>
      </c>
      <c r="AO132" s="2" t="str">
        <f t="shared" si="17"/>
        <v>y=-1.2417*1.52^2+180.63*1.52-137.56</v>
      </c>
      <c r="AP132" s="2" t="str">
        <f t="shared" si="17"/>
        <v>y=0.822*1.52^2+151.75*1.52-95.73</v>
      </c>
      <c r="AQ132" s="2" t="b">
        <f>IF(AND(I132="TP",S132&lt;=150),VLOOKUP(AF132,[1]TPCalibEq150!$AZ$2:$BB$74,3,),IF(AND(I132="TDP",S132&lt;=150),VLOOKUP(AF132,[1]TPCalibEq150!$AZ$2:$BB$74,3,)))</f>
        <v>0</v>
      </c>
      <c r="AR132" s="2" t="b">
        <f>IF(AND(I132="TP",S132&lt;=300),VLOOKUP(AF132,[1]TPCalibEq300!$AZ$2:$BB$76,3,),IF(AND(I132="TDP",S132&lt;=300),VLOOKUP(AF132,[1]TPCalibEq300!$AZ$2:$BB$76,3,)))</f>
        <v>0</v>
      </c>
      <c r="AS132" s="2" t="b">
        <f>IF(AND(I132="TP",S132&lt;=500),VLOOKUP(AF132,[1]TPCalibEq500!$AZ$2:$BB$88,3,),IF(AND(I132="TDP",S132&lt;=500),VLOOKUP(AF132,[1]TPCalibEq500!$AZ$2:$BB$88,3,)))</f>
        <v>0</v>
      </c>
      <c r="AT132" s="2" t="str">
        <f>IF(AND(I132="TN",S132&lt;=2800),VLOOKUP(AF132,[1]TNCalibEq2500!$AZ$2:$BB$80,3,),IF(AND(I132="TDN",S132&lt;=2800),VLOOKUP(AF132,[1]TNCalibEq2500!$AZ$2:$BB$80,3,)))</f>
        <v>y=-1.2417x2+180.63x-137.56</v>
      </c>
      <c r="AU132" s="2" t="str">
        <f>IF(I132="TP",VLOOKUP(AF132,[1]TPCalibEqFull!$AZ$2:$BB$164,3),IF(I132="TDP",VLOOKUP(AF132,[1]TPCalibEqFull!$AZ$2:$BB$164,3),IF(I132="TDN",VLOOKUP(AF132,[1]TNCalibEqFull!$AZ$2:$BB$116,3),IF(I132="TN",VLOOKUP(AF132,[1]TNCalibEqFull!$AZ$2:$BB$118,3),FALSE))))</f>
        <v>y=0.822x2+151.75x-95.73</v>
      </c>
      <c r="AV132" s="2" t="str">
        <f t="shared" si="19"/>
        <v>0724 09:00:00-QAC-REC-B-1-DI-ATP</v>
      </c>
      <c r="AW132" s="2"/>
      <c r="AX132" s="2"/>
      <c r="AY132" s="2"/>
    </row>
    <row r="133" spans="1:51" x14ac:dyDescent="0.35">
      <c r="A133" s="45">
        <v>45497</v>
      </c>
      <c r="B133" s="46">
        <v>0.375</v>
      </c>
      <c r="C133" s="2" t="s">
        <v>88</v>
      </c>
      <c r="D133" s="2" t="s">
        <v>192</v>
      </c>
      <c r="E133" s="2" t="s">
        <v>108</v>
      </c>
      <c r="F133" s="2">
        <v>1</v>
      </c>
      <c r="G133" s="2" t="s">
        <v>91</v>
      </c>
      <c r="H133" s="2" t="s">
        <v>195</v>
      </c>
      <c r="I133" s="2" t="s">
        <v>175</v>
      </c>
      <c r="J133" s="2">
        <v>209</v>
      </c>
      <c r="K133" s="47">
        <v>45499</v>
      </c>
      <c r="L133" s="46">
        <v>0.44170138888888894</v>
      </c>
      <c r="M133" s="2">
        <v>1</v>
      </c>
      <c r="N133" s="2" t="s">
        <v>176</v>
      </c>
      <c r="O133" s="2">
        <v>1.07</v>
      </c>
      <c r="P133" s="2">
        <v>5.4399999999999997E-2</v>
      </c>
      <c r="Q133" s="2">
        <v>68.3</v>
      </c>
      <c r="R133" s="2" t="s">
        <v>177</v>
      </c>
      <c r="S133" s="48">
        <f t="shared" si="18"/>
        <v>68.3</v>
      </c>
      <c r="T133" s="2" t="s">
        <v>191</v>
      </c>
      <c r="U133" s="48">
        <v>68.3</v>
      </c>
      <c r="V133" s="44">
        <v>100</v>
      </c>
      <c r="W133" s="44" t="s">
        <v>147</v>
      </c>
      <c r="X133" s="44" t="s">
        <v>194</v>
      </c>
      <c r="Y133" s="2" t="s">
        <v>178</v>
      </c>
      <c r="Z133" s="2"/>
      <c r="AA133" s="2"/>
      <c r="AB133" s="2"/>
      <c r="AC133" s="2"/>
      <c r="AD133" s="2"/>
      <c r="AE133" s="2"/>
      <c r="AF133" s="47">
        <v>45499</v>
      </c>
      <c r="AG133" s="2"/>
      <c r="AH133" s="2"/>
      <c r="AI133" s="2"/>
      <c r="AJ133" s="2">
        <f>-1.2417*1.07^2+180.63*1.07-137.56</f>
        <v>54.292477670000011</v>
      </c>
      <c r="AK133" s="2">
        <f>0.822*1.07^2+151.75*1.07-95.73</f>
        <v>67.583607799999996</v>
      </c>
      <c r="AL133" s="2" t="str">
        <f t="shared" si="16"/>
        <v>FALSE</v>
      </c>
      <c r="AM133" s="2" t="str">
        <f t="shared" si="16"/>
        <v>FALSE</v>
      </c>
      <c r="AN133" s="2" t="str">
        <f t="shared" si="16"/>
        <v>FALSE</v>
      </c>
      <c r="AO133" s="2" t="str">
        <f t="shared" si="17"/>
        <v>y=-1.2417*1.07^2+180.63*1.07-137.56</v>
      </c>
      <c r="AP133" s="2" t="str">
        <f t="shared" si="17"/>
        <v>y=0.822*1.07^2+151.75*1.07-95.73</v>
      </c>
      <c r="AQ133" s="2" t="b">
        <f>IF(AND(I133="TP",S133&lt;=150),VLOOKUP(AF133,[1]TPCalibEq150!$AZ$2:$BB$74,3,),IF(AND(I133="TDP",S133&lt;=150),VLOOKUP(AF133,[1]TPCalibEq150!$AZ$2:$BB$74,3,)))</f>
        <v>0</v>
      </c>
      <c r="AR133" s="2" t="b">
        <f>IF(AND(I133="TP",S133&lt;=300),VLOOKUP(AF133,[1]TPCalibEq300!$AZ$2:$BB$76,3,),IF(AND(I133="TDP",S133&lt;=300),VLOOKUP(AF133,[1]TPCalibEq300!$AZ$2:$BB$76,3,)))</f>
        <v>0</v>
      </c>
      <c r="AS133" s="2" t="b">
        <f>IF(AND(I133="TP",S133&lt;=500),VLOOKUP(AF133,[1]TPCalibEq500!$AZ$2:$BB$88,3,),IF(AND(I133="TDP",S133&lt;=500),VLOOKUP(AF133,[1]TPCalibEq500!$AZ$2:$BB$88,3,)))</f>
        <v>0</v>
      </c>
      <c r="AT133" s="2" t="str">
        <f>IF(AND(I133="TN",S133&lt;=2800),VLOOKUP(AF133,[1]TNCalibEq2500!$AZ$2:$BB$80,3,),IF(AND(I133="TDN",S133&lt;=2800),VLOOKUP(AF133,[1]TNCalibEq2500!$AZ$2:$BB$80,3,)))</f>
        <v>y=-1.2417x2+180.63x-137.56</v>
      </c>
      <c r="AU133" s="2" t="str">
        <f>IF(I133="TP",VLOOKUP(AF133,[1]TPCalibEqFull!$AZ$2:$BB$164,3),IF(I133="TDP",VLOOKUP(AF133,[1]TPCalibEqFull!$AZ$2:$BB$164,3),IF(I133="TDN",VLOOKUP(AF133,[1]TNCalibEqFull!$AZ$2:$BB$116,3),IF(I133="TN",VLOOKUP(AF133,[1]TNCalibEqFull!$AZ$2:$BB$118,3),FALSE))))</f>
        <v>y=0.822x2+151.75x-95.73</v>
      </c>
      <c r="AV133" s="2" t="str">
        <f t="shared" si="19"/>
        <v>0724 09:00:00-QAC-REC-C-1-DI-ATP</v>
      </c>
      <c r="AW133" s="2"/>
      <c r="AX133" s="2"/>
      <c r="AY133" s="2"/>
    </row>
    <row r="134" spans="1:51" x14ac:dyDescent="0.35">
      <c r="A134" s="45">
        <v>45497</v>
      </c>
      <c r="B134" s="46">
        <v>0.375</v>
      </c>
      <c r="C134" s="2" t="s">
        <v>88</v>
      </c>
      <c r="D134" s="2" t="s">
        <v>192</v>
      </c>
      <c r="E134" s="2" t="s">
        <v>108</v>
      </c>
      <c r="F134" s="2">
        <v>1</v>
      </c>
      <c r="G134" s="2" t="s">
        <v>91</v>
      </c>
      <c r="H134" s="2" t="s">
        <v>196</v>
      </c>
      <c r="I134" s="2" t="s">
        <v>175</v>
      </c>
      <c r="J134" s="2">
        <v>210</v>
      </c>
      <c r="K134" s="47">
        <v>45499</v>
      </c>
      <c r="L134" s="46">
        <v>0.44238425925925928</v>
      </c>
      <c r="M134" s="2">
        <v>1</v>
      </c>
      <c r="N134" s="2" t="s">
        <v>176</v>
      </c>
      <c r="O134" s="2">
        <v>1.1599999999999999</v>
      </c>
      <c r="P134" s="2">
        <v>5.8200000000000002E-2</v>
      </c>
      <c r="Q134" s="2">
        <v>81.599999999999994</v>
      </c>
      <c r="R134" s="2" t="s">
        <v>177</v>
      </c>
      <c r="S134" s="48">
        <f t="shared" si="18"/>
        <v>81.599999999999994</v>
      </c>
      <c r="T134" s="2" t="s">
        <v>191</v>
      </c>
      <c r="U134" s="48">
        <v>81.599999999999994</v>
      </c>
      <c r="V134" s="44">
        <v>100</v>
      </c>
      <c r="W134" s="44" t="s">
        <v>98</v>
      </c>
      <c r="X134" s="44" t="s">
        <v>194</v>
      </c>
      <c r="Y134" s="2" t="s">
        <v>178</v>
      </c>
      <c r="Z134" s="2"/>
      <c r="AA134" s="2"/>
      <c r="AB134" s="2"/>
      <c r="AC134" s="2"/>
      <c r="AD134" s="2"/>
      <c r="AE134" s="2"/>
      <c r="AF134" s="47">
        <v>45499</v>
      </c>
      <c r="AG134" s="2"/>
      <c r="AH134" s="2"/>
      <c r="AI134" s="2"/>
      <c r="AJ134" s="2">
        <f>-1.2417*1.16^2+180.63*1.16-137.56</f>
        <v>70.299968479999961</v>
      </c>
      <c r="AK134" s="2">
        <f>0.822*1.16^2+151.75*1.16-95.73</f>
        <v>81.406083199999998</v>
      </c>
      <c r="AL134" s="2" t="str">
        <f t="shared" ref="AL134:AN149" si="20">IF($O134="", "", IF(AQ134&lt;&gt;"", SUBSTITUTE(SUBSTITUTE(AQ134, "x", "*"&amp;$O134&amp;"^", 1), "x", "*"&amp;$O134, 1), ""))</f>
        <v>FALSE</v>
      </c>
      <c r="AM134" s="2" t="str">
        <f t="shared" si="20"/>
        <v>FALSE</v>
      </c>
      <c r="AN134" s="2" t="str">
        <f t="shared" si="20"/>
        <v>FALSE</v>
      </c>
      <c r="AO134" s="2" t="str">
        <f t="shared" ref="AO134:AP149" si="21">IF($O134="", "FALSE", IF(AT134&lt;&gt;"FALSE", SUBSTITUTE(SUBSTITUTE(AT134, "x", "*"&amp;$O134&amp;"^", 1), "x", "*"&amp;$O134, 1), ""))</f>
        <v>y=-1.2417*1.16^2+180.63*1.16-137.56</v>
      </c>
      <c r="AP134" s="2" t="str">
        <f t="shared" si="21"/>
        <v>y=0.822*1.16^2+151.75*1.16-95.73</v>
      </c>
      <c r="AQ134" s="2" t="b">
        <f>IF(AND(I134="TP",S134&lt;=150),VLOOKUP(AF134,[1]TPCalibEq150!$AZ$2:$BB$74,3,),IF(AND(I134="TDP",S134&lt;=150),VLOOKUP(AF134,[1]TPCalibEq150!$AZ$2:$BB$74,3,)))</f>
        <v>0</v>
      </c>
      <c r="AR134" s="2" t="b">
        <f>IF(AND(I134="TP",S134&lt;=300),VLOOKUP(AF134,[1]TPCalibEq300!$AZ$2:$BB$76,3,),IF(AND(I134="TDP",S134&lt;=300),VLOOKUP(AF134,[1]TPCalibEq300!$AZ$2:$BB$76,3,)))</f>
        <v>0</v>
      </c>
      <c r="AS134" s="2" t="b">
        <f>IF(AND(I134="TP",S134&lt;=500),VLOOKUP(AF134,[1]TPCalibEq500!$AZ$2:$BB$88,3,),IF(AND(I134="TDP",S134&lt;=500),VLOOKUP(AF134,[1]TPCalibEq500!$AZ$2:$BB$88,3,)))</f>
        <v>0</v>
      </c>
      <c r="AT134" s="2" t="str">
        <f>IF(AND(I134="TN",S134&lt;=2800),VLOOKUP(AF134,[1]TNCalibEq2500!$AZ$2:$BB$80,3,),IF(AND(I134="TDN",S134&lt;=2800),VLOOKUP(AF134,[1]TNCalibEq2500!$AZ$2:$BB$80,3,)))</f>
        <v>y=-1.2417x2+180.63x-137.56</v>
      </c>
      <c r="AU134" s="2" t="str">
        <f>IF(I134="TP",VLOOKUP(AF134,[1]TPCalibEqFull!$AZ$2:$BB$164,3),IF(I134="TDP",VLOOKUP(AF134,[1]TPCalibEqFull!$AZ$2:$BB$164,3),IF(I134="TDN",VLOOKUP(AF134,[1]TNCalibEqFull!$AZ$2:$BB$116,3),IF(I134="TN",VLOOKUP(AF134,[1]TNCalibEqFull!$AZ$2:$BB$118,3),FALSE))))</f>
        <v>y=0.822x2+151.75x-95.73</v>
      </c>
      <c r="AV134" s="2" t="str">
        <f t="shared" si="19"/>
        <v>0724 09:00:00-QAC-REC-C-1-DI-NIC</v>
      </c>
      <c r="AW134" s="2"/>
      <c r="AX134" s="2"/>
      <c r="AY134" s="2"/>
    </row>
    <row r="135" spans="1:51" x14ac:dyDescent="0.35">
      <c r="A135" s="45">
        <v>45497</v>
      </c>
      <c r="B135" s="46">
        <v>0.375</v>
      </c>
      <c r="C135" s="2" t="s">
        <v>88</v>
      </c>
      <c r="D135" s="2" t="s">
        <v>192</v>
      </c>
      <c r="E135" s="2" t="s">
        <v>110</v>
      </c>
      <c r="F135" s="2">
        <v>1</v>
      </c>
      <c r="G135" s="2" t="s">
        <v>91</v>
      </c>
      <c r="H135" s="2" t="s">
        <v>196</v>
      </c>
      <c r="I135" s="2" t="s">
        <v>175</v>
      </c>
      <c r="J135" s="2">
        <v>211</v>
      </c>
      <c r="K135" s="47">
        <v>45499</v>
      </c>
      <c r="L135" s="46">
        <v>0.44306712962962963</v>
      </c>
      <c r="M135" s="2">
        <v>1</v>
      </c>
      <c r="N135" s="2" t="s">
        <v>176</v>
      </c>
      <c r="O135" s="2">
        <v>1.97</v>
      </c>
      <c r="P135" s="2">
        <v>9.1499999999999998E-2</v>
      </c>
      <c r="Q135" s="2">
        <v>206</v>
      </c>
      <c r="R135" s="2" t="s">
        <v>177</v>
      </c>
      <c r="S135" s="48">
        <f t="shared" si="18"/>
        <v>213.46218647000001</v>
      </c>
      <c r="T135" s="2" t="s">
        <v>191</v>
      </c>
      <c r="U135" s="48">
        <v>106.731093235</v>
      </c>
      <c r="V135" s="44">
        <v>200</v>
      </c>
      <c r="W135" s="44" t="s">
        <v>98</v>
      </c>
      <c r="X135" s="44" t="s">
        <v>194</v>
      </c>
      <c r="Y135" s="2" t="s">
        <v>178</v>
      </c>
      <c r="Z135" s="2"/>
      <c r="AA135" s="2"/>
      <c r="AB135" s="2"/>
      <c r="AC135" s="2"/>
      <c r="AD135" s="2"/>
      <c r="AE135" s="2"/>
      <c r="AF135" s="47">
        <v>45499</v>
      </c>
      <c r="AG135" s="2"/>
      <c r="AH135" s="2"/>
      <c r="AI135" s="2"/>
      <c r="AJ135" s="2">
        <f>-1.2417*1.97^2+180.63*1.97-137.56</f>
        <v>213.46218647000001</v>
      </c>
      <c r="AK135" s="2">
        <f>0.822*1.97^2+151.75*1.97-95.73</f>
        <v>206.40759979999996</v>
      </c>
      <c r="AL135" s="2" t="str">
        <f t="shared" si="20"/>
        <v>FALSE</v>
      </c>
      <c r="AM135" s="2" t="str">
        <f t="shared" si="20"/>
        <v>FALSE</v>
      </c>
      <c r="AN135" s="2" t="str">
        <f t="shared" si="20"/>
        <v>FALSE</v>
      </c>
      <c r="AO135" s="2" t="str">
        <f t="shared" si="21"/>
        <v>y=-1.2417*1.97^2+180.63*1.97-137.56</v>
      </c>
      <c r="AP135" s="2" t="str">
        <f t="shared" si="21"/>
        <v>y=0.822*1.97^2+151.75*1.97-95.73</v>
      </c>
      <c r="AQ135" s="2" t="b">
        <f>IF(AND(I135="TP",S135&lt;=150),VLOOKUP(AF135,[1]TPCalibEq150!$AZ$2:$BB$74,3,),IF(AND(I135="TDP",S135&lt;=150),VLOOKUP(AF135,[1]TPCalibEq150!$AZ$2:$BB$74,3,)))</f>
        <v>0</v>
      </c>
      <c r="AR135" s="2" t="b">
        <f>IF(AND(I135="TP",S135&lt;=300),VLOOKUP(AF135,[1]TPCalibEq300!$AZ$2:$BB$76,3,),IF(AND(I135="TDP",S135&lt;=300),VLOOKUP(AF135,[1]TPCalibEq300!$AZ$2:$BB$76,3,)))</f>
        <v>0</v>
      </c>
      <c r="AS135" s="2" t="b">
        <f>IF(AND(I135="TP",S135&lt;=500),VLOOKUP(AF135,[1]TPCalibEq500!$AZ$2:$BB$88,3,),IF(AND(I135="TDP",S135&lt;=500),VLOOKUP(AF135,[1]TPCalibEq500!$AZ$2:$BB$88,3,)))</f>
        <v>0</v>
      </c>
      <c r="AT135" s="2" t="str">
        <f>IF(AND(I135="TN",S135&lt;=2800),VLOOKUP(AF135,[1]TNCalibEq2500!$AZ$2:$BB$80,3,),IF(AND(I135="TDN",S135&lt;=2800),VLOOKUP(AF135,[1]TNCalibEq2500!$AZ$2:$BB$80,3,)))</f>
        <v>y=-1.2417x2+180.63x-137.56</v>
      </c>
      <c r="AU135" s="2" t="str">
        <f>IF(I135="TP",VLOOKUP(AF135,[1]TPCalibEqFull!$AZ$2:$BB$164,3),IF(I135="TDP",VLOOKUP(AF135,[1]TPCalibEqFull!$AZ$2:$BB$164,3),IF(I135="TDN",VLOOKUP(AF135,[1]TNCalibEqFull!$AZ$2:$BB$116,3),IF(I135="TN",VLOOKUP(AF135,[1]TNCalibEqFull!$AZ$2:$BB$118,3),FALSE))))</f>
        <v>y=0.822x2+151.75x-95.73</v>
      </c>
      <c r="AV135" s="2" t="str">
        <f t="shared" si="19"/>
        <v>0724 09:00:00-QAC-REC-B-1-DI-NIC</v>
      </c>
      <c r="AW135" s="2"/>
      <c r="AX135" s="2"/>
      <c r="AY135" s="2"/>
    </row>
    <row r="136" spans="1:51" x14ac:dyDescent="0.35">
      <c r="A136" s="45">
        <v>45497</v>
      </c>
      <c r="B136" s="46">
        <v>0.375</v>
      </c>
      <c r="C136" s="2" t="s">
        <v>88</v>
      </c>
      <c r="D136" s="2" t="s">
        <v>192</v>
      </c>
      <c r="E136" s="2" t="s">
        <v>112</v>
      </c>
      <c r="F136" s="2">
        <v>1</v>
      </c>
      <c r="G136" s="2" t="s">
        <v>91</v>
      </c>
      <c r="H136" s="2" t="s">
        <v>196</v>
      </c>
      <c r="I136" s="2" t="s">
        <v>175</v>
      </c>
      <c r="J136" s="2">
        <v>212</v>
      </c>
      <c r="K136" s="47">
        <v>45499</v>
      </c>
      <c r="L136" s="46">
        <v>0.44783564814814819</v>
      </c>
      <c r="M136" s="2">
        <v>1</v>
      </c>
      <c r="N136" s="2" t="s">
        <v>176</v>
      </c>
      <c r="O136" s="2">
        <v>6.25</v>
      </c>
      <c r="P136" s="2">
        <v>0.32800000000000001</v>
      </c>
      <c r="Q136" s="2">
        <v>884</v>
      </c>
      <c r="R136" s="2" t="s">
        <v>177</v>
      </c>
      <c r="S136" s="48">
        <f t="shared" si="18"/>
        <v>942.87359375000005</v>
      </c>
      <c r="T136" s="2" t="s">
        <v>191</v>
      </c>
      <c r="U136" s="48">
        <v>94.287359375000008</v>
      </c>
      <c r="V136" s="44">
        <v>1000</v>
      </c>
      <c r="W136" s="44" t="s">
        <v>98</v>
      </c>
      <c r="X136" s="44" t="s">
        <v>194</v>
      </c>
      <c r="Y136" s="2" t="s">
        <v>178</v>
      </c>
      <c r="Z136" s="2"/>
      <c r="AA136" s="2"/>
      <c r="AB136" s="2"/>
      <c r="AC136" s="2"/>
      <c r="AD136" s="2"/>
      <c r="AE136" s="2"/>
      <c r="AF136" s="47">
        <v>45499</v>
      </c>
      <c r="AG136" s="2"/>
      <c r="AH136" s="2"/>
      <c r="AI136" s="2"/>
      <c r="AJ136" s="2">
        <f>-1.2417*6.25^2+180.63*6.25-137.56</f>
        <v>942.87359375000005</v>
      </c>
      <c r="AK136" s="2">
        <f>0.822*6.25^2+151.75*6.25-95.73</f>
        <v>884.81687499999998</v>
      </c>
      <c r="AL136" s="2" t="str">
        <f t="shared" si="20"/>
        <v>FALSE</v>
      </c>
      <c r="AM136" s="2" t="str">
        <f t="shared" si="20"/>
        <v>FALSE</v>
      </c>
      <c r="AN136" s="2" t="str">
        <f t="shared" si="20"/>
        <v>FALSE</v>
      </c>
      <c r="AO136" s="2" t="str">
        <f t="shared" si="21"/>
        <v>y=-1.2417*6.25^2+180.63*6.25-137.56</v>
      </c>
      <c r="AP136" s="2" t="str">
        <f t="shared" si="21"/>
        <v>y=0.822*6.25^2+151.75*6.25-95.73</v>
      </c>
      <c r="AQ136" s="2" t="b">
        <f>IF(AND(I136="TP",S136&lt;=150),VLOOKUP(AF136,[1]TPCalibEq150!$AZ$2:$BB$74,3,),IF(AND(I136="TDP",S136&lt;=150),VLOOKUP(AF136,[1]TPCalibEq150!$AZ$2:$BB$74,3,)))</f>
        <v>0</v>
      </c>
      <c r="AR136" s="2" t="b">
        <f>IF(AND(I136="TP",S136&lt;=300),VLOOKUP(AF136,[1]TPCalibEq300!$AZ$2:$BB$76,3,),IF(AND(I136="TDP",S136&lt;=300),VLOOKUP(AF136,[1]TPCalibEq300!$AZ$2:$BB$76,3,)))</f>
        <v>0</v>
      </c>
      <c r="AS136" s="2" t="b">
        <f>IF(AND(I136="TP",S136&lt;=500),VLOOKUP(AF136,[1]TPCalibEq500!$AZ$2:$BB$88,3,),IF(AND(I136="TDP",S136&lt;=500),VLOOKUP(AF136,[1]TPCalibEq500!$AZ$2:$BB$88,3,)))</f>
        <v>0</v>
      </c>
      <c r="AT136" s="2" t="str">
        <f>IF(AND(I136="TN",S136&lt;=2800),VLOOKUP(AF136,[1]TNCalibEq2500!$AZ$2:$BB$80,3,),IF(AND(I136="TDN",S136&lt;=2800),VLOOKUP(AF136,[1]TNCalibEq2500!$AZ$2:$BB$80,3,)))</f>
        <v>y=-1.2417x2+180.63x-137.56</v>
      </c>
      <c r="AU136" s="2" t="str">
        <f>IF(I136="TP",VLOOKUP(AF136,[1]TPCalibEqFull!$AZ$2:$BB$164,3),IF(I136="TDP",VLOOKUP(AF136,[1]TPCalibEqFull!$AZ$2:$BB$164,3),IF(I136="TDN",VLOOKUP(AF136,[1]TNCalibEqFull!$AZ$2:$BB$116,3),IF(I136="TN",VLOOKUP(AF136,[1]TNCalibEqFull!$AZ$2:$BB$118,3),FALSE))))</f>
        <v>y=0.822x2+151.75x-95.73</v>
      </c>
      <c r="AV136" s="2" t="str">
        <f t="shared" si="19"/>
        <v>0724 09:00:00-QAC-REC-A-1-DI-NIC</v>
      </c>
      <c r="AW136" s="2"/>
      <c r="AX136" s="2"/>
      <c r="AY136" s="2"/>
    </row>
    <row r="137" spans="1:51" x14ac:dyDescent="0.35">
      <c r="A137" s="45">
        <v>45497</v>
      </c>
      <c r="B137" s="46">
        <v>0.375</v>
      </c>
      <c r="C137" s="2" t="s">
        <v>88</v>
      </c>
      <c r="D137" s="2" t="s">
        <v>192</v>
      </c>
      <c r="E137" s="2" t="s">
        <v>106</v>
      </c>
      <c r="F137" s="2">
        <v>1</v>
      </c>
      <c r="G137" s="2" t="s">
        <v>91</v>
      </c>
      <c r="H137" s="2" t="s">
        <v>196</v>
      </c>
      <c r="I137" s="2" t="s">
        <v>175</v>
      </c>
      <c r="J137" s="2">
        <v>213</v>
      </c>
      <c r="K137" s="47">
        <v>45499</v>
      </c>
      <c r="L137" s="46">
        <v>0.44443287037037038</v>
      </c>
      <c r="M137" s="2">
        <v>1</v>
      </c>
      <c r="N137" s="2" t="s">
        <v>176</v>
      </c>
      <c r="O137" s="2">
        <v>29.5</v>
      </c>
      <c r="P137" s="2">
        <v>1.55</v>
      </c>
      <c r="Q137" s="2">
        <v>5100</v>
      </c>
      <c r="R137" s="2" t="s">
        <v>177</v>
      </c>
      <c r="S137" s="48">
        <f t="shared" si="18"/>
        <v>5100</v>
      </c>
      <c r="T137" s="2" t="s">
        <v>191</v>
      </c>
      <c r="U137" s="48">
        <v>102</v>
      </c>
      <c r="V137" s="44">
        <v>5000</v>
      </c>
      <c r="W137" s="44" t="s">
        <v>98</v>
      </c>
      <c r="X137" s="44" t="s">
        <v>194</v>
      </c>
      <c r="Y137" s="2" t="s">
        <v>178</v>
      </c>
      <c r="Z137" s="2"/>
      <c r="AA137" s="2"/>
      <c r="AB137" s="2"/>
      <c r="AC137" s="2"/>
      <c r="AD137" s="2"/>
      <c r="AE137" s="2"/>
      <c r="AF137" s="47">
        <v>45499</v>
      </c>
      <c r="AG137" s="2"/>
      <c r="AH137" s="2"/>
      <c r="AI137" s="2"/>
      <c r="AJ137" s="2"/>
      <c r="AK137" s="2">
        <f>0.822*29.5^2+151.75*29.5-95.73</f>
        <v>5096.2405000000008</v>
      </c>
      <c r="AL137" s="2" t="str">
        <f t="shared" si="20"/>
        <v>FALSE</v>
      </c>
      <c r="AM137" s="2" t="str">
        <f t="shared" si="20"/>
        <v>FALSE</v>
      </c>
      <c r="AN137" s="2" t="str">
        <f t="shared" si="20"/>
        <v>FALSE</v>
      </c>
      <c r="AO137" s="2" t="str">
        <f t="shared" si="21"/>
        <v>FALSE</v>
      </c>
      <c r="AP137" s="2" t="str">
        <f t="shared" si="21"/>
        <v>y=0.822*29.5^2+151.75*29.5-95.73</v>
      </c>
      <c r="AQ137" s="2" t="b">
        <f>IF(AND(I137="TP",S137&lt;=150),VLOOKUP(AF137,[1]TPCalibEq150!$AZ$2:$BB$74,3,),IF(AND(I137="TDP",S137&lt;=150),VLOOKUP(AF137,[1]TPCalibEq150!$AZ$2:$BB$74,3,)))</f>
        <v>0</v>
      </c>
      <c r="AR137" s="2" t="b">
        <f>IF(AND(I137="TP",S137&lt;=300),VLOOKUP(AF137,[1]TPCalibEq300!$AZ$2:$BB$76,3,),IF(AND(I137="TDP",S137&lt;=300),VLOOKUP(AF137,[1]TPCalibEq300!$AZ$2:$BB$76,3,)))</f>
        <v>0</v>
      </c>
      <c r="AS137" s="2" t="b">
        <f>IF(AND(I137="TP",S137&lt;=500),VLOOKUP(AF137,[1]TPCalibEq500!$AZ$2:$BB$88,3,),IF(AND(I137="TDP",S137&lt;=500),VLOOKUP(AF137,[1]TPCalibEq500!$AZ$2:$BB$88,3,)))</f>
        <v>0</v>
      </c>
      <c r="AT137" s="2" t="b">
        <f>IF(AND(I137="TN",S137&lt;=2800),VLOOKUP(AF137,[1]TNCalibEq2500!$AZ$2:$BB$80,3,),IF(AND(I137="TDN",S137&lt;=2800),VLOOKUP(AF137,[1]TNCalibEq2500!$AZ$2:$BB$80,3,)))</f>
        <v>0</v>
      </c>
      <c r="AU137" s="2" t="str">
        <f>IF(I137="TP",VLOOKUP(AF137,[1]TPCalibEqFull!$AZ$2:$BB$164,3),IF(I137="TDP",VLOOKUP(AF137,[1]TPCalibEqFull!$AZ$2:$BB$164,3),IF(I137="TDN",VLOOKUP(AF137,[1]TNCalibEqFull!$AZ$2:$BB$116,3),IF(I137="TN",VLOOKUP(AF137,[1]TNCalibEqFull!$AZ$2:$BB$118,3),FALSE))))</f>
        <v>y=0.822x2+151.75x-95.73</v>
      </c>
      <c r="AV137" s="2" t="str">
        <f t="shared" si="19"/>
        <v>0724 09:00:00-QAC-REC-D-1-DI-NIC</v>
      </c>
      <c r="AW137" s="2"/>
      <c r="AX137" s="2"/>
      <c r="AY137" s="2"/>
    </row>
    <row r="138" spans="1:51" x14ac:dyDescent="0.35">
      <c r="A138" s="45">
        <v>45497</v>
      </c>
      <c r="B138" s="46">
        <v>0.375</v>
      </c>
      <c r="C138" s="2" t="s">
        <v>88</v>
      </c>
      <c r="D138" s="2" t="s">
        <v>89</v>
      </c>
      <c r="E138" s="2" t="s">
        <v>186</v>
      </c>
      <c r="F138" s="2">
        <v>1</v>
      </c>
      <c r="G138" s="2" t="s">
        <v>91</v>
      </c>
      <c r="H138" s="2" t="s">
        <v>92</v>
      </c>
      <c r="I138" s="2" t="s">
        <v>175</v>
      </c>
      <c r="J138" s="2">
        <v>186</v>
      </c>
      <c r="K138" s="47">
        <v>45499</v>
      </c>
      <c r="L138" s="46">
        <v>0.44577546296296294</v>
      </c>
      <c r="M138" s="2">
        <v>1</v>
      </c>
      <c r="N138" s="2" t="s">
        <v>176</v>
      </c>
      <c r="O138" s="2">
        <v>16.7</v>
      </c>
      <c r="P138" s="2">
        <v>0.874</v>
      </c>
      <c r="Q138" s="2">
        <v>2660</v>
      </c>
      <c r="R138" s="2" t="s">
        <v>177</v>
      </c>
      <c r="S138" s="48">
        <f t="shared" si="18"/>
        <v>2660</v>
      </c>
      <c r="T138" s="2" t="s">
        <v>191</v>
      </c>
      <c r="U138" s="48" t="s">
        <v>97</v>
      </c>
      <c r="V138" s="44" t="s">
        <v>97</v>
      </c>
      <c r="W138" s="44" t="s">
        <v>98</v>
      </c>
      <c r="X138" s="44" t="s">
        <v>97</v>
      </c>
      <c r="Y138" s="2" t="s">
        <v>178</v>
      </c>
      <c r="Z138" s="2"/>
      <c r="AA138" s="2"/>
      <c r="AB138" s="2"/>
      <c r="AC138" s="2"/>
      <c r="AD138" s="2"/>
      <c r="AE138" s="2"/>
      <c r="AF138" s="47">
        <v>45499</v>
      </c>
      <c r="AG138" s="2"/>
      <c r="AH138" s="2"/>
      <c r="AI138" s="2"/>
      <c r="AJ138" s="2">
        <f>-1.2417*16.7^2+180.63*16.7-137.56</f>
        <v>2532.6632869999999</v>
      </c>
      <c r="AK138" s="2">
        <f>0.822*16.7^2+151.75*16.7-95.73</f>
        <v>2667.7425799999996</v>
      </c>
      <c r="AL138" s="2" t="str">
        <f t="shared" si="20"/>
        <v>FALSE</v>
      </c>
      <c r="AM138" s="2" t="str">
        <f t="shared" si="20"/>
        <v>FALSE</v>
      </c>
      <c r="AN138" s="2" t="str">
        <f t="shared" si="20"/>
        <v>FALSE</v>
      </c>
      <c r="AO138" s="2" t="str">
        <f t="shared" si="21"/>
        <v>y=-1.2417*16.7^2+180.63*16.7-137.56</v>
      </c>
      <c r="AP138" s="2" t="str">
        <f t="shared" si="21"/>
        <v>y=0.822*16.7^2+151.75*16.7-95.73</v>
      </c>
      <c r="AQ138" s="2" t="b">
        <f>IF(AND(I138="TP",S138&lt;=150),VLOOKUP(AF138,[1]TPCalibEq150!$AZ$2:$BB$74,3,),IF(AND(I138="TDP",S138&lt;=150),VLOOKUP(AF138,[1]TPCalibEq150!$AZ$2:$BB$74,3,)))</f>
        <v>0</v>
      </c>
      <c r="AR138" s="2" t="b">
        <f>IF(AND(I138="TP",S138&lt;=300),VLOOKUP(AF138,[1]TPCalibEq300!$AZ$2:$BB$76,3,),IF(AND(I138="TDP",S138&lt;=300),VLOOKUP(AF138,[1]TPCalibEq300!$AZ$2:$BB$76,3,)))</f>
        <v>0</v>
      </c>
      <c r="AS138" s="2" t="b">
        <f>IF(AND(I138="TP",S138&lt;=500),VLOOKUP(AF138,[1]TPCalibEq500!$AZ$2:$BB$88,3,),IF(AND(I138="TDP",S138&lt;=500),VLOOKUP(AF138,[1]TPCalibEq500!$AZ$2:$BB$88,3,)))</f>
        <v>0</v>
      </c>
      <c r="AT138" s="2" t="str">
        <f>IF(AND(I138="TN",S138&lt;=2800),VLOOKUP(AF138,[1]TNCalibEq2500!$AZ$2:$BB$80,3,),IF(AND(I138="TDN",S138&lt;=2800),VLOOKUP(AF138,[1]TNCalibEq2500!$AZ$2:$BB$80,3,)))</f>
        <v>y=-1.2417x2+180.63x-137.56</v>
      </c>
      <c r="AU138" s="2" t="str">
        <f>IF(I138="TP",VLOOKUP(AF138,[1]TPCalibEqFull!$AZ$2:$BB$164,3),IF(I138="TDP",VLOOKUP(AF138,[1]TPCalibEqFull!$AZ$2:$BB$164,3),IF(I138="TDN",VLOOKUP(AF138,[1]TNCalibEqFull!$AZ$2:$BB$116,3),IF(I138="TN",VLOOKUP(AF138,[1]TNCalibEqFull!$AZ$2:$BB$118,3),FALSE))))</f>
        <v>y=0.822x2+151.75x-95.73</v>
      </c>
      <c r="AV138" s="2" t="str">
        <f t="shared" si="19"/>
        <v>0724 09:00:00-QAC-STD-D.C-1-DI-CAL</v>
      </c>
      <c r="AW138" s="2"/>
      <c r="AX138" s="2"/>
      <c r="AY138" s="2"/>
    </row>
    <row r="139" spans="1:51" x14ac:dyDescent="0.35">
      <c r="A139" s="45">
        <v>45497</v>
      </c>
      <c r="B139" s="46">
        <v>0.375</v>
      </c>
      <c r="C139" s="2" t="s">
        <v>88</v>
      </c>
      <c r="D139" s="2" t="s">
        <v>89</v>
      </c>
      <c r="E139" s="2" t="s">
        <v>186</v>
      </c>
      <c r="F139" s="2">
        <v>1</v>
      </c>
      <c r="G139" s="2" t="s">
        <v>91</v>
      </c>
      <c r="H139" s="2" t="s">
        <v>92</v>
      </c>
      <c r="I139" s="2" t="s">
        <v>175</v>
      </c>
      <c r="J139" s="2">
        <v>221</v>
      </c>
      <c r="K139" s="47">
        <v>45499</v>
      </c>
      <c r="L139" s="46">
        <v>0.44646990740740744</v>
      </c>
      <c r="M139" s="2">
        <v>1</v>
      </c>
      <c r="N139" s="2" t="s">
        <v>176</v>
      </c>
      <c r="O139" s="2">
        <v>15.1</v>
      </c>
      <c r="P139" s="2">
        <v>0.79100000000000004</v>
      </c>
      <c r="Q139" s="2">
        <v>2380</v>
      </c>
      <c r="R139" s="2" t="s">
        <v>177</v>
      </c>
      <c r="S139" s="48">
        <f t="shared" si="18"/>
        <v>2380</v>
      </c>
      <c r="T139" s="2" t="s">
        <v>191</v>
      </c>
      <c r="U139" s="48" t="s">
        <v>97</v>
      </c>
      <c r="V139" s="44" t="s">
        <v>97</v>
      </c>
      <c r="W139" s="44" t="s">
        <v>98</v>
      </c>
      <c r="X139" s="44" t="s">
        <v>97</v>
      </c>
      <c r="Y139" s="2" t="s">
        <v>178</v>
      </c>
      <c r="Z139" s="2"/>
      <c r="AA139" s="2"/>
      <c r="AB139" s="2"/>
      <c r="AC139" s="2"/>
      <c r="AD139" s="2"/>
      <c r="AE139" s="2"/>
      <c r="AF139" s="47">
        <v>45499</v>
      </c>
      <c r="AG139" s="2"/>
      <c r="AH139" s="2"/>
      <c r="AI139" s="2"/>
      <c r="AJ139" s="2">
        <f>-1.2417*15.1^2+180.63*15.1-137.56</f>
        <v>2306.8329829999998</v>
      </c>
      <c r="AK139" s="2">
        <f>0.822*15.1^2+151.75*15.1-95.73</f>
        <v>2383.1192199999996</v>
      </c>
      <c r="AL139" s="2" t="str">
        <f t="shared" si="20"/>
        <v>FALSE</v>
      </c>
      <c r="AM139" s="2" t="str">
        <f t="shared" si="20"/>
        <v>FALSE</v>
      </c>
      <c r="AN139" s="2" t="str">
        <f t="shared" si="20"/>
        <v>FALSE</v>
      </c>
      <c r="AO139" s="2" t="str">
        <f t="shared" si="21"/>
        <v>y=-1.2417*15.1^2+180.63*15.1-137.56</v>
      </c>
      <c r="AP139" s="2" t="str">
        <f t="shared" si="21"/>
        <v>y=0.822*15.1^2+151.75*15.1-95.73</v>
      </c>
      <c r="AQ139" s="2" t="b">
        <f>IF(AND(I139="TP",S139&lt;=150),VLOOKUP(AF139,[1]TPCalibEq150!$AZ$2:$BB$74,3,),IF(AND(I139="TDP",S139&lt;=150),VLOOKUP(AF139,[1]TPCalibEq150!$AZ$2:$BB$74,3,)))</f>
        <v>0</v>
      </c>
      <c r="AR139" s="2" t="b">
        <f>IF(AND(I139="TP",S139&lt;=300),VLOOKUP(AF139,[1]TPCalibEq300!$AZ$2:$BB$76,3,),IF(AND(I139="TDP",S139&lt;=300),VLOOKUP(AF139,[1]TPCalibEq300!$AZ$2:$BB$76,3,)))</f>
        <v>0</v>
      </c>
      <c r="AS139" s="2" t="b">
        <f>IF(AND(I139="TP",S139&lt;=500),VLOOKUP(AF139,[1]TPCalibEq500!$AZ$2:$BB$88,3,),IF(AND(I139="TDP",S139&lt;=500),VLOOKUP(AF139,[1]TPCalibEq500!$AZ$2:$BB$88,3,)))</f>
        <v>0</v>
      </c>
      <c r="AT139" s="2" t="str">
        <f>IF(AND(I139="TN",S139&lt;=2800),VLOOKUP(AF139,[1]TNCalibEq2500!$AZ$2:$BB$80,3,),IF(AND(I139="TDN",S139&lt;=2800),VLOOKUP(AF139,[1]TNCalibEq2500!$AZ$2:$BB$80,3,)))</f>
        <v>y=-1.2417x2+180.63x-137.56</v>
      </c>
      <c r="AU139" s="2" t="str">
        <f>IF(I139="TP",VLOOKUP(AF139,[1]TPCalibEqFull!$AZ$2:$BB$164,3),IF(I139="TDP",VLOOKUP(AF139,[1]TPCalibEqFull!$AZ$2:$BB$164,3),IF(I139="TDN",VLOOKUP(AF139,[1]TNCalibEqFull!$AZ$2:$BB$116,3),IF(I139="TN",VLOOKUP(AF139,[1]TNCalibEqFull!$AZ$2:$BB$118,3),FALSE))))</f>
        <v>y=0.822x2+151.75x-95.73</v>
      </c>
      <c r="AV139" s="2" t="str">
        <f t="shared" si="19"/>
        <v>0724 09:00:00-QAC-STD-D.C-1-DI-CAL</v>
      </c>
      <c r="AW139" s="2"/>
      <c r="AX139" s="2"/>
      <c r="AY139" s="2"/>
    </row>
    <row r="140" spans="1:51" x14ac:dyDescent="0.35">
      <c r="A140" s="45">
        <v>45497</v>
      </c>
      <c r="B140" s="46">
        <v>0.375</v>
      </c>
      <c r="C140" s="2" t="s">
        <v>88</v>
      </c>
      <c r="D140" s="2" t="s">
        <v>89</v>
      </c>
      <c r="E140" s="2" t="s">
        <v>106</v>
      </c>
      <c r="F140" s="2">
        <v>1</v>
      </c>
      <c r="G140" s="2" t="s">
        <v>91</v>
      </c>
      <c r="H140" s="2" t="s">
        <v>122</v>
      </c>
      <c r="I140" s="2" t="s">
        <v>175</v>
      </c>
      <c r="J140" s="2">
        <v>200</v>
      </c>
      <c r="K140" s="47">
        <v>45499</v>
      </c>
      <c r="L140" s="46">
        <v>0.48439814814814813</v>
      </c>
      <c r="M140" s="2">
        <v>1</v>
      </c>
      <c r="N140" s="2" t="s">
        <v>176</v>
      </c>
      <c r="O140" s="2">
        <v>7.96</v>
      </c>
      <c r="P140" s="2">
        <v>0.41499999999999998</v>
      </c>
      <c r="Q140" s="2">
        <v>1160</v>
      </c>
      <c r="R140" s="2" t="s">
        <v>177</v>
      </c>
      <c r="S140" s="48">
        <f t="shared" si="18"/>
        <v>1221.5787012799999</v>
      </c>
      <c r="T140" s="2" t="s">
        <v>191</v>
      </c>
      <c r="U140" s="48">
        <v>97.726296102399985</v>
      </c>
      <c r="V140" s="44">
        <v>1250</v>
      </c>
      <c r="W140" s="44" t="s">
        <v>98</v>
      </c>
      <c r="X140" s="44" t="s">
        <v>123</v>
      </c>
      <c r="Y140" s="2" t="s">
        <v>178</v>
      </c>
      <c r="Z140" s="2"/>
      <c r="AA140" s="2"/>
      <c r="AB140" s="2"/>
      <c r="AC140" s="2"/>
      <c r="AD140" s="2"/>
      <c r="AE140" s="2"/>
      <c r="AF140" s="47">
        <v>45499</v>
      </c>
      <c r="AG140" s="2"/>
      <c r="AH140" s="2"/>
      <c r="AI140" s="2"/>
      <c r="AJ140" s="2">
        <f>-1.2417*7.96^2+180.63*7.96-137.56</f>
        <v>1221.5787012799999</v>
      </c>
      <c r="AK140" s="2">
        <f>0.822*7.96^2+151.75*7.96-95.73</f>
        <v>1164.2832352</v>
      </c>
      <c r="AL140" s="2" t="str">
        <f t="shared" si="20"/>
        <v>FALSE</v>
      </c>
      <c r="AM140" s="2" t="str">
        <f t="shared" si="20"/>
        <v>FALSE</v>
      </c>
      <c r="AN140" s="2" t="str">
        <f t="shared" si="20"/>
        <v>FALSE</v>
      </c>
      <c r="AO140" s="2" t="str">
        <f t="shared" si="21"/>
        <v>y=-1.2417*7.96^2+180.63*7.96-137.56</v>
      </c>
      <c r="AP140" s="2" t="str">
        <f t="shared" si="21"/>
        <v>y=0.822*7.96^2+151.75*7.96-95.73</v>
      </c>
      <c r="AQ140" s="2" t="b">
        <f>IF(AND(I140="TP",S140&lt;=150),VLOOKUP(AF140,[1]TPCalibEq150!$AZ$2:$BB$74,3,),IF(AND(I140="TDP",S140&lt;=150),VLOOKUP(AF140,[1]TPCalibEq150!$AZ$2:$BB$74,3,)))</f>
        <v>0</v>
      </c>
      <c r="AR140" s="2" t="b">
        <f>IF(AND(I140="TP",S140&lt;=300),VLOOKUP(AF140,[1]TPCalibEq300!$AZ$2:$BB$76,3,),IF(AND(I140="TDP",S140&lt;=300),VLOOKUP(AF140,[1]TPCalibEq300!$AZ$2:$BB$76,3,)))</f>
        <v>0</v>
      </c>
      <c r="AS140" s="2" t="b">
        <f>IF(AND(I140="TP",S140&lt;=500),VLOOKUP(AF140,[1]TPCalibEq500!$AZ$2:$BB$88,3,),IF(AND(I140="TDP",S140&lt;=500),VLOOKUP(AF140,[1]TPCalibEq500!$AZ$2:$BB$88,3,)))</f>
        <v>0</v>
      </c>
      <c r="AT140" s="2" t="str">
        <f>IF(AND(I140="TN",S140&lt;=2800),VLOOKUP(AF140,[1]TNCalibEq2500!$AZ$2:$BB$80,3,),IF(AND(I140="TDN",S140&lt;=2800),VLOOKUP(AF140,[1]TNCalibEq2500!$AZ$2:$BB$80,3,)))</f>
        <v>y=-1.2417x2+180.63x-137.56</v>
      </c>
      <c r="AU140" s="2" t="str">
        <f>IF(I140="TP",VLOOKUP(AF140,[1]TPCalibEqFull!$AZ$2:$BB$164,3),IF(I140="TDP",VLOOKUP(AF140,[1]TPCalibEqFull!$AZ$2:$BB$164,3),IF(I140="TDN",VLOOKUP(AF140,[1]TNCalibEqFull!$AZ$2:$BB$116,3),IF(I140="TN",VLOOKUP(AF140,[1]TNCalibEqFull!$AZ$2:$BB$118,3),FALSE))))</f>
        <v>y=0.822x2+151.75x-95.73</v>
      </c>
      <c r="AV140" s="2" t="str">
        <f t="shared" si="19"/>
        <v>0724 09:00:00-QAC-STD-D-1-DI-CHK</v>
      </c>
      <c r="AW140" s="2"/>
      <c r="AX140" s="2"/>
      <c r="AY140" s="2"/>
    </row>
    <row r="141" spans="1:51" x14ac:dyDescent="0.35">
      <c r="A141" s="45">
        <v>45485</v>
      </c>
      <c r="B141" s="46">
        <v>0.5</v>
      </c>
      <c r="C141" s="2" t="s">
        <v>124</v>
      </c>
      <c r="D141" s="2">
        <v>0</v>
      </c>
      <c r="E141" s="2" t="s">
        <v>108</v>
      </c>
      <c r="F141" s="2">
        <v>1</v>
      </c>
      <c r="G141" s="2" t="s">
        <v>125</v>
      </c>
      <c r="H141" s="2" t="s">
        <v>126</v>
      </c>
      <c r="I141" s="2" t="s">
        <v>175</v>
      </c>
      <c r="J141" s="2">
        <v>33</v>
      </c>
      <c r="K141" s="47">
        <v>45499</v>
      </c>
      <c r="L141" s="46">
        <v>0.52322916666666663</v>
      </c>
      <c r="M141" s="2">
        <v>10</v>
      </c>
      <c r="N141" s="2" t="s">
        <v>176</v>
      </c>
      <c r="O141" s="2">
        <v>3.34</v>
      </c>
      <c r="P141" s="2">
        <v>0.17299999999999999</v>
      </c>
      <c r="Q141" s="2">
        <v>420</v>
      </c>
      <c r="R141" s="2" t="s">
        <v>177</v>
      </c>
      <c r="S141" s="48">
        <f t="shared" si="18"/>
        <v>4202.8490319999992</v>
      </c>
      <c r="T141" s="2" t="s">
        <v>191</v>
      </c>
      <c r="U141" s="48" t="s">
        <v>97</v>
      </c>
      <c r="V141" s="44" t="s">
        <v>97</v>
      </c>
      <c r="W141" s="44" t="s">
        <v>98</v>
      </c>
      <c r="X141" s="44" t="s">
        <v>97</v>
      </c>
      <c r="Y141" s="2" t="s">
        <v>178</v>
      </c>
      <c r="Z141" s="2"/>
      <c r="AA141" s="2"/>
      <c r="AB141" s="2"/>
      <c r="AC141" s="2"/>
      <c r="AD141" s="2"/>
      <c r="AE141" s="2"/>
      <c r="AF141" s="47">
        <v>45499</v>
      </c>
      <c r="AG141" s="2"/>
      <c r="AH141" s="2"/>
      <c r="AI141" s="2"/>
      <c r="AJ141" s="2"/>
      <c r="AK141" s="2">
        <f>0.822*3.34^2+151.75*3.34-95.73</f>
        <v>420.28490319999992</v>
      </c>
      <c r="AL141" s="2" t="str">
        <f t="shared" si="20"/>
        <v>FALSE</v>
      </c>
      <c r="AM141" s="2" t="str">
        <f t="shared" si="20"/>
        <v>FALSE</v>
      </c>
      <c r="AN141" s="2" t="str">
        <f t="shared" si="20"/>
        <v>FALSE</v>
      </c>
      <c r="AO141" s="2" t="str">
        <f t="shared" si="21"/>
        <v>FALSE</v>
      </c>
      <c r="AP141" s="2" t="str">
        <f t="shared" si="21"/>
        <v>y=0.822*3.34^2+151.75*3.34-95.73</v>
      </c>
      <c r="AQ141" s="2" t="b">
        <f>IF(AND(I141="TP",S141&lt;=150),VLOOKUP(AF141,[1]TPCalibEq150!$AZ$2:$BB$74,3,),IF(AND(I141="TDP",S141&lt;=150),VLOOKUP(AF141,[1]TPCalibEq150!$AZ$2:$BB$74,3,)))</f>
        <v>0</v>
      </c>
      <c r="AR141" s="2" t="b">
        <f>IF(AND(I141="TP",S141&lt;=300),VLOOKUP(AF141,[1]TPCalibEq300!$AZ$2:$BB$76,3,),IF(AND(I141="TDP",S141&lt;=300),VLOOKUP(AF141,[1]TPCalibEq300!$AZ$2:$BB$76,3,)))</f>
        <v>0</v>
      </c>
      <c r="AS141" s="2" t="b">
        <f>IF(AND(I141="TP",S141&lt;=500),VLOOKUP(AF141,[1]TPCalibEq500!$AZ$2:$BB$88,3,),IF(AND(I141="TDP",S141&lt;=500),VLOOKUP(AF141,[1]TPCalibEq500!$AZ$2:$BB$88,3,)))</f>
        <v>0</v>
      </c>
      <c r="AT141" s="2" t="b">
        <f>IF(AND(I141="TN",S141&lt;=2800),VLOOKUP(AF141,[1]TNCalibEq2500!$AZ$2:$BB$80,3,),IF(AND(I141="TDN",S141&lt;=2800),VLOOKUP(AF141,[1]TNCalibEq2500!$AZ$2:$BB$80,3,)))</f>
        <v>0</v>
      </c>
      <c r="AU141" s="2" t="str">
        <f>IF(I141="TP",VLOOKUP(AF141,[1]TPCalibEqFull!$AZ$2:$BB$164,3),IF(I141="TDP",VLOOKUP(AF141,[1]TPCalibEqFull!$AZ$2:$BB$164,3),IF(I141="TDN",VLOOKUP(AF141,[1]TNCalibEqFull!$AZ$2:$BB$116,3),IF(I141="TN",VLOOKUP(AF141,[1]TNCalibEqFull!$AZ$2:$BB$118,3),FALSE))))</f>
        <v>y=0.822x2+151.75x-95.73</v>
      </c>
      <c r="AV141" s="2" t="str">
        <f t="shared" si="19"/>
        <v>0712 12:00:00-T1ANF-0-C-1-SW-UKN</v>
      </c>
      <c r="AW141" s="2"/>
      <c r="AX141" s="2"/>
      <c r="AY141" s="2"/>
    </row>
    <row r="142" spans="1:51" x14ac:dyDescent="0.35">
      <c r="A142" s="45">
        <v>45474</v>
      </c>
      <c r="B142" s="46">
        <v>0.5</v>
      </c>
      <c r="C142" s="2" t="s">
        <v>127</v>
      </c>
      <c r="D142" s="2">
        <v>0</v>
      </c>
      <c r="E142" s="2" t="s">
        <v>108</v>
      </c>
      <c r="F142" s="2">
        <v>2</v>
      </c>
      <c r="G142" s="2" t="s">
        <v>125</v>
      </c>
      <c r="H142" s="2" t="s">
        <v>126</v>
      </c>
      <c r="I142" s="2" t="s">
        <v>175</v>
      </c>
      <c r="J142" s="2">
        <v>34</v>
      </c>
      <c r="K142" s="47">
        <v>45499</v>
      </c>
      <c r="L142" s="46">
        <v>0.52494212962962961</v>
      </c>
      <c r="M142" s="2">
        <v>10</v>
      </c>
      <c r="N142" s="2" t="s">
        <v>176</v>
      </c>
      <c r="O142" s="2">
        <v>3.39</v>
      </c>
      <c r="P142" s="2">
        <v>0.17499999999999999</v>
      </c>
      <c r="Q142" s="2">
        <v>428</v>
      </c>
      <c r="R142" s="2" t="s">
        <v>177</v>
      </c>
      <c r="S142" s="48">
        <f t="shared" si="18"/>
        <v>4281.4900620000008</v>
      </c>
      <c r="T142" s="2" t="s">
        <v>191</v>
      </c>
      <c r="U142" s="48" t="s">
        <v>97</v>
      </c>
      <c r="V142" s="44" t="s">
        <v>97</v>
      </c>
      <c r="W142" s="44" t="s">
        <v>98</v>
      </c>
      <c r="X142" s="44" t="s">
        <v>97</v>
      </c>
      <c r="Y142" s="2" t="s">
        <v>178</v>
      </c>
      <c r="Z142" s="2"/>
      <c r="AA142" s="2"/>
      <c r="AB142" s="2"/>
      <c r="AC142" s="2"/>
      <c r="AD142" s="2"/>
      <c r="AE142" s="2"/>
      <c r="AF142" s="47">
        <v>45499</v>
      </c>
      <c r="AG142" s="2"/>
      <c r="AH142" s="2"/>
      <c r="AI142" s="2"/>
      <c r="AJ142" s="2"/>
      <c r="AK142" s="2">
        <f>0.822*3.39^2+151.75*3.39-95.73</f>
        <v>428.14900620000003</v>
      </c>
      <c r="AL142" s="2" t="str">
        <f t="shared" si="20"/>
        <v>FALSE</v>
      </c>
      <c r="AM142" s="2" t="str">
        <f t="shared" si="20"/>
        <v>FALSE</v>
      </c>
      <c r="AN142" s="2" t="str">
        <f t="shared" si="20"/>
        <v>FALSE</v>
      </c>
      <c r="AO142" s="2" t="str">
        <f t="shared" si="21"/>
        <v>FALSE</v>
      </c>
      <c r="AP142" s="2" t="str">
        <f t="shared" si="21"/>
        <v>y=0.822*3.39^2+151.75*3.39-95.73</v>
      </c>
      <c r="AQ142" s="2" t="b">
        <f>IF(AND(I142="TP",S142&lt;=150),VLOOKUP(AF142,[1]TPCalibEq150!$AZ$2:$BB$74,3,),IF(AND(I142="TDP",S142&lt;=150),VLOOKUP(AF142,[1]TPCalibEq150!$AZ$2:$BB$74,3,)))</f>
        <v>0</v>
      </c>
      <c r="AR142" s="2" t="b">
        <f>IF(AND(I142="TP",S142&lt;=300),VLOOKUP(AF142,[1]TPCalibEq300!$AZ$2:$BB$76,3,),IF(AND(I142="TDP",S142&lt;=300),VLOOKUP(AF142,[1]TPCalibEq300!$AZ$2:$BB$76,3,)))</f>
        <v>0</v>
      </c>
      <c r="AS142" s="2" t="b">
        <f>IF(AND(I142="TP",S142&lt;=500),VLOOKUP(AF142,[1]TPCalibEq500!$AZ$2:$BB$88,3,),IF(AND(I142="TDP",S142&lt;=500),VLOOKUP(AF142,[1]TPCalibEq500!$AZ$2:$BB$88,3,)))</f>
        <v>0</v>
      </c>
      <c r="AT142" s="2" t="b">
        <f>IF(AND(I142="TN",S142&lt;=2800),VLOOKUP(AF142,[1]TNCalibEq2500!$AZ$2:$BB$80,3,),IF(AND(I142="TDN",S142&lt;=2800),VLOOKUP(AF142,[1]TNCalibEq2500!$AZ$2:$BB$80,3,)))</f>
        <v>0</v>
      </c>
      <c r="AU142" s="2" t="str">
        <f>IF(I142="TP",VLOOKUP(AF142,[1]TPCalibEqFull!$AZ$2:$BB$164,3),IF(I142="TDP",VLOOKUP(AF142,[1]TPCalibEqFull!$AZ$2:$BB$164,3),IF(I142="TDN",VLOOKUP(AF142,[1]TNCalibEqFull!$AZ$2:$BB$116,3),IF(I142="TN",VLOOKUP(AF142,[1]TNCalibEqFull!$AZ$2:$BB$118,3),FALSE))))</f>
        <v>y=0.822x2+151.75x-95.73</v>
      </c>
      <c r="AV142" s="2" t="str">
        <f t="shared" si="19"/>
        <v>0701 12:00:00-T1BNF-0-C-2-SW-UKN</v>
      </c>
      <c r="AW142" s="2"/>
      <c r="AX142" s="2"/>
      <c r="AY142" s="2"/>
    </row>
    <row r="143" spans="1:51" x14ac:dyDescent="0.35">
      <c r="A143" s="45">
        <v>45485</v>
      </c>
      <c r="B143" s="46">
        <v>0.5</v>
      </c>
      <c r="C143" s="2" t="s">
        <v>128</v>
      </c>
      <c r="D143" s="2">
        <v>0</v>
      </c>
      <c r="E143" s="2" t="s">
        <v>108</v>
      </c>
      <c r="F143" s="2">
        <v>1</v>
      </c>
      <c r="G143" s="2" t="s">
        <v>125</v>
      </c>
      <c r="H143" s="2" t="s">
        <v>126</v>
      </c>
      <c r="I143" s="2" t="s">
        <v>175</v>
      </c>
      <c r="J143" s="2">
        <v>35</v>
      </c>
      <c r="K143" s="47">
        <v>45499</v>
      </c>
      <c r="L143" s="46">
        <v>0.52665509259259258</v>
      </c>
      <c r="M143" s="2">
        <v>10</v>
      </c>
      <c r="N143" s="2" t="s">
        <v>176</v>
      </c>
      <c r="O143" s="2">
        <v>5.78</v>
      </c>
      <c r="P143" s="2">
        <v>0.3</v>
      </c>
      <c r="Q143" s="2">
        <v>808</v>
      </c>
      <c r="R143" s="2" t="s">
        <v>177</v>
      </c>
      <c r="S143" s="48">
        <f t="shared" si="18"/>
        <v>8088.4670480000004</v>
      </c>
      <c r="T143" s="2" t="s">
        <v>191</v>
      </c>
      <c r="U143" s="48" t="s">
        <v>97</v>
      </c>
      <c r="V143" s="44" t="s">
        <v>97</v>
      </c>
      <c r="W143" s="44" t="s">
        <v>98</v>
      </c>
      <c r="X143" s="44" t="s">
        <v>97</v>
      </c>
      <c r="Y143" s="2" t="s">
        <v>178</v>
      </c>
      <c r="Z143" s="2"/>
      <c r="AA143" s="2"/>
      <c r="AB143" s="2"/>
      <c r="AC143" s="2"/>
      <c r="AD143" s="2"/>
      <c r="AE143" s="2"/>
      <c r="AF143" s="47">
        <v>45499</v>
      </c>
      <c r="AG143" s="2"/>
      <c r="AH143" s="2"/>
      <c r="AI143" s="2"/>
      <c r="AJ143" s="2"/>
      <c r="AK143" s="2">
        <f>0.822*5.78^2+151.75*5.78-95.73</f>
        <v>808.8467048</v>
      </c>
      <c r="AL143" s="2" t="str">
        <f t="shared" si="20"/>
        <v>FALSE</v>
      </c>
      <c r="AM143" s="2" t="str">
        <f t="shared" si="20"/>
        <v>FALSE</v>
      </c>
      <c r="AN143" s="2" t="str">
        <f t="shared" si="20"/>
        <v>FALSE</v>
      </c>
      <c r="AO143" s="2" t="str">
        <f t="shared" si="21"/>
        <v>FALSE</v>
      </c>
      <c r="AP143" s="2" t="str">
        <f t="shared" si="21"/>
        <v>y=0.822*5.78^2+151.75*5.78-95.73</v>
      </c>
      <c r="AQ143" s="2" t="b">
        <f>IF(AND(I143="TP",S143&lt;=150),VLOOKUP(AF143,[1]TPCalibEq150!$AZ$2:$BB$74,3,),IF(AND(I143="TDP",S143&lt;=150),VLOOKUP(AF143,[1]TPCalibEq150!$AZ$2:$BB$74,3,)))</f>
        <v>0</v>
      </c>
      <c r="AR143" s="2" t="b">
        <f>IF(AND(I143="TP",S143&lt;=300),VLOOKUP(AF143,[1]TPCalibEq300!$AZ$2:$BB$76,3,),IF(AND(I143="TDP",S143&lt;=300),VLOOKUP(AF143,[1]TPCalibEq300!$AZ$2:$BB$76,3,)))</f>
        <v>0</v>
      </c>
      <c r="AS143" s="2" t="b">
        <f>IF(AND(I143="TP",S143&lt;=500),VLOOKUP(AF143,[1]TPCalibEq500!$AZ$2:$BB$88,3,),IF(AND(I143="TDP",S143&lt;=500),VLOOKUP(AF143,[1]TPCalibEq500!$AZ$2:$BB$88,3,)))</f>
        <v>0</v>
      </c>
      <c r="AT143" s="2" t="b">
        <f>IF(AND(I143="TN",S143&lt;=2800),VLOOKUP(AF143,[1]TNCalibEq2500!$AZ$2:$BB$80,3,),IF(AND(I143="TDN",S143&lt;=2800),VLOOKUP(AF143,[1]TNCalibEq2500!$AZ$2:$BB$80,3,)))</f>
        <v>0</v>
      </c>
      <c r="AU143" s="2" t="str">
        <f>IF(I143="TP",VLOOKUP(AF143,[1]TPCalibEqFull!$AZ$2:$BB$164,3),IF(I143="TDP",VLOOKUP(AF143,[1]TPCalibEqFull!$AZ$2:$BB$164,3),IF(I143="TDN",VLOOKUP(AF143,[1]TNCalibEqFull!$AZ$2:$BB$116,3),IF(I143="TN",VLOOKUP(AF143,[1]TNCalibEqFull!$AZ$2:$BB$118,3),FALSE))))</f>
        <v>y=0.822x2+151.75x-95.73</v>
      </c>
      <c r="AV143" s="2" t="str">
        <f t="shared" si="19"/>
        <v>0712 12:00:00-C1ANF-0-C-1-SW-UKN</v>
      </c>
      <c r="AW143" s="2"/>
      <c r="AX143" s="2"/>
      <c r="AY143" s="2"/>
    </row>
    <row r="144" spans="1:51" x14ac:dyDescent="0.35">
      <c r="A144" s="45">
        <v>45485</v>
      </c>
      <c r="B144" s="46">
        <v>0.5</v>
      </c>
      <c r="C144" s="2" t="s">
        <v>129</v>
      </c>
      <c r="D144" s="2">
        <v>0</v>
      </c>
      <c r="E144" s="2" t="s">
        <v>108</v>
      </c>
      <c r="F144" s="2">
        <v>2</v>
      </c>
      <c r="G144" s="2" t="s">
        <v>125</v>
      </c>
      <c r="H144" s="2" t="s">
        <v>126</v>
      </c>
      <c r="I144" s="2" t="s">
        <v>175</v>
      </c>
      <c r="J144" s="2">
        <v>36</v>
      </c>
      <c r="K144" s="47">
        <v>45499</v>
      </c>
      <c r="L144" s="46">
        <v>0.52834490740740747</v>
      </c>
      <c r="M144" s="2">
        <v>10</v>
      </c>
      <c r="N144" s="2" t="s">
        <v>176</v>
      </c>
      <c r="O144" s="2">
        <v>5.84</v>
      </c>
      <c r="P144" s="2">
        <v>0.30099999999999999</v>
      </c>
      <c r="Q144" s="2">
        <v>817</v>
      </c>
      <c r="R144" s="2" t="s">
        <v>177</v>
      </c>
      <c r="S144" s="48">
        <f t="shared" si="18"/>
        <v>8185.2480319999995</v>
      </c>
      <c r="T144" s="2" t="s">
        <v>191</v>
      </c>
      <c r="U144" s="48" t="s">
        <v>97</v>
      </c>
      <c r="V144" s="44" t="s">
        <v>97</v>
      </c>
      <c r="W144" s="44" t="s">
        <v>98</v>
      </c>
      <c r="X144" s="44" t="s">
        <v>97</v>
      </c>
      <c r="Y144" s="2" t="s">
        <v>178</v>
      </c>
      <c r="Z144" s="2"/>
      <c r="AA144" s="2"/>
      <c r="AB144" s="2"/>
      <c r="AC144" s="2"/>
      <c r="AD144" s="2"/>
      <c r="AE144" s="2"/>
      <c r="AF144" s="47">
        <v>45499</v>
      </c>
      <c r="AG144" s="2"/>
      <c r="AH144" s="2"/>
      <c r="AI144" s="2"/>
      <c r="AJ144" s="2"/>
      <c r="AK144" s="2">
        <f>0.822*5.84^2+151.75*5.84-95.73</f>
        <v>818.52480319999995</v>
      </c>
      <c r="AL144" s="2" t="str">
        <f t="shared" si="20"/>
        <v>FALSE</v>
      </c>
      <c r="AM144" s="2" t="str">
        <f t="shared" si="20"/>
        <v>FALSE</v>
      </c>
      <c r="AN144" s="2" t="str">
        <f t="shared" si="20"/>
        <v>FALSE</v>
      </c>
      <c r="AO144" s="2" t="str">
        <f t="shared" si="21"/>
        <v>FALSE</v>
      </c>
      <c r="AP144" s="2" t="str">
        <f t="shared" si="21"/>
        <v>y=0.822*5.84^2+151.75*5.84-95.73</v>
      </c>
      <c r="AQ144" s="2" t="b">
        <f>IF(AND(I144="TP",S144&lt;=150),VLOOKUP(AF144,[1]TPCalibEq150!$AZ$2:$BB$74,3,),IF(AND(I144="TDP",S144&lt;=150),VLOOKUP(AF144,[1]TPCalibEq150!$AZ$2:$BB$74,3,)))</f>
        <v>0</v>
      </c>
      <c r="AR144" s="2" t="b">
        <f>IF(AND(I144="TP",S144&lt;=300),VLOOKUP(AF144,[1]TPCalibEq300!$AZ$2:$BB$76,3,),IF(AND(I144="TDP",S144&lt;=300),VLOOKUP(AF144,[1]TPCalibEq300!$AZ$2:$BB$76,3,)))</f>
        <v>0</v>
      </c>
      <c r="AS144" s="2" t="b">
        <f>IF(AND(I144="TP",S144&lt;=500),VLOOKUP(AF144,[1]TPCalibEq500!$AZ$2:$BB$88,3,),IF(AND(I144="TDP",S144&lt;=500),VLOOKUP(AF144,[1]TPCalibEq500!$AZ$2:$BB$88,3,)))</f>
        <v>0</v>
      </c>
      <c r="AT144" s="2" t="b">
        <f>IF(AND(I144="TN",S144&lt;=2800),VLOOKUP(AF144,[1]TNCalibEq2500!$AZ$2:$BB$80,3,),IF(AND(I144="TDN",S144&lt;=2800),VLOOKUP(AF144,[1]TNCalibEq2500!$AZ$2:$BB$80,3,)))</f>
        <v>0</v>
      </c>
      <c r="AU144" s="2" t="str">
        <f>IF(I144="TP",VLOOKUP(AF144,[1]TPCalibEqFull!$AZ$2:$BB$164,3),IF(I144="TDP",VLOOKUP(AF144,[1]TPCalibEqFull!$AZ$2:$BB$164,3),IF(I144="TDN",VLOOKUP(AF144,[1]TNCalibEqFull!$AZ$2:$BB$116,3),IF(I144="TN",VLOOKUP(AF144,[1]TNCalibEqFull!$AZ$2:$BB$118,3),FALSE))))</f>
        <v>y=0.822x2+151.75x-95.73</v>
      </c>
      <c r="AV144" s="2" t="str">
        <f t="shared" si="19"/>
        <v>0712 12:00:00-C1BNF-0-C-2-SW-UKN</v>
      </c>
      <c r="AW144" s="2"/>
      <c r="AX144" s="2"/>
      <c r="AY144" s="2"/>
    </row>
    <row r="145" spans="1:51" x14ac:dyDescent="0.35">
      <c r="A145" s="45">
        <v>45485</v>
      </c>
      <c r="B145" s="46">
        <v>0.5</v>
      </c>
      <c r="C145" s="2" t="s">
        <v>130</v>
      </c>
      <c r="D145" s="2">
        <v>0</v>
      </c>
      <c r="E145" s="2" t="s">
        <v>108</v>
      </c>
      <c r="F145" s="2">
        <v>1</v>
      </c>
      <c r="G145" s="2" t="s">
        <v>125</v>
      </c>
      <c r="H145" s="2" t="s">
        <v>126</v>
      </c>
      <c r="I145" s="2" t="s">
        <v>175</v>
      </c>
      <c r="J145" s="2">
        <v>37</v>
      </c>
      <c r="K145" s="47">
        <v>45499</v>
      </c>
      <c r="L145" s="46">
        <v>0.53005787037037033</v>
      </c>
      <c r="M145" s="2">
        <v>10</v>
      </c>
      <c r="N145" s="2" t="s">
        <v>176</v>
      </c>
      <c r="O145" s="2">
        <v>4.1900000000000004</v>
      </c>
      <c r="P145" s="2">
        <v>0.217</v>
      </c>
      <c r="Q145" s="2">
        <v>554</v>
      </c>
      <c r="R145" s="2" t="s">
        <v>177</v>
      </c>
      <c r="S145" s="48">
        <f t="shared" si="18"/>
        <v>5545.336142000001</v>
      </c>
      <c r="T145" s="2" t="s">
        <v>191</v>
      </c>
      <c r="U145" s="48" t="s">
        <v>97</v>
      </c>
      <c r="V145" s="44" t="s">
        <v>97</v>
      </c>
      <c r="W145" s="44" t="s">
        <v>98</v>
      </c>
      <c r="X145" s="44" t="s">
        <v>97</v>
      </c>
      <c r="Y145" s="2" t="s">
        <v>178</v>
      </c>
      <c r="Z145" s="2"/>
      <c r="AA145" s="2"/>
      <c r="AB145" s="2"/>
      <c r="AC145" s="2"/>
      <c r="AD145" s="2"/>
      <c r="AE145" s="2"/>
      <c r="AF145" s="47">
        <v>45499</v>
      </c>
      <c r="AG145" s="2"/>
      <c r="AH145" s="2"/>
      <c r="AI145" s="2"/>
      <c r="AJ145" s="2"/>
      <c r="AK145" s="2">
        <f>0.822*4.19^2+151.75*4.19-95.73</f>
        <v>554.5336142000001</v>
      </c>
      <c r="AL145" s="2" t="str">
        <f t="shared" si="20"/>
        <v>FALSE</v>
      </c>
      <c r="AM145" s="2" t="str">
        <f t="shared" si="20"/>
        <v>FALSE</v>
      </c>
      <c r="AN145" s="2" t="str">
        <f t="shared" si="20"/>
        <v>FALSE</v>
      </c>
      <c r="AO145" s="2" t="str">
        <f t="shared" si="21"/>
        <v>FALSE</v>
      </c>
      <c r="AP145" s="2" t="str">
        <f t="shared" si="21"/>
        <v>y=0.822*4.19^2+151.75*4.19-95.73</v>
      </c>
      <c r="AQ145" s="2" t="b">
        <f>IF(AND(I145="TP",S145&lt;=150),VLOOKUP(AF145,[1]TPCalibEq150!$AZ$2:$BB$74,3,),IF(AND(I145="TDP",S145&lt;=150),VLOOKUP(AF145,[1]TPCalibEq150!$AZ$2:$BB$74,3,)))</f>
        <v>0</v>
      </c>
      <c r="AR145" s="2" t="b">
        <f>IF(AND(I145="TP",S145&lt;=300),VLOOKUP(AF145,[1]TPCalibEq300!$AZ$2:$BB$76,3,),IF(AND(I145="TDP",S145&lt;=300),VLOOKUP(AF145,[1]TPCalibEq300!$AZ$2:$BB$76,3,)))</f>
        <v>0</v>
      </c>
      <c r="AS145" s="2" t="b">
        <f>IF(AND(I145="TP",S145&lt;=500),VLOOKUP(AF145,[1]TPCalibEq500!$AZ$2:$BB$88,3,),IF(AND(I145="TDP",S145&lt;=500),VLOOKUP(AF145,[1]TPCalibEq500!$AZ$2:$BB$88,3,)))</f>
        <v>0</v>
      </c>
      <c r="AT145" s="2" t="b">
        <f>IF(AND(I145="TN",S145&lt;=2800),VLOOKUP(AF145,[1]TNCalibEq2500!$AZ$2:$BB$80,3,),IF(AND(I145="TDN",S145&lt;=2800),VLOOKUP(AF145,[1]TNCalibEq2500!$AZ$2:$BB$80,3,)))</f>
        <v>0</v>
      </c>
      <c r="AU145" s="2" t="str">
        <f>IF(I145="TP",VLOOKUP(AF145,[1]TPCalibEqFull!$AZ$2:$BB$164,3),IF(I145="TDP",VLOOKUP(AF145,[1]TPCalibEqFull!$AZ$2:$BB$164,3),IF(I145="TDN",VLOOKUP(AF145,[1]TNCalibEqFull!$AZ$2:$BB$116,3),IF(I145="TN",VLOOKUP(AF145,[1]TNCalibEqFull!$AZ$2:$BB$118,3),FALSE))))</f>
        <v>y=0.822x2+151.75x-95.73</v>
      </c>
      <c r="AV145" s="2" t="str">
        <f t="shared" si="19"/>
        <v>0712 12:00:00-T2ANF-0-C-1-SW-UKN</v>
      </c>
      <c r="AW145" s="2"/>
      <c r="AX145" s="2"/>
      <c r="AY145" s="2"/>
    </row>
    <row r="146" spans="1:51" x14ac:dyDescent="0.35">
      <c r="A146" s="45">
        <v>45485</v>
      </c>
      <c r="B146" s="46">
        <v>0.5</v>
      </c>
      <c r="C146" s="2" t="s">
        <v>131</v>
      </c>
      <c r="D146" s="2">
        <v>0</v>
      </c>
      <c r="E146" s="2" t="s">
        <v>108</v>
      </c>
      <c r="F146" s="2">
        <v>2</v>
      </c>
      <c r="G146" s="2" t="s">
        <v>125</v>
      </c>
      <c r="H146" s="2" t="s">
        <v>126</v>
      </c>
      <c r="I146" s="2" t="s">
        <v>175</v>
      </c>
      <c r="J146" s="2">
        <v>38</v>
      </c>
      <c r="K146" s="47">
        <v>45499</v>
      </c>
      <c r="L146" s="46">
        <v>0.53184027777777776</v>
      </c>
      <c r="M146" s="2">
        <v>10</v>
      </c>
      <c r="N146" s="2" t="s">
        <v>176</v>
      </c>
      <c r="O146" s="2">
        <v>4.29</v>
      </c>
      <c r="P146" s="2">
        <v>0.223</v>
      </c>
      <c r="Q146" s="2">
        <v>569</v>
      </c>
      <c r="R146" s="2" t="s">
        <v>177</v>
      </c>
      <c r="S146" s="48">
        <f t="shared" si="18"/>
        <v>5704.0567019999999</v>
      </c>
      <c r="T146" s="2" t="s">
        <v>191</v>
      </c>
      <c r="U146" s="48" t="s">
        <v>97</v>
      </c>
      <c r="V146" s="44" t="s">
        <v>97</v>
      </c>
      <c r="W146" s="44" t="s">
        <v>98</v>
      </c>
      <c r="X146" s="44" t="s">
        <v>97</v>
      </c>
      <c r="Y146" s="2" t="s">
        <v>178</v>
      </c>
      <c r="Z146" s="2"/>
      <c r="AA146" s="2"/>
      <c r="AB146" s="2"/>
      <c r="AC146" s="2"/>
      <c r="AD146" s="2"/>
      <c r="AE146" s="2"/>
      <c r="AF146" s="47">
        <v>45499</v>
      </c>
      <c r="AG146" s="2"/>
      <c r="AH146" s="2"/>
      <c r="AI146" s="2"/>
      <c r="AJ146" s="2"/>
      <c r="AK146" s="2">
        <f>0.822*4.29^2+151.75*4.29-95.73</f>
        <v>570.40567020000003</v>
      </c>
      <c r="AL146" s="2" t="str">
        <f t="shared" si="20"/>
        <v>FALSE</v>
      </c>
      <c r="AM146" s="2" t="str">
        <f t="shared" si="20"/>
        <v>FALSE</v>
      </c>
      <c r="AN146" s="2" t="str">
        <f t="shared" si="20"/>
        <v>FALSE</v>
      </c>
      <c r="AO146" s="2" t="str">
        <f t="shared" si="21"/>
        <v>FALSE</v>
      </c>
      <c r="AP146" s="2" t="str">
        <f t="shared" si="21"/>
        <v>y=0.822*4.29^2+151.75*4.29-95.73</v>
      </c>
      <c r="AQ146" s="2" t="b">
        <f>IF(AND(I146="TP",S146&lt;=150),VLOOKUP(AF146,[1]TPCalibEq150!$AZ$2:$BB$74,3,),IF(AND(I146="TDP",S146&lt;=150),VLOOKUP(AF146,[1]TPCalibEq150!$AZ$2:$BB$74,3,)))</f>
        <v>0</v>
      </c>
      <c r="AR146" s="2" t="b">
        <f>IF(AND(I146="TP",S146&lt;=300),VLOOKUP(AF146,[1]TPCalibEq300!$AZ$2:$BB$76,3,),IF(AND(I146="TDP",S146&lt;=300),VLOOKUP(AF146,[1]TPCalibEq300!$AZ$2:$BB$76,3,)))</f>
        <v>0</v>
      </c>
      <c r="AS146" s="2" t="b">
        <f>IF(AND(I146="TP",S146&lt;=500),VLOOKUP(AF146,[1]TPCalibEq500!$AZ$2:$BB$88,3,),IF(AND(I146="TDP",S146&lt;=500),VLOOKUP(AF146,[1]TPCalibEq500!$AZ$2:$BB$88,3,)))</f>
        <v>0</v>
      </c>
      <c r="AT146" s="2" t="b">
        <f>IF(AND(I146="TN",S146&lt;=2800),VLOOKUP(AF146,[1]TNCalibEq2500!$AZ$2:$BB$80,3,),IF(AND(I146="TDN",S146&lt;=2800),VLOOKUP(AF146,[1]TNCalibEq2500!$AZ$2:$BB$80,3,)))</f>
        <v>0</v>
      </c>
      <c r="AU146" s="2" t="str">
        <f>IF(I146="TP",VLOOKUP(AF146,[1]TPCalibEqFull!$AZ$2:$BB$164,3),IF(I146="TDP",VLOOKUP(AF146,[1]TPCalibEqFull!$AZ$2:$BB$164,3),IF(I146="TDN",VLOOKUP(AF146,[1]TNCalibEqFull!$AZ$2:$BB$116,3),IF(I146="TN",VLOOKUP(AF146,[1]TNCalibEqFull!$AZ$2:$BB$118,3),FALSE))))</f>
        <v>y=0.822x2+151.75x-95.73</v>
      </c>
      <c r="AV146" s="2" t="str">
        <f t="shared" si="19"/>
        <v>0712 12:00:00-T2BNF-0-C-2-SW-UKN</v>
      </c>
      <c r="AW146" s="2"/>
      <c r="AX146" s="2"/>
      <c r="AY146" s="2"/>
    </row>
    <row r="147" spans="1:51" x14ac:dyDescent="0.35">
      <c r="A147" s="45">
        <v>45485</v>
      </c>
      <c r="B147" s="46">
        <v>0.5</v>
      </c>
      <c r="C147" s="2" t="s">
        <v>132</v>
      </c>
      <c r="D147" s="2">
        <v>0</v>
      </c>
      <c r="E147" s="2" t="s">
        <v>108</v>
      </c>
      <c r="F147" s="2">
        <v>1</v>
      </c>
      <c r="G147" s="2" t="s">
        <v>125</v>
      </c>
      <c r="H147" s="2" t="s">
        <v>126</v>
      </c>
      <c r="I147" s="2" t="s">
        <v>175</v>
      </c>
      <c r="J147" s="2">
        <v>39</v>
      </c>
      <c r="K147" s="47">
        <v>45499</v>
      </c>
      <c r="L147" s="46">
        <v>0.53354166666666669</v>
      </c>
      <c r="M147" s="2">
        <v>10</v>
      </c>
      <c r="N147" s="2" t="s">
        <v>176</v>
      </c>
      <c r="O147" s="2">
        <v>5.95</v>
      </c>
      <c r="P147" s="2">
        <v>0.31</v>
      </c>
      <c r="Q147" s="2">
        <v>836</v>
      </c>
      <c r="R147" s="2" t="s">
        <v>177</v>
      </c>
      <c r="S147" s="48">
        <f t="shared" si="18"/>
        <v>8362.8335499999994</v>
      </c>
      <c r="T147" s="2" t="s">
        <v>191</v>
      </c>
      <c r="U147" s="48" t="s">
        <v>97</v>
      </c>
      <c r="V147" s="44" t="s">
        <v>97</v>
      </c>
      <c r="W147" s="44" t="s">
        <v>98</v>
      </c>
      <c r="X147" s="44" t="s">
        <v>97</v>
      </c>
      <c r="Y147" s="2" t="s">
        <v>178</v>
      </c>
      <c r="Z147" s="2"/>
      <c r="AA147" s="2"/>
      <c r="AB147" s="2"/>
      <c r="AC147" s="2"/>
      <c r="AD147" s="2"/>
      <c r="AE147" s="2"/>
      <c r="AF147" s="47">
        <v>45499</v>
      </c>
      <c r="AG147" s="2"/>
      <c r="AH147" s="2"/>
      <c r="AI147" s="2"/>
      <c r="AJ147" s="2"/>
      <c r="AK147" s="2">
        <f>0.822*5.95^2+151.75*5.95-95.73</f>
        <v>836.28335500000003</v>
      </c>
      <c r="AL147" s="2" t="str">
        <f t="shared" si="20"/>
        <v>FALSE</v>
      </c>
      <c r="AM147" s="2" t="str">
        <f t="shared" si="20"/>
        <v>FALSE</v>
      </c>
      <c r="AN147" s="2" t="str">
        <f t="shared" si="20"/>
        <v>FALSE</v>
      </c>
      <c r="AO147" s="2" t="str">
        <f t="shared" si="21"/>
        <v>FALSE</v>
      </c>
      <c r="AP147" s="2" t="str">
        <f t="shared" si="21"/>
        <v>y=0.822*5.95^2+151.75*5.95-95.73</v>
      </c>
      <c r="AQ147" s="2" t="b">
        <f>IF(AND(I147="TP",S147&lt;=150),VLOOKUP(AF147,[1]TPCalibEq150!$AZ$2:$BB$74,3,),IF(AND(I147="TDP",S147&lt;=150),VLOOKUP(AF147,[1]TPCalibEq150!$AZ$2:$BB$74,3,)))</f>
        <v>0</v>
      </c>
      <c r="AR147" s="2" t="b">
        <f>IF(AND(I147="TP",S147&lt;=300),VLOOKUP(AF147,[1]TPCalibEq300!$AZ$2:$BB$76,3,),IF(AND(I147="TDP",S147&lt;=300),VLOOKUP(AF147,[1]TPCalibEq300!$AZ$2:$BB$76,3,)))</f>
        <v>0</v>
      </c>
      <c r="AS147" s="2" t="b">
        <f>IF(AND(I147="TP",S147&lt;=500),VLOOKUP(AF147,[1]TPCalibEq500!$AZ$2:$BB$88,3,),IF(AND(I147="TDP",S147&lt;=500),VLOOKUP(AF147,[1]TPCalibEq500!$AZ$2:$BB$88,3,)))</f>
        <v>0</v>
      </c>
      <c r="AT147" s="2" t="b">
        <f>IF(AND(I147="TN",S147&lt;=2800),VLOOKUP(AF147,[1]TNCalibEq2500!$AZ$2:$BB$80,3,),IF(AND(I147="TDN",S147&lt;=2800),VLOOKUP(AF147,[1]TNCalibEq2500!$AZ$2:$BB$80,3,)))</f>
        <v>0</v>
      </c>
      <c r="AU147" s="2" t="str">
        <f>IF(I147="TP",VLOOKUP(AF147,[1]TPCalibEqFull!$AZ$2:$BB$164,3),IF(I147="TDP",VLOOKUP(AF147,[1]TPCalibEqFull!$AZ$2:$BB$164,3),IF(I147="TDN",VLOOKUP(AF147,[1]TNCalibEqFull!$AZ$2:$BB$116,3),IF(I147="TN",VLOOKUP(AF147,[1]TNCalibEqFull!$AZ$2:$BB$118,3),FALSE))))</f>
        <v>y=0.822x2+151.75x-95.73</v>
      </c>
      <c r="AV147" s="2" t="str">
        <f t="shared" si="19"/>
        <v>0712 12:00:00-C2ANF-0-C-1-SW-UKN</v>
      </c>
      <c r="AW147" s="2"/>
      <c r="AX147" s="2"/>
      <c r="AY147" s="2"/>
    </row>
    <row r="148" spans="1:51" x14ac:dyDescent="0.35">
      <c r="A148" s="45">
        <v>45485</v>
      </c>
      <c r="B148" s="46">
        <v>0.5</v>
      </c>
      <c r="C148" s="2" t="s">
        <v>133</v>
      </c>
      <c r="D148" s="2">
        <v>0</v>
      </c>
      <c r="E148" s="2" t="s">
        <v>108</v>
      </c>
      <c r="F148" s="2">
        <v>2</v>
      </c>
      <c r="G148" s="2" t="s">
        <v>125</v>
      </c>
      <c r="H148" s="2" t="s">
        <v>126</v>
      </c>
      <c r="I148" s="2" t="s">
        <v>175</v>
      </c>
      <c r="J148" s="2">
        <v>40</v>
      </c>
      <c r="K148" s="47">
        <v>45499</v>
      </c>
      <c r="L148" s="46">
        <v>0.53523148148148147</v>
      </c>
      <c r="M148" s="2">
        <v>10</v>
      </c>
      <c r="N148" s="2" t="s">
        <v>176</v>
      </c>
      <c r="O148" s="2">
        <v>6.25</v>
      </c>
      <c r="P148" s="2">
        <v>0.32400000000000001</v>
      </c>
      <c r="Q148" s="2">
        <v>883</v>
      </c>
      <c r="R148" s="2" t="s">
        <v>177</v>
      </c>
      <c r="S148" s="48">
        <f t="shared" si="18"/>
        <v>8848.1687500000007</v>
      </c>
      <c r="T148" s="2" t="s">
        <v>191</v>
      </c>
      <c r="U148" s="48" t="s">
        <v>97</v>
      </c>
      <c r="V148" s="44" t="s">
        <v>97</v>
      </c>
      <c r="W148" s="44" t="s">
        <v>98</v>
      </c>
      <c r="X148" s="44" t="s">
        <v>97</v>
      </c>
      <c r="Y148" s="2" t="s">
        <v>178</v>
      </c>
      <c r="Z148" s="2"/>
      <c r="AA148" s="2"/>
      <c r="AB148" s="2"/>
      <c r="AC148" s="2"/>
      <c r="AD148" s="2"/>
      <c r="AE148" s="2"/>
      <c r="AF148" s="47">
        <v>45499</v>
      </c>
      <c r="AG148" s="2"/>
      <c r="AH148" s="2"/>
      <c r="AI148" s="2"/>
      <c r="AJ148" s="2"/>
      <c r="AK148" s="2">
        <f>0.822*6.25^2+151.75*6.25-95.73</f>
        <v>884.81687499999998</v>
      </c>
      <c r="AL148" s="2" t="str">
        <f t="shared" si="20"/>
        <v>FALSE</v>
      </c>
      <c r="AM148" s="2" t="str">
        <f t="shared" si="20"/>
        <v>FALSE</v>
      </c>
      <c r="AN148" s="2" t="str">
        <f t="shared" si="20"/>
        <v>FALSE</v>
      </c>
      <c r="AO148" s="2" t="str">
        <f t="shared" si="21"/>
        <v>FALSE</v>
      </c>
      <c r="AP148" s="2" t="str">
        <f t="shared" si="21"/>
        <v>y=0.822*6.25^2+151.75*6.25-95.73</v>
      </c>
      <c r="AQ148" s="2" t="b">
        <f>IF(AND(I148="TP",S148&lt;=150),VLOOKUP(AF148,[1]TPCalibEq150!$AZ$2:$BB$74,3,),IF(AND(I148="TDP",S148&lt;=150),VLOOKUP(AF148,[1]TPCalibEq150!$AZ$2:$BB$74,3,)))</f>
        <v>0</v>
      </c>
      <c r="AR148" s="2" t="b">
        <f>IF(AND(I148="TP",S148&lt;=300),VLOOKUP(AF148,[1]TPCalibEq300!$AZ$2:$BB$76,3,),IF(AND(I148="TDP",S148&lt;=300),VLOOKUP(AF148,[1]TPCalibEq300!$AZ$2:$BB$76,3,)))</f>
        <v>0</v>
      </c>
      <c r="AS148" s="2" t="b">
        <f>IF(AND(I148="TP",S148&lt;=500),VLOOKUP(AF148,[1]TPCalibEq500!$AZ$2:$BB$88,3,),IF(AND(I148="TDP",S148&lt;=500),VLOOKUP(AF148,[1]TPCalibEq500!$AZ$2:$BB$88,3,)))</f>
        <v>0</v>
      </c>
      <c r="AT148" s="2" t="b">
        <f>IF(AND(I148="TN",S148&lt;=2800),VLOOKUP(AF148,[1]TNCalibEq2500!$AZ$2:$BB$80,3,),IF(AND(I148="TDN",S148&lt;=2800),VLOOKUP(AF148,[1]TNCalibEq2500!$AZ$2:$BB$80,3,)))</f>
        <v>0</v>
      </c>
      <c r="AU148" s="2" t="str">
        <f>IF(I148="TP",VLOOKUP(AF148,[1]TPCalibEqFull!$AZ$2:$BB$164,3),IF(I148="TDP",VLOOKUP(AF148,[1]TPCalibEqFull!$AZ$2:$BB$164,3),IF(I148="TDN",VLOOKUP(AF148,[1]TNCalibEqFull!$AZ$2:$BB$116,3),IF(I148="TN",VLOOKUP(AF148,[1]TNCalibEqFull!$AZ$2:$BB$118,3),FALSE))))</f>
        <v>y=0.822x2+151.75x-95.73</v>
      </c>
      <c r="AV148" s="2" t="str">
        <f t="shared" si="19"/>
        <v>0712 12:00:00-C2BNF-0-C-2-SW-UKN</v>
      </c>
      <c r="AW148" s="2"/>
      <c r="AX148" s="2"/>
      <c r="AY148" s="2"/>
    </row>
    <row r="149" spans="1:51" x14ac:dyDescent="0.35">
      <c r="A149" s="45">
        <v>45485</v>
      </c>
      <c r="B149" s="46">
        <v>0.5</v>
      </c>
      <c r="C149" s="2" t="s">
        <v>133</v>
      </c>
      <c r="D149" s="2">
        <v>0</v>
      </c>
      <c r="E149" s="2" t="s">
        <v>108</v>
      </c>
      <c r="F149" s="2">
        <v>2</v>
      </c>
      <c r="G149" s="2" t="s">
        <v>125</v>
      </c>
      <c r="H149" s="2" t="s">
        <v>117</v>
      </c>
      <c r="I149" s="2" t="s">
        <v>175</v>
      </c>
      <c r="J149" s="2">
        <v>84</v>
      </c>
      <c r="K149" s="47">
        <v>45499</v>
      </c>
      <c r="L149" s="46">
        <v>0.58815972222222224</v>
      </c>
      <c r="M149" s="2">
        <v>10</v>
      </c>
      <c r="N149" s="2" t="s">
        <v>176</v>
      </c>
      <c r="O149" s="2">
        <v>7.14</v>
      </c>
      <c r="P149" s="2">
        <v>0.373</v>
      </c>
      <c r="Q149" s="2">
        <v>1030</v>
      </c>
      <c r="R149" s="2" t="s">
        <v>177</v>
      </c>
      <c r="S149" s="48">
        <f t="shared" si="18"/>
        <v>10300</v>
      </c>
      <c r="T149" s="2" t="s">
        <v>191</v>
      </c>
      <c r="U149" s="48">
        <v>58.073249999999973</v>
      </c>
      <c r="V149" s="44">
        <v>2500</v>
      </c>
      <c r="W149" s="44" t="s">
        <v>147</v>
      </c>
      <c r="X149" s="44" t="s">
        <v>118</v>
      </c>
      <c r="Y149" s="2" t="s">
        <v>178</v>
      </c>
      <c r="Z149" s="2"/>
      <c r="AA149" s="2"/>
      <c r="AB149" s="2"/>
      <c r="AC149" s="2"/>
      <c r="AD149" s="2"/>
      <c r="AE149" s="2"/>
      <c r="AF149" s="47">
        <v>45499</v>
      </c>
      <c r="AG149" s="2"/>
      <c r="AH149" s="2"/>
      <c r="AI149" s="2"/>
      <c r="AJ149" s="2"/>
      <c r="AK149" s="2">
        <f>0.822*7.14^2+151.75*7.14-95.73</f>
        <v>1029.6702311999998</v>
      </c>
      <c r="AL149" s="2" t="str">
        <f t="shared" si="20"/>
        <v>FALSE</v>
      </c>
      <c r="AM149" s="2" t="str">
        <f t="shared" si="20"/>
        <v>FALSE</v>
      </c>
      <c r="AN149" s="2" t="str">
        <f t="shared" si="20"/>
        <v>FALSE</v>
      </c>
      <c r="AO149" s="2" t="str">
        <f t="shared" si="21"/>
        <v>FALSE</v>
      </c>
      <c r="AP149" s="2" t="str">
        <f t="shared" si="21"/>
        <v>y=0.822*7.14^2+151.75*7.14-95.73</v>
      </c>
      <c r="AQ149" s="2" t="b">
        <f>IF(AND(I149="TP",S149&lt;=150),VLOOKUP(AF149,[1]TPCalibEq150!$AZ$2:$BB$74,3,),IF(AND(I149="TDP",S149&lt;=150),VLOOKUP(AF149,[1]TPCalibEq150!$AZ$2:$BB$74,3,)))</f>
        <v>0</v>
      </c>
      <c r="AR149" s="2" t="b">
        <f>IF(AND(I149="TP",S149&lt;=300),VLOOKUP(AF149,[1]TPCalibEq300!$AZ$2:$BB$76,3,),IF(AND(I149="TDP",S149&lt;=300),VLOOKUP(AF149,[1]TPCalibEq300!$AZ$2:$BB$76,3,)))</f>
        <v>0</v>
      </c>
      <c r="AS149" s="2" t="b">
        <f>IF(AND(I149="TP",S149&lt;=500),VLOOKUP(AF149,[1]TPCalibEq500!$AZ$2:$BB$88,3,),IF(AND(I149="TDP",S149&lt;=500),VLOOKUP(AF149,[1]TPCalibEq500!$AZ$2:$BB$88,3,)))</f>
        <v>0</v>
      </c>
      <c r="AT149" s="2" t="b">
        <f>IF(AND(I149="TN",S149&lt;=2800),VLOOKUP(AF149,[1]TNCalibEq2500!$AZ$2:$BB$80,3,),IF(AND(I149="TDN",S149&lt;=2800),VLOOKUP(AF149,[1]TNCalibEq2500!$AZ$2:$BB$80,3,)))</f>
        <v>0</v>
      </c>
      <c r="AU149" s="2" t="str">
        <f>IF(I149="TP",VLOOKUP(AF149,[1]TPCalibEqFull!$AZ$2:$BB$164,3),IF(I149="TDP",VLOOKUP(AF149,[1]TPCalibEqFull!$AZ$2:$BB$164,3),IF(I149="TDN",VLOOKUP(AF149,[1]TNCalibEqFull!$AZ$2:$BB$116,3),IF(I149="TN",VLOOKUP(AF149,[1]TNCalibEqFull!$AZ$2:$BB$118,3),FALSE))))</f>
        <v>y=0.822x2+151.75x-95.73</v>
      </c>
      <c r="AV149" s="2" t="str">
        <f t="shared" si="19"/>
        <v>0712 12:00:00-C2BNF-0-C-2-SW-SPK</v>
      </c>
      <c r="AW149" s="2"/>
      <c r="AX149" s="2"/>
      <c r="AY149" s="2"/>
    </row>
    <row r="150" spans="1:51" x14ac:dyDescent="0.35">
      <c r="A150" s="45">
        <v>45497</v>
      </c>
      <c r="B150" s="46">
        <v>0.375</v>
      </c>
      <c r="C150" s="2" t="s">
        <v>88</v>
      </c>
      <c r="D150" s="2" t="s">
        <v>89</v>
      </c>
      <c r="E150" s="2" t="s">
        <v>106</v>
      </c>
      <c r="F150" s="2">
        <v>1</v>
      </c>
      <c r="G150" s="2" t="s">
        <v>91</v>
      </c>
      <c r="H150" s="2" t="s">
        <v>122</v>
      </c>
      <c r="I150" s="2" t="s">
        <v>175</v>
      </c>
      <c r="J150" s="2">
        <v>201</v>
      </c>
      <c r="K150" s="47">
        <v>45499</v>
      </c>
      <c r="L150" s="46">
        <v>0.49185185185185182</v>
      </c>
      <c r="M150" s="2">
        <v>1</v>
      </c>
      <c r="N150" s="2" t="s">
        <v>176</v>
      </c>
      <c r="O150" s="2">
        <v>7.13</v>
      </c>
      <c r="P150" s="2">
        <v>0.371</v>
      </c>
      <c r="Q150" s="2">
        <v>1030</v>
      </c>
      <c r="R150" s="2" t="s">
        <v>177</v>
      </c>
      <c r="S150" s="48">
        <f t="shared" si="18"/>
        <v>1087.2077212699999</v>
      </c>
      <c r="T150" s="2" t="s">
        <v>191</v>
      </c>
      <c r="U150" s="48">
        <v>86.976617701599992</v>
      </c>
      <c r="V150" s="44">
        <v>1250</v>
      </c>
      <c r="W150" s="44" t="s">
        <v>98</v>
      </c>
      <c r="X150" s="44" t="s">
        <v>123</v>
      </c>
      <c r="Y150" s="2" t="s">
        <v>178</v>
      </c>
      <c r="Z150" s="2"/>
      <c r="AA150" s="2"/>
      <c r="AB150" s="2"/>
      <c r="AC150" s="2"/>
      <c r="AD150" s="2"/>
      <c r="AE150" s="2"/>
      <c r="AF150" s="47">
        <v>45499</v>
      </c>
      <c r="AG150" s="2"/>
      <c r="AH150" s="2"/>
      <c r="AI150" s="2"/>
      <c r="AJ150" s="2">
        <f>-1.2417*7.13^2+180.63*7.13-137.56</f>
        <v>1087.2077212699999</v>
      </c>
      <c r="AK150" s="2">
        <f>0.822*7.13^2+151.75*7.13-95.73</f>
        <v>1028.0354318</v>
      </c>
      <c r="AL150" s="2" t="str">
        <f t="shared" ref="AL150:AN171" si="22">IF($O150="", "", IF(AQ150&lt;&gt;"", SUBSTITUTE(SUBSTITUTE(AQ150, "x", "*"&amp;$O150&amp;"^", 1), "x", "*"&amp;$O150, 1), ""))</f>
        <v>FALSE</v>
      </c>
      <c r="AM150" s="2" t="str">
        <f t="shared" si="22"/>
        <v>FALSE</v>
      </c>
      <c r="AN150" s="2" t="str">
        <f t="shared" si="22"/>
        <v>FALSE</v>
      </c>
      <c r="AO150" s="2" t="str">
        <f t="shared" ref="AO150:AP171" si="23">IF($O150="", "FALSE", IF(AT150&lt;&gt;"FALSE", SUBSTITUTE(SUBSTITUTE(AT150, "x", "*"&amp;$O150&amp;"^", 1), "x", "*"&amp;$O150, 1), ""))</f>
        <v>y=-1.2417*7.13^2+180.63*7.13-137.56</v>
      </c>
      <c r="AP150" s="2" t="str">
        <f t="shared" si="23"/>
        <v>y=0.822*7.13^2+151.75*7.13-95.73</v>
      </c>
      <c r="AQ150" s="2" t="b">
        <f>IF(AND(I150="TP",S150&lt;=150),VLOOKUP(AF150,[1]TPCalibEq150!$AZ$2:$BB$74,3,),IF(AND(I150="TDP",S150&lt;=150),VLOOKUP(AF150,[1]TPCalibEq150!$AZ$2:$BB$74,3,)))</f>
        <v>0</v>
      </c>
      <c r="AR150" s="2" t="b">
        <f>IF(AND(I150="TP",S150&lt;=300),VLOOKUP(AF150,[1]TPCalibEq300!$AZ$2:$BB$76,3,),IF(AND(I150="TDP",S150&lt;=300),VLOOKUP(AF150,[1]TPCalibEq300!$AZ$2:$BB$76,3,)))</f>
        <v>0</v>
      </c>
      <c r="AS150" s="2" t="b">
        <f>IF(AND(I150="TP",S150&lt;=500),VLOOKUP(AF150,[1]TPCalibEq500!$AZ$2:$BB$88,3,),IF(AND(I150="TDP",S150&lt;=500),VLOOKUP(AF150,[1]TPCalibEq500!$AZ$2:$BB$88,3,)))</f>
        <v>0</v>
      </c>
      <c r="AT150" s="2" t="str">
        <f>IF(AND(I150="TN",S150&lt;=2800),VLOOKUP(AF150,[1]TNCalibEq2500!$AZ$2:$BB$80,3,),IF(AND(I150="TDN",S150&lt;=2800),VLOOKUP(AF150,[1]TNCalibEq2500!$AZ$2:$BB$80,3,)))</f>
        <v>y=-1.2417x2+180.63x-137.56</v>
      </c>
      <c r="AU150" s="2" t="str">
        <f>IF(I150="TP",VLOOKUP(AF150,[1]TPCalibEqFull!$AZ$2:$BB$164,3),IF(I150="TDP",VLOOKUP(AF150,[1]TPCalibEqFull!$AZ$2:$BB$164,3),IF(I150="TDN",VLOOKUP(AF150,[1]TNCalibEqFull!$AZ$2:$BB$116,3),IF(I150="TN",VLOOKUP(AF150,[1]TNCalibEqFull!$AZ$2:$BB$118,3),FALSE))))</f>
        <v>y=0.822x2+151.75x-95.73</v>
      </c>
      <c r="AV150" s="2" t="str">
        <f t="shared" si="19"/>
        <v>0724 09:00:00-QAC-STD-D-1-DI-CHK</v>
      </c>
      <c r="AW150" s="2"/>
      <c r="AX150" s="2"/>
      <c r="AY150" s="2"/>
    </row>
    <row r="151" spans="1:51" x14ac:dyDescent="0.35">
      <c r="A151" s="45">
        <v>45497</v>
      </c>
      <c r="B151" s="46">
        <v>0.375</v>
      </c>
      <c r="C151" s="2" t="s">
        <v>88</v>
      </c>
      <c r="D151" s="2" t="s">
        <v>89</v>
      </c>
      <c r="E151" s="2" t="s">
        <v>106</v>
      </c>
      <c r="F151" s="2">
        <v>1</v>
      </c>
      <c r="G151" s="2" t="s">
        <v>91</v>
      </c>
      <c r="H151" s="2" t="s">
        <v>122</v>
      </c>
      <c r="I151" s="2" t="s">
        <v>175</v>
      </c>
      <c r="J151" s="2">
        <v>202</v>
      </c>
      <c r="K151" s="47">
        <v>45499</v>
      </c>
      <c r="L151" s="46">
        <v>0.52025462962962965</v>
      </c>
      <c r="M151" s="2">
        <v>1</v>
      </c>
      <c r="N151" s="2" t="s">
        <v>176</v>
      </c>
      <c r="O151" s="2">
        <v>7.88</v>
      </c>
      <c r="P151" s="2">
        <v>0.40899999999999997</v>
      </c>
      <c r="Q151" s="2">
        <v>1150</v>
      </c>
      <c r="R151" s="2" t="s">
        <v>177</v>
      </c>
      <c r="S151" s="48">
        <f t="shared" si="18"/>
        <v>1208.7017835199999</v>
      </c>
      <c r="T151" s="2" t="s">
        <v>191</v>
      </c>
      <c r="U151" s="48">
        <v>96.696142681599994</v>
      </c>
      <c r="V151" s="44">
        <v>1250</v>
      </c>
      <c r="W151" s="44" t="s">
        <v>98</v>
      </c>
      <c r="X151" s="44" t="s">
        <v>123</v>
      </c>
      <c r="Y151" s="2" t="s">
        <v>178</v>
      </c>
      <c r="Z151" s="2"/>
      <c r="AA151" s="2"/>
      <c r="AB151" s="2"/>
      <c r="AC151" s="2"/>
      <c r="AD151" s="2"/>
      <c r="AE151" s="2"/>
      <c r="AF151" s="47">
        <v>45499</v>
      </c>
      <c r="AG151" s="2"/>
      <c r="AH151" s="2"/>
      <c r="AI151" s="2"/>
      <c r="AJ151" s="2">
        <f>-1.2417*7.88^2+180.63*7.88-137.56</f>
        <v>1208.7017835199999</v>
      </c>
      <c r="AK151" s="2">
        <f>0.822*7.88^2+151.75*7.88-95.73</f>
        <v>1151.1015967999999</v>
      </c>
      <c r="AL151" s="2" t="str">
        <f t="shared" si="22"/>
        <v>FALSE</v>
      </c>
      <c r="AM151" s="2" t="str">
        <f t="shared" si="22"/>
        <v>FALSE</v>
      </c>
      <c r="AN151" s="2" t="str">
        <f t="shared" si="22"/>
        <v>FALSE</v>
      </c>
      <c r="AO151" s="2" t="str">
        <f t="shared" si="23"/>
        <v>y=-1.2417*7.88^2+180.63*7.88-137.56</v>
      </c>
      <c r="AP151" s="2" t="str">
        <f t="shared" si="23"/>
        <v>y=0.822*7.88^2+151.75*7.88-95.73</v>
      </c>
      <c r="AQ151" s="2" t="b">
        <f>IF(AND(I151="TP",S151&lt;=150),VLOOKUP(AF151,[1]TPCalibEq150!$AZ$2:$BB$74,3,),IF(AND(I151="TDP",S151&lt;=150),VLOOKUP(AF151,[1]TPCalibEq150!$AZ$2:$BB$74,3,)))</f>
        <v>0</v>
      </c>
      <c r="AR151" s="2" t="b">
        <f>IF(AND(I151="TP",S151&lt;=300),VLOOKUP(AF151,[1]TPCalibEq300!$AZ$2:$BB$76,3,),IF(AND(I151="TDP",S151&lt;=300),VLOOKUP(AF151,[1]TPCalibEq300!$AZ$2:$BB$76,3,)))</f>
        <v>0</v>
      </c>
      <c r="AS151" s="2" t="b">
        <f>IF(AND(I151="TP",S151&lt;=500),VLOOKUP(AF151,[1]TPCalibEq500!$AZ$2:$BB$88,3,),IF(AND(I151="TDP",S151&lt;=500),VLOOKUP(AF151,[1]TPCalibEq500!$AZ$2:$BB$88,3,)))</f>
        <v>0</v>
      </c>
      <c r="AT151" s="2" t="str">
        <f>IF(AND(I151="TN",S151&lt;=2800),VLOOKUP(AF151,[1]TNCalibEq2500!$AZ$2:$BB$80,3,),IF(AND(I151="TDN",S151&lt;=2800),VLOOKUP(AF151,[1]TNCalibEq2500!$AZ$2:$BB$80,3,)))</f>
        <v>y=-1.2417x2+180.63x-137.56</v>
      </c>
      <c r="AU151" s="2" t="str">
        <f>IF(I151="TP",VLOOKUP(AF151,[1]TPCalibEqFull!$AZ$2:$BB$164,3),IF(I151="TDP",VLOOKUP(AF151,[1]TPCalibEqFull!$AZ$2:$BB$164,3),IF(I151="TDN",VLOOKUP(AF151,[1]TNCalibEqFull!$AZ$2:$BB$116,3),IF(I151="TN",VLOOKUP(AF151,[1]TNCalibEqFull!$AZ$2:$BB$118,3),FALSE))))</f>
        <v>y=0.822x2+151.75x-95.73</v>
      </c>
      <c r="AV151" s="2" t="str">
        <f t="shared" si="19"/>
        <v>0724 09:00:00-QAC-STD-D-1-DI-CHK</v>
      </c>
      <c r="AW151" s="2"/>
      <c r="AX151" s="2"/>
      <c r="AY151" s="2"/>
    </row>
    <row r="152" spans="1:51" x14ac:dyDescent="0.35">
      <c r="A152" s="45">
        <v>45485</v>
      </c>
      <c r="B152" s="46">
        <v>0.5</v>
      </c>
      <c r="C152" s="2" t="s">
        <v>136</v>
      </c>
      <c r="D152" s="2">
        <v>0</v>
      </c>
      <c r="E152" s="2" t="s">
        <v>137</v>
      </c>
      <c r="F152" s="2">
        <v>1</v>
      </c>
      <c r="G152" s="2" t="s">
        <v>125</v>
      </c>
      <c r="H152" s="2" t="s">
        <v>126</v>
      </c>
      <c r="I152" s="2" t="s">
        <v>197</v>
      </c>
      <c r="J152" s="2">
        <v>73</v>
      </c>
      <c r="K152" s="47">
        <v>45499</v>
      </c>
      <c r="L152" s="46">
        <v>0.53594907407407411</v>
      </c>
      <c r="M152" s="2">
        <v>1</v>
      </c>
      <c r="N152" s="2" t="s">
        <v>176</v>
      </c>
      <c r="O152" s="2">
        <v>3.04</v>
      </c>
      <c r="P152" s="2">
        <v>0.156</v>
      </c>
      <c r="Q152" s="2">
        <v>373</v>
      </c>
      <c r="R152" s="2" t="s">
        <v>177</v>
      </c>
      <c r="S152" s="48">
        <f t="shared" si="18"/>
        <v>400.07990527999999</v>
      </c>
      <c r="T152" s="2" t="s">
        <v>191</v>
      </c>
      <c r="U152" s="48" t="s">
        <v>97</v>
      </c>
      <c r="V152" s="44" t="s">
        <v>97</v>
      </c>
      <c r="W152" s="44" t="s">
        <v>98</v>
      </c>
      <c r="X152" s="44" t="s">
        <v>97</v>
      </c>
      <c r="Y152" s="2" t="s">
        <v>178</v>
      </c>
      <c r="Z152" s="2"/>
      <c r="AA152" s="2"/>
      <c r="AB152" s="2"/>
      <c r="AC152" s="2"/>
      <c r="AD152" s="2"/>
      <c r="AE152" s="2"/>
      <c r="AF152" s="47">
        <v>45499</v>
      </c>
      <c r="AG152" s="2"/>
      <c r="AH152" s="2"/>
      <c r="AI152" s="2"/>
      <c r="AJ152" s="2">
        <f>-1.2417*3.04^2+180.63*3.04-137.56</f>
        <v>400.07990527999999</v>
      </c>
      <c r="AK152" s="2">
        <f>0.822*3.04^2+151.75*3.04-95.73</f>
        <v>373.1865952</v>
      </c>
      <c r="AL152" s="2" t="str">
        <f t="shared" si="22"/>
        <v>FALSE</v>
      </c>
      <c r="AM152" s="2" t="str">
        <f t="shared" si="22"/>
        <v>FALSE</v>
      </c>
      <c r="AN152" s="2" t="str">
        <f t="shared" si="22"/>
        <v>FALSE</v>
      </c>
      <c r="AO152" s="2" t="str">
        <f t="shared" si="23"/>
        <v>y=-1.2417*3.04^2+180.63*3.04-137.56</v>
      </c>
      <c r="AP152" s="2" t="str">
        <f t="shared" si="23"/>
        <v>y=0.822*3.04^2+151.75*3.04-95.73</v>
      </c>
      <c r="AQ152" s="2" t="b">
        <f>IF(AND(I152="TP",S152&lt;=150),VLOOKUP(AF152,[1]TPCalibEq150!$AZ$2:$BB$74,3,),IF(AND(I152="TDP",S152&lt;=150),VLOOKUP(AF152,[1]TPCalibEq150!$AZ$2:$BB$74,3,)))</f>
        <v>0</v>
      </c>
      <c r="AR152" s="2" t="b">
        <f>IF(AND(I152="TP",S152&lt;=300),VLOOKUP(AF152,[1]TPCalibEq300!$AZ$2:$BB$76,3,),IF(AND(I152="TDP",S152&lt;=300),VLOOKUP(AF152,[1]TPCalibEq300!$AZ$2:$BB$76,3,)))</f>
        <v>0</v>
      </c>
      <c r="AS152" s="2" t="b">
        <f>IF(AND(I152="TP",S152&lt;=500),VLOOKUP(AF152,[1]TPCalibEq500!$AZ$2:$BB$88,3,),IF(AND(I152="TDP",S152&lt;=500),VLOOKUP(AF152,[1]TPCalibEq500!$AZ$2:$BB$88,3,)))</f>
        <v>0</v>
      </c>
      <c r="AT152" s="2" t="str">
        <f>IF(AND(I152="TN",S152&lt;=2800),VLOOKUP(AF152,[1]TNCalibEq2500!$AZ$2:$BB$80,3,),IF(AND(I152="TDN",S152&lt;=2800),VLOOKUP(AF152,[1]TNCalibEq2500!$AZ$2:$BB$80,3,)))</f>
        <v>y=-1.2417x2+180.63x-137.56</v>
      </c>
      <c r="AU152" s="2" t="str">
        <f>IF(I152="TP",VLOOKUP(AF152,[1]TPCalibEqFull!$AZ$2:$BB$164,3),IF(I152="TDP",VLOOKUP(AF152,[1]TPCalibEqFull!$AZ$2:$BB$164,3),IF(I152="TDN",VLOOKUP(AF152,[1]TNCalibEqFull!$AZ$2:$BB$116,3),IF(I152="TN",VLOOKUP(AF152,[1]TNCalibEqFull!$AZ$2:$BB$118,3),FALSE))))</f>
        <v>y=0.822x2+151.75x-95.73</v>
      </c>
      <c r="AV152" s="2" t="str">
        <f t="shared" si="19"/>
        <v>0712 12:00:00-T1AF-0-FIL-1-SW-UKN</v>
      </c>
      <c r="AW152" s="2"/>
      <c r="AX152" s="2"/>
      <c r="AY152" s="2"/>
    </row>
    <row r="153" spans="1:51" x14ac:dyDescent="0.35">
      <c r="A153" s="45">
        <v>45474</v>
      </c>
      <c r="B153" s="46">
        <v>0.5</v>
      </c>
      <c r="C153" s="2" t="s">
        <v>139</v>
      </c>
      <c r="D153" s="2">
        <v>0</v>
      </c>
      <c r="E153" s="2" t="s">
        <v>137</v>
      </c>
      <c r="F153" s="2">
        <v>2</v>
      </c>
      <c r="G153" s="2" t="s">
        <v>125</v>
      </c>
      <c r="H153" s="2" t="s">
        <v>126</v>
      </c>
      <c r="I153" s="2" t="s">
        <v>197</v>
      </c>
      <c r="J153" s="2">
        <v>74</v>
      </c>
      <c r="K153" s="47">
        <v>45499</v>
      </c>
      <c r="L153" s="46">
        <v>0.53662037037037036</v>
      </c>
      <c r="M153" s="2">
        <v>1</v>
      </c>
      <c r="N153" s="2" t="s">
        <v>176</v>
      </c>
      <c r="O153" s="2">
        <v>0.125</v>
      </c>
      <c r="P153" s="2">
        <v>6.2899999999999996E-3</v>
      </c>
      <c r="Q153" s="2">
        <v>-76.099999999999994</v>
      </c>
      <c r="R153" s="2" t="s">
        <v>177</v>
      </c>
      <c r="S153" s="48">
        <f t="shared" si="18"/>
        <v>-76.099999999999994</v>
      </c>
      <c r="T153" s="2" t="s">
        <v>191</v>
      </c>
      <c r="U153" s="48" t="s">
        <v>97</v>
      </c>
      <c r="V153" s="44" t="s">
        <v>97</v>
      </c>
      <c r="W153" s="44" t="s">
        <v>98</v>
      </c>
      <c r="X153" s="44" t="s">
        <v>97</v>
      </c>
      <c r="Y153" s="2" t="s">
        <v>178</v>
      </c>
      <c r="Z153" s="2"/>
      <c r="AA153" s="2"/>
      <c r="AB153" s="2"/>
      <c r="AC153" s="2"/>
      <c r="AD153" s="2"/>
      <c r="AE153" s="2"/>
      <c r="AF153" s="47">
        <v>45499</v>
      </c>
      <c r="AG153" s="2"/>
      <c r="AH153" s="2"/>
      <c r="AI153" s="2"/>
      <c r="AJ153" s="2">
        <f>-1.2417*0.125^2+180.63*0.125-137.56</f>
        <v>-115.0006515625</v>
      </c>
      <c r="AK153" s="2">
        <f>0.822*0.125^2+151.75*0.125-95.73</f>
        <v>-76.748406250000002</v>
      </c>
      <c r="AL153" s="2" t="str">
        <f t="shared" si="22"/>
        <v>FALSE</v>
      </c>
      <c r="AM153" s="2" t="str">
        <f t="shared" si="22"/>
        <v>FALSE</v>
      </c>
      <c r="AN153" s="2" t="str">
        <f t="shared" si="22"/>
        <v>FALSE</v>
      </c>
      <c r="AO153" s="2" t="str">
        <f t="shared" si="23"/>
        <v>y=-1.2417*0.125^2+180.63*0.125-137.56</v>
      </c>
      <c r="AP153" s="2" t="str">
        <f t="shared" si="23"/>
        <v>y=0.822*0.125^2+151.75*0.125-95.73</v>
      </c>
      <c r="AQ153" s="2" t="b">
        <f>IF(AND(I153="TP",S153&lt;=150),VLOOKUP(AF153,[1]TPCalibEq150!$AZ$2:$BB$74,3,),IF(AND(I153="TDP",S153&lt;=150),VLOOKUP(AF153,[1]TPCalibEq150!$AZ$2:$BB$74,3,)))</f>
        <v>0</v>
      </c>
      <c r="AR153" s="2" t="b">
        <f>IF(AND(I153="TP",S153&lt;=300),VLOOKUP(AF153,[1]TPCalibEq300!$AZ$2:$BB$76,3,),IF(AND(I153="TDP",S153&lt;=300),VLOOKUP(AF153,[1]TPCalibEq300!$AZ$2:$BB$76,3,)))</f>
        <v>0</v>
      </c>
      <c r="AS153" s="2" t="b">
        <f>IF(AND(I153="TP",S153&lt;=500),VLOOKUP(AF153,[1]TPCalibEq500!$AZ$2:$BB$88,3,),IF(AND(I153="TDP",S153&lt;=500),VLOOKUP(AF153,[1]TPCalibEq500!$AZ$2:$BB$88,3,)))</f>
        <v>0</v>
      </c>
      <c r="AT153" s="2" t="str">
        <f>IF(AND(I153="TN",S153&lt;=2800),VLOOKUP(AF153,[1]TNCalibEq2500!$AZ$2:$BB$80,3,),IF(AND(I153="TDN",S153&lt;=2800),VLOOKUP(AF153,[1]TNCalibEq2500!$AZ$2:$BB$80,3,)))</f>
        <v>y=-1.2417x2+180.63x-137.56</v>
      </c>
      <c r="AU153" s="2" t="str">
        <f>IF(I153="TP",VLOOKUP(AF153,[1]TPCalibEqFull!$AZ$2:$BB$164,3),IF(I153="TDP",VLOOKUP(AF153,[1]TPCalibEqFull!$AZ$2:$BB$164,3),IF(I153="TDN",VLOOKUP(AF153,[1]TNCalibEqFull!$AZ$2:$BB$116,3),IF(I153="TN",VLOOKUP(AF153,[1]TNCalibEqFull!$AZ$2:$BB$118,3),FALSE))))</f>
        <v>y=0.822x2+151.75x-95.73</v>
      </c>
      <c r="AV153" s="2" t="str">
        <f t="shared" si="19"/>
        <v>0701 12:00:00-T1BF-0-FIL-2-SW-UKN</v>
      </c>
      <c r="AW153" s="2"/>
      <c r="AX153" s="2"/>
      <c r="AY153" s="2"/>
    </row>
    <row r="154" spans="1:51" x14ac:dyDescent="0.35">
      <c r="A154" s="45">
        <v>45485</v>
      </c>
      <c r="B154" s="46">
        <v>0.5</v>
      </c>
      <c r="C154" s="2" t="s">
        <v>140</v>
      </c>
      <c r="D154" s="2">
        <v>0</v>
      </c>
      <c r="E154" s="2" t="s">
        <v>137</v>
      </c>
      <c r="F154" s="2">
        <v>1</v>
      </c>
      <c r="G154" s="2" t="s">
        <v>125</v>
      </c>
      <c r="H154" s="2" t="s">
        <v>126</v>
      </c>
      <c r="I154" s="2" t="s">
        <v>197</v>
      </c>
      <c r="J154" s="2">
        <v>75</v>
      </c>
      <c r="K154" s="47">
        <v>45499</v>
      </c>
      <c r="L154" s="46">
        <v>0.53729166666666661</v>
      </c>
      <c r="M154" s="2">
        <v>1</v>
      </c>
      <c r="N154" s="2" t="s">
        <v>176</v>
      </c>
      <c r="O154" s="2">
        <v>0.121</v>
      </c>
      <c r="P154" s="2">
        <v>5.9199999999999999E-3</v>
      </c>
      <c r="Q154" s="2">
        <v>-76.7</v>
      </c>
      <c r="R154" s="2" t="s">
        <v>177</v>
      </c>
      <c r="S154" s="48">
        <f t="shared" si="18"/>
        <v>-76.7</v>
      </c>
      <c r="T154" s="2" t="s">
        <v>191</v>
      </c>
      <c r="U154" s="48" t="s">
        <v>97</v>
      </c>
      <c r="V154" s="44" t="s">
        <v>97</v>
      </c>
      <c r="W154" s="44" t="s">
        <v>98</v>
      </c>
      <c r="X154" s="44" t="s">
        <v>97</v>
      </c>
      <c r="Y154" s="2" t="s">
        <v>178</v>
      </c>
      <c r="Z154" s="2"/>
      <c r="AA154" s="2"/>
      <c r="AB154" s="2"/>
      <c r="AC154" s="2"/>
      <c r="AD154" s="2"/>
      <c r="AE154" s="2"/>
      <c r="AF154" s="47">
        <v>45499</v>
      </c>
      <c r="AG154" s="2"/>
      <c r="AH154" s="2"/>
      <c r="AI154" s="2"/>
      <c r="AJ154" s="2">
        <f>-1.2417*0.121^2+180.63*0.121-137.56</f>
        <v>-115.7219497297</v>
      </c>
      <c r="AK154" s="2">
        <f>0.822*0.121^2+151.75*0.121-95.73</f>
        <v>-77.356215098000007</v>
      </c>
      <c r="AL154" s="2" t="str">
        <f t="shared" si="22"/>
        <v>FALSE</v>
      </c>
      <c r="AM154" s="2" t="str">
        <f t="shared" si="22"/>
        <v>FALSE</v>
      </c>
      <c r="AN154" s="2" t="str">
        <f t="shared" si="22"/>
        <v>FALSE</v>
      </c>
      <c r="AO154" s="2" t="str">
        <f t="shared" si="23"/>
        <v>y=-1.2417*0.121^2+180.63*0.121-137.56</v>
      </c>
      <c r="AP154" s="2" t="str">
        <f t="shared" si="23"/>
        <v>y=0.822*0.121^2+151.75*0.121-95.73</v>
      </c>
      <c r="AQ154" s="2" t="b">
        <f>IF(AND(I154="TP",S154&lt;=150),VLOOKUP(AF154,[1]TPCalibEq150!$AZ$2:$BB$74,3,),IF(AND(I154="TDP",S154&lt;=150),VLOOKUP(AF154,[1]TPCalibEq150!$AZ$2:$BB$74,3,)))</f>
        <v>0</v>
      </c>
      <c r="AR154" s="2" t="b">
        <f>IF(AND(I154="TP",S154&lt;=300),VLOOKUP(AF154,[1]TPCalibEq300!$AZ$2:$BB$76,3,),IF(AND(I154="TDP",S154&lt;=300),VLOOKUP(AF154,[1]TPCalibEq300!$AZ$2:$BB$76,3,)))</f>
        <v>0</v>
      </c>
      <c r="AS154" s="2" t="b">
        <f>IF(AND(I154="TP",S154&lt;=500),VLOOKUP(AF154,[1]TPCalibEq500!$AZ$2:$BB$88,3,),IF(AND(I154="TDP",S154&lt;=500),VLOOKUP(AF154,[1]TPCalibEq500!$AZ$2:$BB$88,3,)))</f>
        <v>0</v>
      </c>
      <c r="AT154" s="2" t="str">
        <f>IF(AND(I154="TN",S154&lt;=2800),VLOOKUP(AF154,[1]TNCalibEq2500!$AZ$2:$BB$80,3,),IF(AND(I154="TDN",S154&lt;=2800),VLOOKUP(AF154,[1]TNCalibEq2500!$AZ$2:$BB$80,3,)))</f>
        <v>y=-1.2417x2+180.63x-137.56</v>
      </c>
      <c r="AU154" s="2" t="str">
        <f>IF(I154="TP",VLOOKUP(AF154,[1]TPCalibEqFull!$AZ$2:$BB$164,3),IF(I154="TDP",VLOOKUP(AF154,[1]TPCalibEqFull!$AZ$2:$BB$164,3),IF(I154="TDN",VLOOKUP(AF154,[1]TNCalibEqFull!$AZ$2:$BB$116,3),IF(I154="TN",VLOOKUP(AF154,[1]TNCalibEqFull!$AZ$2:$BB$118,3),FALSE))))</f>
        <v>y=0.822x2+151.75x-95.73</v>
      </c>
      <c r="AV154" s="2" t="str">
        <f t="shared" si="19"/>
        <v>0712 12:00:00-C1AF-0-FIL-1-SW-UKN</v>
      </c>
      <c r="AW154" s="2"/>
      <c r="AX154" s="2"/>
      <c r="AY154" s="2"/>
    </row>
    <row r="155" spans="1:51" x14ac:dyDescent="0.35">
      <c r="A155" s="45">
        <v>45485</v>
      </c>
      <c r="B155" s="46">
        <v>0.5</v>
      </c>
      <c r="C155" s="2" t="s">
        <v>141</v>
      </c>
      <c r="D155" s="2">
        <v>0</v>
      </c>
      <c r="E155" s="2" t="s">
        <v>137</v>
      </c>
      <c r="F155" s="2">
        <v>2</v>
      </c>
      <c r="G155" s="2" t="s">
        <v>125</v>
      </c>
      <c r="H155" s="2" t="s">
        <v>126</v>
      </c>
      <c r="I155" s="2" t="s">
        <v>197</v>
      </c>
      <c r="J155" s="2">
        <v>76</v>
      </c>
      <c r="K155" s="47">
        <v>45499</v>
      </c>
      <c r="L155" s="46">
        <v>0.53797453703703701</v>
      </c>
      <c r="M155" s="2">
        <v>1</v>
      </c>
      <c r="N155" s="2" t="s">
        <v>176</v>
      </c>
      <c r="O155" s="2">
        <v>0.84899999999999998</v>
      </c>
      <c r="P155" s="2">
        <v>4.2900000000000001E-2</v>
      </c>
      <c r="Q155" s="2">
        <v>34</v>
      </c>
      <c r="R155" s="2" t="s">
        <v>177</v>
      </c>
      <c r="S155" s="48">
        <f t="shared" si="18"/>
        <v>34</v>
      </c>
      <c r="T155" s="2" t="s">
        <v>191</v>
      </c>
      <c r="U155" s="48" t="s">
        <v>97</v>
      </c>
      <c r="V155" s="44" t="s">
        <v>97</v>
      </c>
      <c r="W155" s="44" t="s">
        <v>98</v>
      </c>
      <c r="X155" s="44" t="s">
        <v>97</v>
      </c>
      <c r="Y155" s="2" t="s">
        <v>178</v>
      </c>
      <c r="Z155" s="2"/>
      <c r="AA155" s="2"/>
      <c r="AB155" s="2"/>
      <c r="AC155" s="2"/>
      <c r="AD155" s="2"/>
      <c r="AE155" s="2"/>
      <c r="AF155" s="47">
        <v>45499</v>
      </c>
      <c r="AG155" s="2"/>
      <c r="AH155" s="2"/>
      <c r="AI155" s="2"/>
      <c r="AJ155" s="2">
        <f>-1.2417*0.849^2+180.63*0.849-137.56</f>
        <v>14.899851398300001</v>
      </c>
      <c r="AK155" s="2">
        <f>0.822*0.849^2+151.75*0.849-95.73</f>
        <v>33.698248421999992</v>
      </c>
      <c r="AL155" s="2" t="str">
        <f t="shared" si="22"/>
        <v>FALSE</v>
      </c>
      <c r="AM155" s="2" t="str">
        <f t="shared" si="22"/>
        <v>FALSE</v>
      </c>
      <c r="AN155" s="2" t="str">
        <f t="shared" si="22"/>
        <v>FALSE</v>
      </c>
      <c r="AO155" s="2" t="str">
        <f t="shared" si="23"/>
        <v>y=-1.2417*0.849^2+180.63*0.849-137.56</v>
      </c>
      <c r="AP155" s="2" t="str">
        <f t="shared" si="23"/>
        <v>y=0.822*0.849^2+151.75*0.849-95.73</v>
      </c>
      <c r="AQ155" s="2" t="b">
        <f>IF(AND(I155="TP",S155&lt;=150),VLOOKUP(AF155,[1]TPCalibEq150!$AZ$2:$BB$74,3,),IF(AND(I155="TDP",S155&lt;=150),VLOOKUP(AF155,[1]TPCalibEq150!$AZ$2:$BB$74,3,)))</f>
        <v>0</v>
      </c>
      <c r="AR155" s="2" t="b">
        <f>IF(AND(I155="TP",S155&lt;=300),VLOOKUP(AF155,[1]TPCalibEq300!$AZ$2:$BB$76,3,),IF(AND(I155="TDP",S155&lt;=300),VLOOKUP(AF155,[1]TPCalibEq300!$AZ$2:$BB$76,3,)))</f>
        <v>0</v>
      </c>
      <c r="AS155" s="2" t="b">
        <f>IF(AND(I155="TP",S155&lt;=500),VLOOKUP(AF155,[1]TPCalibEq500!$AZ$2:$BB$88,3,),IF(AND(I155="TDP",S155&lt;=500),VLOOKUP(AF155,[1]TPCalibEq500!$AZ$2:$BB$88,3,)))</f>
        <v>0</v>
      </c>
      <c r="AT155" s="2" t="str">
        <f>IF(AND(I155="TN",S155&lt;=2800),VLOOKUP(AF155,[1]TNCalibEq2500!$AZ$2:$BB$80,3,),IF(AND(I155="TDN",S155&lt;=2800),VLOOKUP(AF155,[1]TNCalibEq2500!$AZ$2:$BB$80,3,)))</f>
        <v>y=-1.2417x2+180.63x-137.56</v>
      </c>
      <c r="AU155" s="2" t="str">
        <f>IF(I155="TP",VLOOKUP(AF155,[1]TPCalibEqFull!$AZ$2:$BB$164,3),IF(I155="TDP",VLOOKUP(AF155,[1]TPCalibEqFull!$AZ$2:$BB$164,3),IF(I155="TDN",VLOOKUP(AF155,[1]TNCalibEqFull!$AZ$2:$BB$116,3),IF(I155="TN",VLOOKUP(AF155,[1]TNCalibEqFull!$AZ$2:$BB$118,3),FALSE))))</f>
        <v>y=0.822x2+151.75x-95.73</v>
      </c>
      <c r="AV155" s="2" t="str">
        <f t="shared" si="19"/>
        <v>0712 12:00:00-C1BF-0-FIL-2-SW-UKN</v>
      </c>
      <c r="AW155" s="2"/>
      <c r="AX155" s="2"/>
      <c r="AY155" s="2"/>
    </row>
    <row r="156" spans="1:51" x14ac:dyDescent="0.35">
      <c r="A156" s="45">
        <v>45485</v>
      </c>
      <c r="B156" s="46">
        <v>0.5</v>
      </c>
      <c r="C156" s="2" t="s">
        <v>142</v>
      </c>
      <c r="D156" s="2">
        <v>0</v>
      </c>
      <c r="E156" s="2" t="s">
        <v>137</v>
      </c>
      <c r="F156" s="2">
        <v>1</v>
      </c>
      <c r="G156" s="2" t="s">
        <v>125</v>
      </c>
      <c r="H156" s="2" t="s">
        <v>126</v>
      </c>
      <c r="I156" s="2" t="s">
        <v>197</v>
      </c>
      <c r="J156" s="2">
        <v>77</v>
      </c>
      <c r="K156" s="47">
        <v>45499</v>
      </c>
      <c r="L156" s="46">
        <v>0.53865740740740742</v>
      </c>
      <c r="M156" s="2">
        <v>1</v>
      </c>
      <c r="N156" s="2" t="s">
        <v>176</v>
      </c>
      <c r="O156" s="2">
        <v>0.126</v>
      </c>
      <c r="P156" s="2">
        <v>6.1599999999999997E-3</v>
      </c>
      <c r="Q156" s="2">
        <v>-76</v>
      </c>
      <c r="R156" s="2" t="s">
        <v>177</v>
      </c>
      <c r="S156" s="48">
        <f t="shared" si="18"/>
        <v>-76</v>
      </c>
      <c r="T156" s="2" t="s">
        <v>191</v>
      </c>
      <c r="U156" s="48" t="s">
        <v>97</v>
      </c>
      <c r="V156" s="44" t="s">
        <v>97</v>
      </c>
      <c r="W156" s="44" t="s">
        <v>98</v>
      </c>
      <c r="X156" s="44" t="s">
        <v>97</v>
      </c>
      <c r="Y156" s="2" t="s">
        <v>178</v>
      </c>
      <c r="Z156" s="2"/>
      <c r="AA156" s="2"/>
      <c r="AB156" s="2"/>
      <c r="AC156" s="2"/>
      <c r="AD156" s="2"/>
      <c r="AE156" s="2"/>
      <c r="AF156" s="47">
        <v>45499</v>
      </c>
      <c r="AG156" s="2"/>
      <c r="AH156" s="2"/>
      <c r="AI156" s="2"/>
      <c r="AJ156" s="2">
        <f>-1.2417*0.126^2+180.63*0.126-137.56</f>
        <v>-114.8203332292</v>
      </c>
      <c r="AK156" s="2">
        <f>0.822*0.126^2+151.75*0.126-95.73</f>
        <v>-76.596449927999998</v>
      </c>
      <c r="AL156" s="2" t="str">
        <f t="shared" si="22"/>
        <v>FALSE</v>
      </c>
      <c r="AM156" s="2" t="str">
        <f t="shared" si="22"/>
        <v>FALSE</v>
      </c>
      <c r="AN156" s="2" t="str">
        <f t="shared" si="22"/>
        <v>FALSE</v>
      </c>
      <c r="AO156" s="2" t="str">
        <f t="shared" si="23"/>
        <v>y=-1.2417*0.126^2+180.63*0.126-137.56</v>
      </c>
      <c r="AP156" s="2" t="str">
        <f t="shared" si="23"/>
        <v>y=0.822*0.126^2+151.75*0.126-95.73</v>
      </c>
      <c r="AQ156" s="2" t="b">
        <f>IF(AND(I156="TP",S156&lt;=150),VLOOKUP(AF156,[1]TPCalibEq150!$AZ$2:$BB$74,3,),IF(AND(I156="TDP",S156&lt;=150),VLOOKUP(AF156,[1]TPCalibEq150!$AZ$2:$BB$74,3,)))</f>
        <v>0</v>
      </c>
      <c r="AR156" s="2" t="b">
        <f>IF(AND(I156="TP",S156&lt;=300),VLOOKUP(AF156,[1]TPCalibEq300!$AZ$2:$BB$76,3,),IF(AND(I156="TDP",S156&lt;=300),VLOOKUP(AF156,[1]TPCalibEq300!$AZ$2:$BB$76,3,)))</f>
        <v>0</v>
      </c>
      <c r="AS156" s="2" t="b">
        <f>IF(AND(I156="TP",S156&lt;=500),VLOOKUP(AF156,[1]TPCalibEq500!$AZ$2:$BB$88,3,),IF(AND(I156="TDP",S156&lt;=500),VLOOKUP(AF156,[1]TPCalibEq500!$AZ$2:$BB$88,3,)))</f>
        <v>0</v>
      </c>
      <c r="AT156" s="2" t="str">
        <f>IF(AND(I156="TN",S156&lt;=2800),VLOOKUP(AF156,[1]TNCalibEq2500!$AZ$2:$BB$80,3,),IF(AND(I156="TDN",S156&lt;=2800),VLOOKUP(AF156,[1]TNCalibEq2500!$AZ$2:$BB$80,3,)))</f>
        <v>y=-1.2417x2+180.63x-137.56</v>
      </c>
      <c r="AU156" s="2" t="str">
        <f>IF(I156="TP",VLOOKUP(AF156,[1]TPCalibEqFull!$AZ$2:$BB$164,3),IF(I156="TDP",VLOOKUP(AF156,[1]TPCalibEqFull!$AZ$2:$BB$164,3),IF(I156="TDN",VLOOKUP(AF156,[1]TNCalibEqFull!$AZ$2:$BB$116,3),IF(I156="TN",VLOOKUP(AF156,[1]TNCalibEqFull!$AZ$2:$BB$118,3),FALSE))))</f>
        <v>y=0.822x2+151.75x-95.73</v>
      </c>
      <c r="AV156" s="2" t="str">
        <f t="shared" si="19"/>
        <v>0712 12:00:00-T2AF-0-FIL-1-SW-UKN</v>
      </c>
      <c r="AW156" s="2"/>
      <c r="AX156" s="2"/>
      <c r="AY156" s="2"/>
    </row>
    <row r="157" spans="1:51" x14ac:dyDescent="0.35">
      <c r="A157" s="45">
        <v>45485</v>
      </c>
      <c r="B157" s="46">
        <v>0.5</v>
      </c>
      <c r="C157" s="2" t="s">
        <v>143</v>
      </c>
      <c r="D157" s="2">
        <v>0</v>
      </c>
      <c r="E157" s="2" t="s">
        <v>137</v>
      </c>
      <c r="F157" s="2">
        <v>2</v>
      </c>
      <c r="G157" s="2" t="s">
        <v>125</v>
      </c>
      <c r="H157" s="2" t="s">
        <v>126</v>
      </c>
      <c r="I157" s="2" t="s">
        <v>197</v>
      </c>
      <c r="J157" s="2">
        <v>78</v>
      </c>
      <c r="K157" s="47">
        <v>45499</v>
      </c>
      <c r="L157" s="46">
        <v>0.53934027777777771</v>
      </c>
      <c r="M157" s="2">
        <v>1</v>
      </c>
      <c r="N157" s="2" t="s">
        <v>176</v>
      </c>
      <c r="O157" s="2">
        <v>0.123</v>
      </c>
      <c r="P157" s="2">
        <v>5.9300000000000004E-3</v>
      </c>
      <c r="Q157" s="2">
        <v>-76.400000000000006</v>
      </c>
      <c r="R157" s="2" t="s">
        <v>177</v>
      </c>
      <c r="S157" s="48">
        <f t="shared" si="18"/>
        <v>-76.400000000000006</v>
      </c>
      <c r="T157" s="2" t="s">
        <v>191</v>
      </c>
      <c r="U157" s="48" t="s">
        <v>97</v>
      </c>
      <c r="V157" s="44" t="s">
        <v>97</v>
      </c>
      <c r="W157" s="44" t="s">
        <v>98</v>
      </c>
      <c r="X157" s="44" t="s">
        <v>97</v>
      </c>
      <c r="Y157" s="2" t="s">
        <v>178</v>
      </c>
      <c r="Z157" s="2"/>
      <c r="AA157" s="2"/>
      <c r="AB157" s="2"/>
      <c r="AC157" s="2"/>
      <c r="AD157" s="2"/>
      <c r="AE157" s="2"/>
      <c r="AF157" s="47">
        <v>45499</v>
      </c>
      <c r="AG157" s="2"/>
      <c r="AH157" s="2"/>
      <c r="AI157" s="2"/>
      <c r="AJ157" s="2">
        <f>-1.2417*0.123^2+180.63*0.123-137.56</f>
        <v>-115.3612956793</v>
      </c>
      <c r="AK157" s="2">
        <f>0.822*0.123^2+151.75*0.123-95.73</f>
        <v>-77.052313961999999</v>
      </c>
      <c r="AL157" s="2" t="str">
        <f t="shared" si="22"/>
        <v>FALSE</v>
      </c>
      <c r="AM157" s="2" t="str">
        <f t="shared" si="22"/>
        <v>FALSE</v>
      </c>
      <c r="AN157" s="2" t="str">
        <f t="shared" si="22"/>
        <v>FALSE</v>
      </c>
      <c r="AO157" s="2" t="str">
        <f t="shared" si="23"/>
        <v>y=-1.2417*0.123^2+180.63*0.123-137.56</v>
      </c>
      <c r="AP157" s="2" t="str">
        <f t="shared" si="23"/>
        <v>y=0.822*0.123^2+151.75*0.123-95.73</v>
      </c>
      <c r="AQ157" s="2" t="b">
        <f>IF(AND(I157="TP",S157&lt;=150),VLOOKUP(AF157,[1]TPCalibEq150!$AZ$2:$BB$74,3,),IF(AND(I157="TDP",S157&lt;=150),VLOOKUP(AF157,[1]TPCalibEq150!$AZ$2:$BB$74,3,)))</f>
        <v>0</v>
      </c>
      <c r="AR157" s="2" t="b">
        <f>IF(AND(I157="TP",S157&lt;=300),VLOOKUP(AF157,[1]TPCalibEq300!$AZ$2:$BB$76,3,),IF(AND(I157="TDP",S157&lt;=300),VLOOKUP(AF157,[1]TPCalibEq300!$AZ$2:$BB$76,3,)))</f>
        <v>0</v>
      </c>
      <c r="AS157" s="2" t="b">
        <f>IF(AND(I157="TP",S157&lt;=500),VLOOKUP(AF157,[1]TPCalibEq500!$AZ$2:$BB$88,3,),IF(AND(I157="TDP",S157&lt;=500),VLOOKUP(AF157,[1]TPCalibEq500!$AZ$2:$BB$88,3,)))</f>
        <v>0</v>
      </c>
      <c r="AT157" s="2" t="str">
        <f>IF(AND(I157="TN",S157&lt;=2800),VLOOKUP(AF157,[1]TNCalibEq2500!$AZ$2:$BB$80,3,),IF(AND(I157="TDN",S157&lt;=2800),VLOOKUP(AF157,[1]TNCalibEq2500!$AZ$2:$BB$80,3,)))</f>
        <v>y=-1.2417x2+180.63x-137.56</v>
      </c>
      <c r="AU157" s="2" t="str">
        <f>IF(I157="TP",VLOOKUP(AF157,[1]TPCalibEqFull!$AZ$2:$BB$164,3),IF(I157="TDP",VLOOKUP(AF157,[1]TPCalibEqFull!$AZ$2:$BB$164,3),IF(I157="TDN",VLOOKUP(AF157,[1]TNCalibEqFull!$AZ$2:$BB$116,3),IF(I157="TN",VLOOKUP(AF157,[1]TNCalibEqFull!$AZ$2:$BB$118,3),FALSE))))</f>
        <v>y=0.822x2+151.75x-95.73</v>
      </c>
      <c r="AV157" s="2" t="str">
        <f t="shared" si="19"/>
        <v>0712 12:00:00-T2BF-0-FIL-2-SW-UKN</v>
      </c>
      <c r="AW157" s="2"/>
      <c r="AX157" s="2"/>
      <c r="AY157" s="2"/>
    </row>
    <row r="158" spans="1:51" x14ac:dyDescent="0.35">
      <c r="A158" s="45">
        <v>45485</v>
      </c>
      <c r="B158" s="46">
        <v>0.5</v>
      </c>
      <c r="C158" s="2" t="s">
        <v>144</v>
      </c>
      <c r="D158" s="2">
        <v>0</v>
      </c>
      <c r="E158" s="2" t="s">
        <v>137</v>
      </c>
      <c r="F158" s="2">
        <v>1</v>
      </c>
      <c r="G158" s="2" t="s">
        <v>125</v>
      </c>
      <c r="H158" s="2" t="s">
        <v>126</v>
      </c>
      <c r="I158" s="2" t="s">
        <v>197</v>
      </c>
      <c r="J158" s="2">
        <v>79</v>
      </c>
      <c r="K158" s="47">
        <v>45499</v>
      </c>
      <c r="L158" s="46">
        <v>0.54001157407407407</v>
      </c>
      <c r="M158" s="2">
        <v>1</v>
      </c>
      <c r="N158" s="2" t="s">
        <v>176</v>
      </c>
      <c r="O158" s="2">
        <v>0.13300000000000001</v>
      </c>
      <c r="P158" s="2">
        <v>6.3800000000000003E-3</v>
      </c>
      <c r="Q158" s="2">
        <v>-74.900000000000006</v>
      </c>
      <c r="R158" s="2" t="s">
        <v>177</v>
      </c>
      <c r="S158" s="48">
        <f t="shared" si="18"/>
        <v>-74.900000000000006</v>
      </c>
      <c r="T158" s="2" t="s">
        <v>191</v>
      </c>
      <c r="U158" s="48" t="s">
        <v>97</v>
      </c>
      <c r="V158" s="44" t="s">
        <v>97</v>
      </c>
      <c r="W158" s="44" t="s">
        <v>98</v>
      </c>
      <c r="X158" s="44" t="s">
        <v>97</v>
      </c>
      <c r="Y158" s="2" t="s">
        <v>178</v>
      </c>
      <c r="Z158" s="2"/>
      <c r="AA158" s="2"/>
      <c r="AB158" s="2"/>
      <c r="AC158" s="2"/>
      <c r="AD158" s="2"/>
      <c r="AE158" s="2"/>
      <c r="AF158" s="47">
        <v>45499</v>
      </c>
      <c r="AG158" s="2"/>
      <c r="AH158" s="2"/>
      <c r="AI158" s="2"/>
      <c r="AJ158" s="2">
        <f>-1.2417*0.133^2+180.63*0.133-137.56</f>
        <v>-113.5581744313</v>
      </c>
      <c r="AK158" s="2">
        <f>0.822*0.133^2+151.75*0.133-95.73</f>
        <v>-75.532709642</v>
      </c>
      <c r="AL158" s="2" t="str">
        <f t="shared" si="22"/>
        <v>FALSE</v>
      </c>
      <c r="AM158" s="2" t="str">
        <f t="shared" si="22"/>
        <v>FALSE</v>
      </c>
      <c r="AN158" s="2" t="str">
        <f t="shared" si="22"/>
        <v>FALSE</v>
      </c>
      <c r="AO158" s="2" t="str">
        <f t="shared" si="23"/>
        <v>y=-1.2417*0.133^2+180.63*0.133-137.56</v>
      </c>
      <c r="AP158" s="2" t="str">
        <f t="shared" si="23"/>
        <v>y=0.822*0.133^2+151.75*0.133-95.73</v>
      </c>
      <c r="AQ158" s="2" t="b">
        <f>IF(AND(I158="TP",S158&lt;=150),VLOOKUP(AF158,[1]TPCalibEq150!$AZ$2:$BB$74,3,),IF(AND(I158="TDP",S158&lt;=150),VLOOKUP(AF158,[1]TPCalibEq150!$AZ$2:$BB$74,3,)))</f>
        <v>0</v>
      </c>
      <c r="AR158" s="2" t="b">
        <f>IF(AND(I158="TP",S158&lt;=300),VLOOKUP(AF158,[1]TPCalibEq300!$AZ$2:$BB$76,3,),IF(AND(I158="TDP",S158&lt;=300),VLOOKUP(AF158,[1]TPCalibEq300!$AZ$2:$BB$76,3,)))</f>
        <v>0</v>
      </c>
      <c r="AS158" s="2" t="b">
        <f>IF(AND(I158="TP",S158&lt;=500),VLOOKUP(AF158,[1]TPCalibEq500!$AZ$2:$BB$88,3,),IF(AND(I158="TDP",S158&lt;=500),VLOOKUP(AF158,[1]TPCalibEq500!$AZ$2:$BB$88,3,)))</f>
        <v>0</v>
      </c>
      <c r="AT158" s="2" t="str">
        <f>IF(AND(I158="TN",S158&lt;=2800),VLOOKUP(AF158,[1]TNCalibEq2500!$AZ$2:$BB$80,3,),IF(AND(I158="TDN",S158&lt;=2800),VLOOKUP(AF158,[1]TNCalibEq2500!$AZ$2:$BB$80,3,)))</f>
        <v>y=-1.2417x2+180.63x-137.56</v>
      </c>
      <c r="AU158" s="2" t="str">
        <f>IF(I158="TP",VLOOKUP(AF158,[1]TPCalibEqFull!$AZ$2:$BB$164,3),IF(I158="TDP",VLOOKUP(AF158,[1]TPCalibEqFull!$AZ$2:$BB$164,3),IF(I158="TDN",VLOOKUP(AF158,[1]TNCalibEqFull!$AZ$2:$BB$116,3),IF(I158="TN",VLOOKUP(AF158,[1]TNCalibEqFull!$AZ$2:$BB$118,3),FALSE))))</f>
        <v>y=0.822x2+151.75x-95.73</v>
      </c>
      <c r="AV158" s="2" t="str">
        <f t="shared" si="19"/>
        <v>0712 12:00:00-C2AF-0-FIL-1-SW-UKN</v>
      </c>
      <c r="AW158" s="2"/>
      <c r="AX158" s="2"/>
      <c r="AY158" s="2"/>
    </row>
    <row r="159" spans="1:51" x14ac:dyDescent="0.35">
      <c r="A159" s="45">
        <v>45485</v>
      </c>
      <c r="B159" s="46">
        <v>0.5</v>
      </c>
      <c r="C159" s="2" t="s">
        <v>145</v>
      </c>
      <c r="D159" s="2">
        <v>0</v>
      </c>
      <c r="E159" s="2" t="s">
        <v>137</v>
      </c>
      <c r="F159" s="2">
        <v>2</v>
      </c>
      <c r="G159" s="2" t="s">
        <v>125</v>
      </c>
      <c r="H159" s="2" t="s">
        <v>126</v>
      </c>
      <c r="I159" s="2" t="s">
        <v>197</v>
      </c>
      <c r="J159" s="2">
        <v>80</v>
      </c>
      <c r="K159" s="47">
        <v>45499</v>
      </c>
      <c r="L159" s="46">
        <v>0.54069444444444448</v>
      </c>
      <c r="M159" s="2">
        <v>1</v>
      </c>
      <c r="N159" s="2" t="s">
        <v>176</v>
      </c>
      <c r="O159" s="2">
        <v>0.108</v>
      </c>
      <c r="P159" s="2">
        <v>5.1200000000000004E-3</v>
      </c>
      <c r="Q159" s="2">
        <v>-78.8</v>
      </c>
      <c r="R159" s="2" t="s">
        <v>177</v>
      </c>
      <c r="S159" s="48">
        <f t="shared" si="18"/>
        <v>-78.8</v>
      </c>
      <c r="T159" s="2" t="s">
        <v>191</v>
      </c>
      <c r="U159" s="48" t="s">
        <v>97</v>
      </c>
      <c r="V159" s="44" t="s">
        <v>97</v>
      </c>
      <c r="W159" s="44" t="s">
        <v>98</v>
      </c>
      <c r="X159" s="44" t="s">
        <v>97</v>
      </c>
      <c r="Y159" s="2" t="s">
        <v>178</v>
      </c>
      <c r="Z159" s="2"/>
      <c r="AA159" s="2"/>
      <c r="AB159" s="2"/>
      <c r="AC159" s="2"/>
      <c r="AD159" s="2"/>
      <c r="AE159" s="2"/>
      <c r="AF159" s="47">
        <v>45499</v>
      </c>
      <c r="AG159" s="2"/>
      <c r="AH159" s="2"/>
      <c r="AI159" s="2"/>
      <c r="AJ159" s="2">
        <f>-1.2417*0.108^2+180.63*0.108-137.56</f>
        <v>-118.06644318880001</v>
      </c>
      <c r="AK159" s="2">
        <f>0.822*0.108^2+151.75*0.108-95.73</f>
        <v>-79.331412192000002</v>
      </c>
      <c r="AL159" s="2" t="str">
        <f t="shared" si="22"/>
        <v>FALSE</v>
      </c>
      <c r="AM159" s="2" t="str">
        <f t="shared" si="22"/>
        <v>FALSE</v>
      </c>
      <c r="AN159" s="2" t="str">
        <f t="shared" si="22"/>
        <v>FALSE</v>
      </c>
      <c r="AO159" s="2" t="str">
        <f t="shared" si="23"/>
        <v>y=-1.2417*0.108^2+180.63*0.108-137.56</v>
      </c>
      <c r="AP159" s="2" t="str">
        <f t="shared" si="23"/>
        <v>y=0.822*0.108^2+151.75*0.108-95.73</v>
      </c>
      <c r="AQ159" s="2" t="b">
        <f>IF(AND(I159="TP",S159&lt;=150),VLOOKUP(AF159,[1]TPCalibEq150!$AZ$2:$BB$74,3,),IF(AND(I159="TDP",S159&lt;=150),VLOOKUP(AF159,[1]TPCalibEq150!$AZ$2:$BB$74,3,)))</f>
        <v>0</v>
      </c>
      <c r="AR159" s="2" t="b">
        <f>IF(AND(I159="TP",S159&lt;=300),VLOOKUP(AF159,[1]TPCalibEq300!$AZ$2:$BB$76,3,),IF(AND(I159="TDP",S159&lt;=300),VLOOKUP(AF159,[1]TPCalibEq300!$AZ$2:$BB$76,3,)))</f>
        <v>0</v>
      </c>
      <c r="AS159" s="2" t="b">
        <f>IF(AND(I159="TP",S159&lt;=500),VLOOKUP(AF159,[1]TPCalibEq500!$AZ$2:$BB$88,3,),IF(AND(I159="TDP",S159&lt;=500),VLOOKUP(AF159,[1]TPCalibEq500!$AZ$2:$BB$88,3,)))</f>
        <v>0</v>
      </c>
      <c r="AT159" s="2" t="str">
        <f>IF(AND(I159="TN",S159&lt;=2800),VLOOKUP(AF159,[1]TNCalibEq2500!$AZ$2:$BB$80,3,),IF(AND(I159="TDN",S159&lt;=2800),VLOOKUP(AF159,[1]TNCalibEq2500!$AZ$2:$BB$80,3,)))</f>
        <v>y=-1.2417x2+180.63x-137.56</v>
      </c>
      <c r="AU159" s="2" t="str">
        <f>IF(I159="TP",VLOOKUP(AF159,[1]TPCalibEqFull!$AZ$2:$BB$164,3),IF(I159="TDP",VLOOKUP(AF159,[1]TPCalibEqFull!$AZ$2:$BB$164,3),IF(I159="TDN",VLOOKUP(AF159,[1]TNCalibEqFull!$AZ$2:$BB$116,3),IF(I159="TN",VLOOKUP(AF159,[1]TNCalibEqFull!$AZ$2:$BB$118,3),FALSE))))</f>
        <v>y=0.822x2+151.75x-95.73</v>
      </c>
      <c r="AV159" s="2" t="str">
        <f t="shared" si="19"/>
        <v>0712 12:00:00-C2BF-0-FIL-2-SW-UKN</v>
      </c>
      <c r="AW159" s="2"/>
      <c r="AX159" s="2"/>
      <c r="AY159" s="2"/>
    </row>
    <row r="160" spans="1:51" x14ac:dyDescent="0.35">
      <c r="A160" s="45">
        <v>45485</v>
      </c>
      <c r="B160" s="46">
        <v>0.5</v>
      </c>
      <c r="C160" s="2" t="s">
        <v>145</v>
      </c>
      <c r="D160" s="2">
        <v>0</v>
      </c>
      <c r="E160" s="2" t="s">
        <v>137</v>
      </c>
      <c r="F160" s="2">
        <v>2</v>
      </c>
      <c r="G160" s="2" t="s">
        <v>125</v>
      </c>
      <c r="H160" s="2" t="s">
        <v>134</v>
      </c>
      <c r="I160" s="2" t="s">
        <v>197</v>
      </c>
      <c r="J160" s="2">
        <v>80</v>
      </c>
      <c r="K160" s="47">
        <v>45499</v>
      </c>
      <c r="L160" s="46">
        <v>0.54137731481481477</v>
      </c>
      <c r="M160" s="2">
        <v>1</v>
      </c>
      <c r="N160" s="2" t="s">
        <v>176</v>
      </c>
      <c r="O160" s="2">
        <v>0.106</v>
      </c>
      <c r="P160" s="2">
        <v>5.2100000000000002E-3</v>
      </c>
      <c r="Q160" s="2">
        <v>-79</v>
      </c>
      <c r="R160" s="2" t="s">
        <v>177</v>
      </c>
      <c r="S160" s="48">
        <f t="shared" si="18"/>
        <v>-79</v>
      </c>
      <c r="T160" s="2" t="s">
        <v>191</v>
      </c>
      <c r="U160" s="48">
        <v>-0.25348542458808976</v>
      </c>
      <c r="V160" s="44" t="s">
        <v>97</v>
      </c>
      <c r="W160" s="44" t="s">
        <v>98</v>
      </c>
      <c r="X160" s="44" t="s">
        <v>135</v>
      </c>
      <c r="Y160" s="2" t="s">
        <v>178</v>
      </c>
      <c r="Z160" s="2"/>
      <c r="AA160" s="2"/>
      <c r="AB160" s="2"/>
      <c r="AC160" s="2"/>
      <c r="AD160" s="2"/>
      <c r="AE160" s="2"/>
      <c r="AF160" s="47">
        <v>45499</v>
      </c>
      <c r="AG160" s="2"/>
      <c r="AH160" s="2"/>
      <c r="AI160" s="2"/>
      <c r="AJ160" s="2">
        <f>-1.2417*0.106^2+180.63*0.106-137.56</f>
        <v>-118.4271717412</v>
      </c>
      <c r="AK160" s="2">
        <f>0.822*0.106^2+151.75*0.106-95.73</f>
        <v>-79.635264008000007</v>
      </c>
      <c r="AL160" s="2" t="str">
        <f t="shared" si="22"/>
        <v>FALSE</v>
      </c>
      <c r="AM160" s="2" t="str">
        <f t="shared" si="22"/>
        <v>FALSE</v>
      </c>
      <c r="AN160" s="2" t="str">
        <f t="shared" si="22"/>
        <v>FALSE</v>
      </c>
      <c r="AO160" s="2" t="str">
        <f t="shared" si="23"/>
        <v>y=-1.2417*0.106^2+180.63*0.106-137.56</v>
      </c>
      <c r="AP160" s="2" t="str">
        <f t="shared" si="23"/>
        <v>y=0.822*0.106^2+151.75*0.106-95.73</v>
      </c>
      <c r="AQ160" s="2" t="b">
        <f>IF(AND(I160="TP",S160&lt;=150),VLOOKUP(AF160,[1]TPCalibEq150!$AZ$2:$BB$74,3,),IF(AND(I160="TDP",S160&lt;=150),VLOOKUP(AF160,[1]TPCalibEq150!$AZ$2:$BB$74,3,)))</f>
        <v>0</v>
      </c>
      <c r="AR160" s="2" t="b">
        <f>IF(AND(I160="TP",S160&lt;=300),VLOOKUP(AF160,[1]TPCalibEq300!$AZ$2:$BB$76,3,),IF(AND(I160="TDP",S160&lt;=300),VLOOKUP(AF160,[1]TPCalibEq300!$AZ$2:$BB$76,3,)))</f>
        <v>0</v>
      </c>
      <c r="AS160" s="2" t="b">
        <f>IF(AND(I160="TP",S160&lt;=500),VLOOKUP(AF160,[1]TPCalibEq500!$AZ$2:$BB$88,3,),IF(AND(I160="TDP",S160&lt;=500),VLOOKUP(AF160,[1]TPCalibEq500!$AZ$2:$BB$88,3,)))</f>
        <v>0</v>
      </c>
      <c r="AT160" s="2" t="str">
        <f>IF(AND(I160="TN",S160&lt;=2800),VLOOKUP(AF160,[1]TNCalibEq2500!$AZ$2:$BB$80,3,),IF(AND(I160="TDN",S160&lt;=2800),VLOOKUP(AF160,[1]TNCalibEq2500!$AZ$2:$BB$80,3,)))</f>
        <v>y=-1.2417x2+180.63x-137.56</v>
      </c>
      <c r="AU160" s="2" t="str">
        <f>IF(I160="TP",VLOOKUP(AF160,[1]TPCalibEqFull!$AZ$2:$BB$164,3),IF(I160="TDP",VLOOKUP(AF160,[1]TPCalibEqFull!$AZ$2:$BB$164,3),IF(I160="TDN",VLOOKUP(AF160,[1]TNCalibEqFull!$AZ$2:$BB$116,3),IF(I160="TN",VLOOKUP(AF160,[1]TNCalibEqFull!$AZ$2:$BB$118,3),FALSE))))</f>
        <v>y=0.822x2+151.75x-95.73</v>
      </c>
      <c r="AV160" s="2" t="str">
        <f t="shared" si="19"/>
        <v>0712 12:00:00-C2BF-0-FIL-2-SW-DUP</v>
      </c>
      <c r="AW160" s="2"/>
      <c r="AX160" s="2"/>
      <c r="AY160" s="2"/>
    </row>
    <row r="161" spans="1:51" x14ac:dyDescent="0.35">
      <c r="A161" s="45">
        <v>45485</v>
      </c>
      <c r="B161" s="46">
        <v>0.5</v>
      </c>
      <c r="C161" s="2" t="s">
        <v>145</v>
      </c>
      <c r="D161" s="2">
        <v>0</v>
      </c>
      <c r="E161" s="2" t="s">
        <v>137</v>
      </c>
      <c r="F161" s="2">
        <v>2</v>
      </c>
      <c r="G161" s="2" t="s">
        <v>125</v>
      </c>
      <c r="H161" s="2" t="s">
        <v>117</v>
      </c>
      <c r="I161" s="2" t="s">
        <v>197</v>
      </c>
      <c r="J161" s="2">
        <v>88</v>
      </c>
      <c r="K161" s="47">
        <v>45499</v>
      </c>
      <c r="L161" s="46">
        <v>0.54204861111111113</v>
      </c>
      <c r="M161" s="2">
        <v>1</v>
      </c>
      <c r="N161" s="2" t="s">
        <v>176</v>
      </c>
      <c r="O161" s="2">
        <v>0.156</v>
      </c>
      <c r="P161" s="2">
        <v>8.3700000000000007E-3</v>
      </c>
      <c r="Q161" s="2">
        <v>-71.400000000000006</v>
      </c>
      <c r="R161" s="2" t="s">
        <v>177</v>
      </c>
      <c r="S161" s="48">
        <f t="shared" si="18"/>
        <v>-71.400000000000006</v>
      </c>
      <c r="T161" s="2" t="s">
        <v>191</v>
      </c>
      <c r="U161" s="48">
        <v>0.30399999999999977</v>
      </c>
      <c r="V161" s="44">
        <v>2500</v>
      </c>
      <c r="W161" s="44" t="s">
        <v>147</v>
      </c>
      <c r="X161" s="44" t="s">
        <v>118</v>
      </c>
      <c r="Y161" s="2" t="s">
        <v>178</v>
      </c>
      <c r="Z161" s="2"/>
      <c r="AA161" s="2"/>
      <c r="AB161" s="2"/>
      <c r="AC161" s="2"/>
      <c r="AD161" s="2"/>
      <c r="AE161" s="2"/>
      <c r="AF161" s="47">
        <v>45499</v>
      </c>
      <c r="AG161" s="2"/>
      <c r="AH161" s="2"/>
      <c r="AI161" s="2"/>
      <c r="AJ161" s="2">
        <f>-1.2417*0.156^2+180.63*0.156-137.56</f>
        <v>-109.41193801119999</v>
      </c>
      <c r="AK161" s="2">
        <f>0.822*0.156^2+151.75*0.156-95.73</f>
        <v>-72.036995808</v>
      </c>
      <c r="AL161" s="2" t="str">
        <f t="shared" si="22"/>
        <v>FALSE</v>
      </c>
      <c r="AM161" s="2" t="str">
        <f t="shared" si="22"/>
        <v>FALSE</v>
      </c>
      <c r="AN161" s="2" t="str">
        <f t="shared" si="22"/>
        <v>FALSE</v>
      </c>
      <c r="AO161" s="2" t="str">
        <f t="shared" si="23"/>
        <v>y=-1.2417*0.156^2+180.63*0.156-137.56</v>
      </c>
      <c r="AP161" s="2" t="str">
        <f t="shared" si="23"/>
        <v>y=0.822*0.156^2+151.75*0.156-95.73</v>
      </c>
      <c r="AQ161" s="2" t="b">
        <f>IF(AND(I161="TP",S161&lt;=150),VLOOKUP(AF161,[1]TPCalibEq150!$AZ$2:$BB$74,3,),IF(AND(I161="TDP",S161&lt;=150),VLOOKUP(AF161,[1]TPCalibEq150!$AZ$2:$BB$74,3,)))</f>
        <v>0</v>
      </c>
      <c r="AR161" s="2" t="b">
        <f>IF(AND(I161="TP",S161&lt;=300),VLOOKUP(AF161,[1]TPCalibEq300!$AZ$2:$BB$76,3,),IF(AND(I161="TDP",S161&lt;=300),VLOOKUP(AF161,[1]TPCalibEq300!$AZ$2:$BB$76,3,)))</f>
        <v>0</v>
      </c>
      <c r="AS161" s="2" t="b">
        <f>IF(AND(I161="TP",S161&lt;=500),VLOOKUP(AF161,[1]TPCalibEq500!$AZ$2:$BB$88,3,),IF(AND(I161="TDP",S161&lt;=500),VLOOKUP(AF161,[1]TPCalibEq500!$AZ$2:$BB$88,3,)))</f>
        <v>0</v>
      </c>
      <c r="AT161" s="2" t="str">
        <f>IF(AND(I161="TN",S161&lt;=2800),VLOOKUP(AF161,[1]TNCalibEq2500!$AZ$2:$BB$80,3,),IF(AND(I161="TDN",S161&lt;=2800),VLOOKUP(AF161,[1]TNCalibEq2500!$AZ$2:$BB$80,3,)))</f>
        <v>y=-1.2417x2+180.63x-137.56</v>
      </c>
      <c r="AU161" s="2" t="str">
        <f>IF(I161="TP",VLOOKUP(AF161,[1]TPCalibEqFull!$AZ$2:$BB$164,3),IF(I161="TDP",VLOOKUP(AF161,[1]TPCalibEqFull!$AZ$2:$BB$164,3),IF(I161="TDN",VLOOKUP(AF161,[1]TNCalibEqFull!$AZ$2:$BB$116,3),IF(I161="TN",VLOOKUP(AF161,[1]TNCalibEqFull!$AZ$2:$BB$118,3),FALSE))))</f>
        <v>y=0.822x2+151.75x-95.73</v>
      </c>
      <c r="AV161" s="2" t="str">
        <f t="shared" si="19"/>
        <v>0712 12:00:00-C2BF-0-FIL-2-SW-SPK</v>
      </c>
      <c r="AW161" s="2"/>
      <c r="AX161" s="2"/>
      <c r="AY161" s="2"/>
    </row>
    <row r="162" spans="1:51" x14ac:dyDescent="0.35">
      <c r="A162" s="45">
        <v>45497</v>
      </c>
      <c r="B162" s="46">
        <v>0.375</v>
      </c>
      <c r="C162" s="2" t="s">
        <v>88</v>
      </c>
      <c r="D162" s="2" t="s">
        <v>89</v>
      </c>
      <c r="E162" s="2" t="s">
        <v>106</v>
      </c>
      <c r="F162" s="2">
        <v>1</v>
      </c>
      <c r="G162" s="2" t="s">
        <v>91</v>
      </c>
      <c r="H162" s="2" t="s">
        <v>122</v>
      </c>
      <c r="I162" s="2" t="s">
        <v>175</v>
      </c>
      <c r="J162" s="2">
        <v>203</v>
      </c>
      <c r="K162" s="47">
        <v>45499</v>
      </c>
      <c r="L162" s="46">
        <v>0.54273148148148154</v>
      </c>
      <c r="M162" s="2">
        <v>1</v>
      </c>
      <c r="N162" s="2" t="s">
        <v>176</v>
      </c>
      <c r="O162" s="2">
        <v>7.67</v>
      </c>
      <c r="P162" s="2">
        <v>0.40100000000000002</v>
      </c>
      <c r="Q162" s="2">
        <v>1120</v>
      </c>
      <c r="R162" s="2" t="s">
        <v>177</v>
      </c>
      <c r="S162" s="48">
        <f t="shared" si="18"/>
        <v>1174.82425487</v>
      </c>
      <c r="T162" s="2" t="s">
        <v>191</v>
      </c>
      <c r="U162" s="48">
        <v>93.985940389600003</v>
      </c>
      <c r="V162" s="44">
        <v>1250</v>
      </c>
      <c r="W162" s="44" t="s">
        <v>98</v>
      </c>
      <c r="X162" s="44" t="s">
        <v>123</v>
      </c>
      <c r="Y162" s="2" t="s">
        <v>178</v>
      </c>
      <c r="Z162" s="2"/>
      <c r="AA162" s="2"/>
      <c r="AB162" s="2"/>
      <c r="AC162" s="2"/>
      <c r="AD162" s="2"/>
      <c r="AE162" s="2"/>
      <c r="AF162" s="47">
        <v>45499</v>
      </c>
      <c r="AG162" s="2"/>
      <c r="AH162" s="2"/>
      <c r="AI162" s="2"/>
      <c r="AJ162" s="2">
        <f>-1.2417*7.67^2+180.63*7.67-137.56</f>
        <v>1174.82425487</v>
      </c>
      <c r="AK162" s="2">
        <f>0.822*7.67^2+151.75*7.67-95.73</f>
        <v>1116.5498557999999</v>
      </c>
      <c r="AL162" s="2" t="str">
        <f t="shared" si="22"/>
        <v>FALSE</v>
      </c>
      <c r="AM162" s="2" t="str">
        <f t="shared" si="22"/>
        <v>FALSE</v>
      </c>
      <c r="AN162" s="2" t="str">
        <f t="shared" si="22"/>
        <v>FALSE</v>
      </c>
      <c r="AO162" s="2" t="str">
        <f t="shared" si="23"/>
        <v>y=-1.2417*7.67^2+180.63*7.67-137.56</v>
      </c>
      <c r="AP162" s="2" t="str">
        <f t="shared" si="23"/>
        <v>y=0.822*7.67^2+151.75*7.67-95.73</v>
      </c>
      <c r="AQ162" s="2" t="b">
        <f>IF(AND(I162="TP",S162&lt;=150),VLOOKUP(AF162,[1]TPCalibEq150!$AZ$2:$BB$74,3,),IF(AND(I162="TDP",S162&lt;=150),VLOOKUP(AF162,[1]TPCalibEq150!$AZ$2:$BB$74,3,)))</f>
        <v>0</v>
      </c>
      <c r="AR162" s="2" t="b">
        <f>IF(AND(I162="TP",S162&lt;=300),VLOOKUP(AF162,[1]TPCalibEq300!$AZ$2:$BB$76,3,),IF(AND(I162="TDP",S162&lt;=300),VLOOKUP(AF162,[1]TPCalibEq300!$AZ$2:$BB$76,3,)))</f>
        <v>0</v>
      </c>
      <c r="AS162" s="2" t="b">
        <f>IF(AND(I162="TP",S162&lt;=500),VLOOKUP(AF162,[1]TPCalibEq500!$AZ$2:$BB$88,3,),IF(AND(I162="TDP",S162&lt;=500),VLOOKUP(AF162,[1]TPCalibEq500!$AZ$2:$BB$88,3,)))</f>
        <v>0</v>
      </c>
      <c r="AT162" s="2" t="str">
        <f>IF(AND(I162="TN",S162&lt;=2800),VLOOKUP(AF162,[1]TNCalibEq2500!$AZ$2:$BB$80,3,),IF(AND(I162="TDN",S162&lt;=2800),VLOOKUP(AF162,[1]TNCalibEq2500!$AZ$2:$BB$80,3,)))</f>
        <v>y=-1.2417x2+180.63x-137.56</v>
      </c>
      <c r="AU162" s="2" t="str">
        <f>IF(I162="TP",VLOOKUP(AF162,[1]TPCalibEqFull!$AZ$2:$BB$164,3),IF(I162="TDP",VLOOKUP(AF162,[1]TPCalibEqFull!$AZ$2:$BB$164,3),IF(I162="TDN",VLOOKUP(AF162,[1]TNCalibEqFull!$AZ$2:$BB$116,3),IF(I162="TN",VLOOKUP(AF162,[1]TNCalibEqFull!$AZ$2:$BB$118,3),FALSE))))</f>
        <v>y=0.822x2+151.75x-95.73</v>
      </c>
      <c r="AV162" s="2" t="str">
        <f t="shared" si="19"/>
        <v>0724 09:00:00-QAC-STD-D-1-DI-CHK</v>
      </c>
      <c r="AW162" s="2"/>
      <c r="AX162" s="2"/>
      <c r="AY162" s="2"/>
    </row>
    <row r="163" spans="1:51" x14ac:dyDescent="0.35">
      <c r="A163" s="45">
        <v>45496</v>
      </c>
      <c r="B163" s="46">
        <v>0.20208333333333331</v>
      </c>
      <c r="C163" s="2" t="s">
        <v>88</v>
      </c>
      <c r="D163" s="2" t="s">
        <v>114</v>
      </c>
      <c r="E163" s="2" t="s">
        <v>112</v>
      </c>
      <c r="F163" s="2">
        <v>1</v>
      </c>
      <c r="G163" s="2" t="s">
        <v>91</v>
      </c>
      <c r="H163" s="2" t="s">
        <v>146</v>
      </c>
      <c r="I163" s="2" t="s">
        <v>175</v>
      </c>
      <c r="J163" s="2">
        <v>135</v>
      </c>
      <c r="K163" s="47">
        <v>45499</v>
      </c>
      <c r="L163" s="46">
        <v>0.54341435185185183</v>
      </c>
      <c r="M163" s="2">
        <v>1</v>
      </c>
      <c r="N163" s="2" t="s">
        <v>176</v>
      </c>
      <c r="O163" s="2">
        <v>0.41099999999999998</v>
      </c>
      <c r="P163" s="2">
        <v>2.1299999999999999E-2</v>
      </c>
      <c r="Q163" s="2">
        <v>-32.700000000000003</v>
      </c>
      <c r="R163" s="2" t="s">
        <v>177</v>
      </c>
      <c r="S163" s="48">
        <f t="shared" si="18"/>
        <v>-32.700000000000003</v>
      </c>
      <c r="T163" s="2" t="s">
        <v>191</v>
      </c>
      <c r="U163" s="48">
        <v>-32.700000000000003</v>
      </c>
      <c r="V163" s="44" t="s">
        <v>97</v>
      </c>
      <c r="W163" s="44" t="s">
        <v>98</v>
      </c>
      <c r="X163" s="44" t="s">
        <v>116</v>
      </c>
      <c r="Y163" s="2" t="s">
        <v>178</v>
      </c>
      <c r="Z163" s="2"/>
      <c r="AA163" s="2"/>
      <c r="AB163" s="2"/>
      <c r="AC163" s="2"/>
      <c r="AD163" s="2"/>
      <c r="AE163" s="2"/>
      <c r="AF163" s="47">
        <v>45499</v>
      </c>
      <c r="AG163" s="2"/>
      <c r="AH163" s="2"/>
      <c r="AI163" s="2"/>
      <c r="AJ163" s="2">
        <f>-1.2417*0.411^2+180.63*0.411-137.56</f>
        <v>-63.530819205700013</v>
      </c>
      <c r="AK163" s="2">
        <f>0.822*0.411^2+151.75*0.411-95.73</f>
        <v>-33.221896938000008</v>
      </c>
      <c r="AL163" s="2" t="str">
        <f t="shared" si="22"/>
        <v>FALSE</v>
      </c>
      <c r="AM163" s="2" t="str">
        <f t="shared" si="22"/>
        <v>FALSE</v>
      </c>
      <c r="AN163" s="2" t="str">
        <f t="shared" si="22"/>
        <v>FALSE</v>
      </c>
      <c r="AO163" s="2" t="str">
        <f t="shared" si="23"/>
        <v>y=-1.2417*0.411^2+180.63*0.411-137.56</v>
      </c>
      <c r="AP163" s="2" t="str">
        <f t="shared" si="23"/>
        <v>y=0.822*0.411^2+151.75*0.411-95.73</v>
      </c>
      <c r="AQ163" s="2" t="b">
        <f>IF(AND(I163="TP",S163&lt;=150),VLOOKUP(AF163,[1]TPCalibEq150!$AZ$2:$BB$74,3,),IF(AND(I163="TDP",S163&lt;=150),VLOOKUP(AF163,[1]TPCalibEq150!$AZ$2:$BB$74,3,)))</f>
        <v>0</v>
      </c>
      <c r="AR163" s="2" t="b">
        <f>IF(AND(I163="TP",S163&lt;=300),VLOOKUP(AF163,[1]TPCalibEq300!$AZ$2:$BB$76,3,),IF(AND(I163="TDP",S163&lt;=300),VLOOKUP(AF163,[1]TPCalibEq300!$AZ$2:$BB$76,3,)))</f>
        <v>0</v>
      </c>
      <c r="AS163" s="2" t="b">
        <f>IF(AND(I163="TP",S163&lt;=500),VLOOKUP(AF163,[1]TPCalibEq500!$AZ$2:$BB$88,3,),IF(AND(I163="TDP",S163&lt;=500),VLOOKUP(AF163,[1]TPCalibEq500!$AZ$2:$BB$88,3,)))</f>
        <v>0</v>
      </c>
      <c r="AT163" s="2" t="str">
        <f>IF(AND(I163="TN",S163&lt;=2800),VLOOKUP(AF163,[1]TNCalibEq2500!$AZ$2:$BB$80,3,),IF(AND(I163="TDN",S163&lt;=2800),VLOOKUP(AF163,[1]TNCalibEq2500!$AZ$2:$BB$80,3,)))</f>
        <v>y=-1.2417x2+180.63x-137.56</v>
      </c>
      <c r="AU163" s="2" t="str">
        <f>IF(I163="TP",VLOOKUP(AF163,[1]TPCalibEqFull!$AZ$2:$BB$164,3),IF(I163="TDP",VLOOKUP(AF163,[1]TPCalibEqFull!$AZ$2:$BB$164,3),IF(I163="TDN",VLOOKUP(AF163,[1]TNCalibEqFull!$AZ$2:$BB$116,3),IF(I163="TN",VLOOKUP(AF163,[1]TNCalibEqFull!$AZ$2:$BB$118,3),FALSE))))</f>
        <v>y=0.822x2+151.75x-95.73</v>
      </c>
      <c r="AV163" s="2" t="str">
        <f t="shared" si="19"/>
        <v>0723 04:51:00-QAC-BLK-A-1-DI-FLD</v>
      </c>
      <c r="AW163" s="2"/>
      <c r="AX163" s="2"/>
      <c r="AY163" s="2"/>
    </row>
    <row r="164" spans="1:51" x14ac:dyDescent="0.35">
      <c r="A164" s="45">
        <v>45496</v>
      </c>
      <c r="B164" s="46">
        <v>0.20208333333333331</v>
      </c>
      <c r="C164" s="2" t="s">
        <v>88</v>
      </c>
      <c r="D164" s="2" t="s">
        <v>114</v>
      </c>
      <c r="E164" s="2" t="s">
        <v>137</v>
      </c>
      <c r="F164" s="2">
        <v>1</v>
      </c>
      <c r="G164" s="2" t="s">
        <v>91</v>
      </c>
      <c r="H164" s="2" t="s">
        <v>146</v>
      </c>
      <c r="I164" s="2" t="s">
        <v>197</v>
      </c>
      <c r="J164" s="2">
        <v>136</v>
      </c>
      <c r="K164" s="47">
        <v>45499</v>
      </c>
      <c r="L164" s="46">
        <v>0.54409722222222223</v>
      </c>
      <c r="M164" s="2">
        <v>1</v>
      </c>
      <c r="N164" s="2" t="s">
        <v>176</v>
      </c>
      <c r="O164" s="2">
        <v>0.71899999999999997</v>
      </c>
      <c r="P164" s="2">
        <v>3.6900000000000002E-2</v>
      </c>
      <c r="Q164" s="2">
        <v>14.2</v>
      </c>
      <c r="R164" s="2" t="s">
        <v>177</v>
      </c>
      <c r="S164" s="48">
        <f t="shared" si="18"/>
        <v>14.2</v>
      </c>
      <c r="T164" s="2" t="s">
        <v>191</v>
      </c>
      <c r="U164" s="48">
        <v>14.2</v>
      </c>
      <c r="V164" s="44" t="s">
        <v>97</v>
      </c>
      <c r="W164" s="44" t="s">
        <v>98</v>
      </c>
      <c r="X164" s="44" t="s">
        <v>116</v>
      </c>
      <c r="Y164" s="2" t="s">
        <v>178</v>
      </c>
      <c r="Z164" s="2"/>
      <c r="AA164" s="2"/>
      <c r="AB164" s="2"/>
      <c r="AC164" s="2"/>
      <c r="AD164" s="2"/>
      <c r="AE164" s="2"/>
      <c r="AF164" s="47">
        <v>45499</v>
      </c>
      <c r="AG164" s="2"/>
      <c r="AH164" s="2"/>
      <c r="AI164" s="2"/>
      <c r="AJ164" s="2">
        <f>-1.2417*0.719^2+180.63*0.719-137.56</f>
        <v>-8.3289404737000154</v>
      </c>
      <c r="AK164" s="2">
        <f>0.822*0.719^2+151.75*0.719-95.73</f>
        <v>13.803191941999998</v>
      </c>
      <c r="AL164" s="2" t="str">
        <f t="shared" si="22"/>
        <v>FALSE</v>
      </c>
      <c r="AM164" s="2" t="str">
        <f t="shared" si="22"/>
        <v>FALSE</v>
      </c>
      <c r="AN164" s="2" t="str">
        <f t="shared" si="22"/>
        <v>FALSE</v>
      </c>
      <c r="AO164" s="2" t="str">
        <f t="shared" si="23"/>
        <v>y=-1.2417*0.719^2+180.63*0.719-137.56</v>
      </c>
      <c r="AP164" s="2" t="str">
        <f t="shared" si="23"/>
        <v>y=0.822*0.719^2+151.75*0.719-95.73</v>
      </c>
      <c r="AQ164" s="2" t="b">
        <f>IF(AND(I164="TP",S164&lt;=150),VLOOKUP(AF164,[1]TPCalibEq150!$AZ$2:$BB$74,3,),IF(AND(I164="TDP",S164&lt;=150),VLOOKUP(AF164,[1]TPCalibEq150!$AZ$2:$BB$74,3,)))</f>
        <v>0</v>
      </c>
      <c r="AR164" s="2" t="b">
        <f>IF(AND(I164="TP",S164&lt;=300),VLOOKUP(AF164,[1]TPCalibEq300!$AZ$2:$BB$76,3,),IF(AND(I164="TDP",S164&lt;=300),VLOOKUP(AF164,[1]TPCalibEq300!$AZ$2:$BB$76,3,)))</f>
        <v>0</v>
      </c>
      <c r="AS164" s="2" t="b">
        <f>IF(AND(I164="TP",S164&lt;=500),VLOOKUP(AF164,[1]TPCalibEq500!$AZ$2:$BB$88,3,),IF(AND(I164="TDP",S164&lt;=500),VLOOKUP(AF164,[1]TPCalibEq500!$AZ$2:$BB$88,3,)))</f>
        <v>0</v>
      </c>
      <c r="AT164" s="2" t="str">
        <f>IF(AND(I164="TN",S164&lt;=2800),VLOOKUP(AF164,[1]TNCalibEq2500!$AZ$2:$BB$80,3,),IF(AND(I164="TDN",S164&lt;=2800),VLOOKUP(AF164,[1]TNCalibEq2500!$AZ$2:$BB$80,3,)))</f>
        <v>y=-1.2417x2+180.63x-137.56</v>
      </c>
      <c r="AU164" s="2" t="str">
        <f>IF(I164="TP",VLOOKUP(AF164,[1]TPCalibEqFull!$AZ$2:$BB$164,3),IF(I164="TDP",VLOOKUP(AF164,[1]TPCalibEqFull!$AZ$2:$BB$164,3),IF(I164="TDN",VLOOKUP(AF164,[1]TNCalibEqFull!$AZ$2:$BB$116,3),IF(I164="TN",VLOOKUP(AF164,[1]TNCalibEqFull!$AZ$2:$BB$118,3),FALSE))))</f>
        <v>y=0.822x2+151.75x-95.73</v>
      </c>
      <c r="AV164" s="2" t="str">
        <f t="shared" si="19"/>
        <v>0723 04:51:00-QAC-BLK-FIL-1-DI-FLD</v>
      </c>
      <c r="AW164" s="2"/>
      <c r="AX164" s="2"/>
      <c r="AY164" s="2"/>
    </row>
    <row r="165" spans="1:51" x14ac:dyDescent="0.35">
      <c r="A165" s="45">
        <v>45497</v>
      </c>
      <c r="B165" s="46">
        <v>0.375</v>
      </c>
      <c r="C165" s="2" t="s">
        <v>88</v>
      </c>
      <c r="D165" s="2" t="s">
        <v>89</v>
      </c>
      <c r="E165" s="2" t="s">
        <v>106</v>
      </c>
      <c r="F165" s="2">
        <v>1</v>
      </c>
      <c r="G165" s="2" t="s">
        <v>91</v>
      </c>
      <c r="H165" s="2" t="s">
        <v>122</v>
      </c>
      <c r="I165" s="2" t="s">
        <v>175</v>
      </c>
      <c r="J165" s="2">
        <v>216</v>
      </c>
      <c r="K165" s="47">
        <v>45499</v>
      </c>
      <c r="L165" s="46">
        <v>0.59059027777777773</v>
      </c>
      <c r="M165" s="2">
        <v>1</v>
      </c>
      <c r="N165" s="2" t="s">
        <v>176</v>
      </c>
      <c r="O165" s="2">
        <v>7.77</v>
      </c>
      <c r="P165" s="2">
        <v>0.38100000000000001</v>
      </c>
      <c r="Q165" s="2">
        <v>1130</v>
      </c>
      <c r="R165" s="2" t="s">
        <v>177</v>
      </c>
      <c r="S165" s="48">
        <f t="shared" si="18"/>
        <v>1190.97007007</v>
      </c>
      <c r="T165" s="2" t="s">
        <v>191</v>
      </c>
      <c r="U165" s="48">
        <v>95.277605605600002</v>
      </c>
      <c r="V165" s="44">
        <v>1250</v>
      </c>
      <c r="W165" s="44" t="s">
        <v>98</v>
      </c>
      <c r="X165" s="44" t="s">
        <v>123</v>
      </c>
      <c r="Y165" s="2" t="s">
        <v>178</v>
      </c>
      <c r="Z165" s="2"/>
      <c r="AA165" s="2"/>
      <c r="AB165" s="2"/>
      <c r="AC165" s="2"/>
      <c r="AD165" s="2"/>
      <c r="AE165" s="2"/>
      <c r="AF165" s="47">
        <v>45499</v>
      </c>
      <c r="AG165" s="2"/>
      <c r="AH165" s="2"/>
      <c r="AI165" s="2"/>
      <c r="AJ165" s="2">
        <f>-1.2417*7.77^2+180.63*7.77-137.56</f>
        <v>1190.97007007</v>
      </c>
      <c r="AK165" s="2">
        <f>0.822*7.77^2+151.75*7.77-95.73</f>
        <v>1132.9940237999999</v>
      </c>
      <c r="AL165" s="2" t="str">
        <f t="shared" si="22"/>
        <v>FALSE</v>
      </c>
      <c r="AM165" s="2" t="str">
        <f t="shared" si="22"/>
        <v>FALSE</v>
      </c>
      <c r="AN165" s="2" t="str">
        <f t="shared" si="22"/>
        <v>FALSE</v>
      </c>
      <c r="AO165" s="2" t="str">
        <f t="shared" si="23"/>
        <v>y=-1.2417*7.77^2+180.63*7.77-137.56</v>
      </c>
      <c r="AP165" s="2" t="str">
        <f t="shared" si="23"/>
        <v>y=0.822*7.77^2+151.75*7.77-95.73</v>
      </c>
      <c r="AQ165" s="2" t="b">
        <f>IF(AND(I165="TP",S165&lt;=150),VLOOKUP(AF165,[1]TPCalibEq150!$AZ$2:$BB$74,3,),IF(AND(I165="TDP",S165&lt;=150),VLOOKUP(AF165,[1]TPCalibEq150!$AZ$2:$BB$74,3,)))</f>
        <v>0</v>
      </c>
      <c r="AR165" s="2" t="b">
        <f>IF(AND(I165="TP",S165&lt;=300),VLOOKUP(AF165,[1]TPCalibEq300!$AZ$2:$BB$76,3,),IF(AND(I165="TDP",S165&lt;=300),VLOOKUP(AF165,[1]TPCalibEq300!$AZ$2:$BB$76,3,)))</f>
        <v>0</v>
      </c>
      <c r="AS165" s="2" t="b">
        <f>IF(AND(I165="TP",S165&lt;=500),VLOOKUP(AF165,[1]TPCalibEq500!$AZ$2:$BB$88,3,),IF(AND(I165="TDP",S165&lt;=500),VLOOKUP(AF165,[1]TPCalibEq500!$AZ$2:$BB$88,3,)))</f>
        <v>0</v>
      </c>
      <c r="AT165" s="2" t="str">
        <f>IF(AND(I165="TN",S165&lt;=2800),VLOOKUP(AF165,[1]TNCalibEq2500!$AZ$2:$BB$80,3,),IF(AND(I165="TDN",S165&lt;=2800),VLOOKUP(AF165,[1]TNCalibEq2500!$AZ$2:$BB$80,3,)))</f>
        <v>y=-1.2417x2+180.63x-137.56</v>
      </c>
      <c r="AU165" s="2" t="str">
        <f>IF(I165="TP",VLOOKUP(AF165,[1]TPCalibEqFull!$AZ$2:$BB$164,3),IF(I165="TDP",VLOOKUP(AF165,[1]TPCalibEqFull!$AZ$2:$BB$164,3),IF(I165="TDN",VLOOKUP(AF165,[1]TNCalibEqFull!$AZ$2:$BB$116,3),IF(I165="TN",VLOOKUP(AF165,[1]TNCalibEqFull!$AZ$2:$BB$118,3),FALSE))))</f>
        <v>y=0.822x2+151.75x-95.73</v>
      </c>
      <c r="AV165" s="2" t="str">
        <f>TEXT(A165, "MMDD")&amp;" "&amp;TEXT(B165, "HH:MM:SS")&amp;"-"&amp;C165&amp;"-"&amp;D165&amp;"-"&amp;E165&amp;"-"&amp;F165&amp;"-"&amp;G165&amp;"-"&amp;H165</f>
        <v>0724 09:00:00-QAC-STD-D-1-DI-CHK</v>
      </c>
      <c r="AW165" s="2"/>
      <c r="AX165" s="2"/>
      <c r="AY165" s="2"/>
    </row>
    <row r="166" spans="1:51" x14ac:dyDescent="0.35">
      <c r="A166" s="45">
        <v>45496</v>
      </c>
      <c r="B166" s="46">
        <v>0.375</v>
      </c>
      <c r="C166" s="2" t="s">
        <v>88</v>
      </c>
      <c r="D166" s="2" t="s">
        <v>89</v>
      </c>
      <c r="E166" s="2" t="s">
        <v>174</v>
      </c>
      <c r="F166" s="2">
        <v>1</v>
      </c>
      <c r="G166" s="2" t="s">
        <v>91</v>
      </c>
      <c r="H166" s="2" t="s">
        <v>92</v>
      </c>
      <c r="I166" s="2" t="s">
        <v>198</v>
      </c>
      <c r="J166" s="2">
        <v>181</v>
      </c>
      <c r="K166" s="47">
        <v>45497</v>
      </c>
      <c r="L166" s="46">
        <v>0.72214120370370372</v>
      </c>
      <c r="M166" s="2">
        <v>1</v>
      </c>
      <c r="N166" s="2" t="s">
        <v>199</v>
      </c>
      <c r="O166" s="2">
        <v>0.59299999999999997</v>
      </c>
      <c r="P166" s="2">
        <v>5.8400000000000001E-2</v>
      </c>
      <c r="Q166" s="2">
        <v>0</v>
      </c>
      <c r="R166" s="2" t="s">
        <v>200</v>
      </c>
      <c r="S166" s="48">
        <f t="shared" si="18"/>
        <v>0</v>
      </c>
      <c r="T166" s="2" t="s">
        <v>151</v>
      </c>
      <c r="U166" s="48" t="s">
        <v>97</v>
      </c>
      <c r="V166" s="44" t="s">
        <v>97</v>
      </c>
      <c r="W166" s="44" t="s">
        <v>98</v>
      </c>
      <c r="X166" s="44" t="s">
        <v>97</v>
      </c>
      <c r="Y166" s="2" t="s">
        <v>201</v>
      </c>
      <c r="Z166" s="2"/>
      <c r="AA166" s="2"/>
      <c r="AB166" s="2"/>
      <c r="AC166" s="2"/>
      <c r="AD166" s="2"/>
      <c r="AE166" s="2"/>
      <c r="AF166" s="47">
        <v>45497</v>
      </c>
      <c r="AG166" s="2">
        <f>-48.316*0.593^2+258.18*0.593-118.22</f>
        <v>17.890466916000008</v>
      </c>
      <c r="AH166" s="2">
        <f>51.002*0.593^2+72.467*0.593-44.141</f>
        <v>16.766733297999998</v>
      </c>
      <c r="AI166" s="2">
        <f>35.548*0.593^2+104.83*0.593-59.737</f>
        <v>14.927608651999996</v>
      </c>
      <c r="AJ166" s="2"/>
      <c r="AK166" s="2">
        <f>1.0953*0.593^2+204.93*0.593-109.69</f>
        <v>12.218651149699994</v>
      </c>
      <c r="AL166" s="2" t="str">
        <f t="shared" si="22"/>
        <v>y=-48.316*0.593^2+258.18*0.593-118.22</v>
      </c>
      <c r="AM166" s="2" t="str">
        <f t="shared" si="22"/>
        <v>y=51.002*0.593^2+72.467*0.593-44.141</v>
      </c>
      <c r="AN166" s="2" t="str">
        <f t="shared" si="22"/>
        <v>y=35.548*0.593^2+104.83*0.593-59.737</v>
      </c>
      <c r="AO166" s="2" t="str">
        <f t="shared" si="23"/>
        <v>FALSE</v>
      </c>
      <c r="AP166" s="2" t="str">
        <f t="shared" si="23"/>
        <v>y=1.0953*0.593^2+204.93*0.593-109.69</v>
      </c>
      <c r="AQ166" s="2" t="str">
        <f>IF(AND(I166="TP",S166&lt;=150),VLOOKUP(AF166,[1]TPCalibEq150!$AZ$2:$BB$74,3,),IF(AND(I166="TDP",S166&lt;=150),VLOOKUP(AF166,[1]TPCalibEq150!$AZ$2:$BB$74,3,)))</f>
        <v>y=-48.316x2+258.18x-118.22</v>
      </c>
      <c r="AR166" s="2" t="str">
        <f>IF(AND(I166="TP",S166&lt;=300),VLOOKUP(AF166,[1]TPCalibEq300!$AZ$2:$BB$76,3,),IF(AND(I166="TDP",S166&lt;=300),VLOOKUP(AF166,[1]TPCalibEq300!$AZ$2:$BB$76,3,)))</f>
        <v>y=51.002x2+72.467x-44.141</v>
      </c>
      <c r="AS166" s="2" t="str">
        <f>IF(AND(I166="TP",S166&lt;=500),VLOOKUP(AF166,[1]TPCalibEq500!$AZ$2:$BB$88,3,),IF(AND(I166="TDP",S166&lt;=500),VLOOKUP(AF166,[1]TPCalibEq500!$AZ$2:$BB$88,3,)))</f>
        <v>y=35.548x2+104.83x-59.737</v>
      </c>
      <c r="AT166" s="2" t="b">
        <f>IF(AND(I166="TN",S166&lt;=2800),VLOOKUP(AF166,[1]TNCalibEq2500!$AZ$2:$BB$80,3,),IF(AND(I166="TDN",S166&lt;=2800),VLOOKUP(AF166,[1]TNCalibEq2500!$AZ$2:$BB$80,3,)))</f>
        <v>0</v>
      </c>
      <c r="AU166" s="2" t="str">
        <f>IF(I166="TP",VLOOKUP(AF166,[1]TPCalibEqFull!$AZ$2:$BB$164,3),IF(I166="TDP",VLOOKUP(AF166,[1]TPCalibEqFull!$AZ$2:$BB$164,3),IF(I166="TDN",VLOOKUP(AF166,[1]TNCalibEqFull!$AZ$2:$BB$116,3),IF(I166="TN",VLOOKUP(AF166,[1]TNCalibEqFull!$AZ$2:$BB$118,3),FALSE))))</f>
        <v>y=1.0953x2+204.93x-109.69</v>
      </c>
      <c r="AV166" s="2" t="str">
        <f t="shared" ref="AV166:AV220" si="24">TEXT(A166, "MMDD")&amp;" "&amp;TEXT(B166, "HH:MM:SS")&amp;"-"&amp;C166&amp;"-"&amp;D166&amp;"-"&amp;E166&amp;"-"&amp;F166&amp;"-"&amp;G166&amp;"-"&amp;H166</f>
        <v>0723 09:00:00-QAC-STD-D.H-1-DI-CAL</v>
      </c>
      <c r="AW166" s="2"/>
      <c r="AX166" s="2"/>
      <c r="AY166" s="2"/>
    </row>
    <row r="167" spans="1:51" x14ac:dyDescent="0.35">
      <c r="A167" s="45">
        <v>45496</v>
      </c>
      <c r="B167" s="46">
        <v>0.375</v>
      </c>
      <c r="C167" s="2" t="s">
        <v>88</v>
      </c>
      <c r="D167" s="2" t="s">
        <v>89</v>
      </c>
      <c r="E167" s="2" t="s">
        <v>179</v>
      </c>
      <c r="F167" s="2">
        <v>1</v>
      </c>
      <c r="G167" s="2" t="s">
        <v>91</v>
      </c>
      <c r="H167" s="2" t="s">
        <v>92</v>
      </c>
      <c r="I167" s="2" t="s">
        <v>198</v>
      </c>
      <c r="J167" s="2">
        <v>182</v>
      </c>
      <c r="K167" s="47">
        <v>45497</v>
      </c>
      <c r="L167" s="46">
        <v>0.72273148148148147</v>
      </c>
      <c r="M167" s="2">
        <v>1</v>
      </c>
      <c r="N167" s="2" t="s">
        <v>199</v>
      </c>
      <c r="O167" s="2">
        <v>0.443</v>
      </c>
      <c r="P167" s="2">
        <v>4.2200000000000001E-2</v>
      </c>
      <c r="Q167" s="2">
        <v>12</v>
      </c>
      <c r="R167" s="2" t="s">
        <v>200</v>
      </c>
      <c r="S167" s="48">
        <f t="shared" si="18"/>
        <v>12</v>
      </c>
      <c r="T167" s="2" t="s">
        <v>202</v>
      </c>
      <c r="U167" s="48" t="s">
        <v>97</v>
      </c>
      <c r="V167" s="44" t="s">
        <v>97</v>
      </c>
      <c r="W167" s="44" t="s">
        <v>98</v>
      </c>
      <c r="X167" s="44" t="s">
        <v>97</v>
      </c>
      <c r="Y167" s="2" t="s">
        <v>201</v>
      </c>
      <c r="Z167" s="2"/>
      <c r="AA167" s="2"/>
      <c r="AB167" s="2"/>
      <c r="AC167" s="2"/>
      <c r="AD167" s="2"/>
      <c r="AE167" s="2"/>
      <c r="AF167" s="47">
        <v>45497</v>
      </c>
      <c r="AG167" s="2">
        <f>-48.316*0.443^2+258.18*0.443-118.22</f>
        <v>-13.328226684000001</v>
      </c>
      <c r="AH167" s="2">
        <f>51.002*0.443^2+72.467*0.443-44.141</f>
        <v>-2.0290275019999982</v>
      </c>
      <c r="AI167" s="2">
        <f>35.548*0.443^2+104.83*0.443-59.737</f>
        <v>-6.3210505480000023</v>
      </c>
      <c r="AJ167" s="2"/>
      <c r="AK167" s="2">
        <f>1.0953*0.443^2+204.93*0.443-109.69</f>
        <v>-18.691058470299993</v>
      </c>
      <c r="AL167" s="2" t="str">
        <f t="shared" si="22"/>
        <v>y=-48.316*0.443^2+258.18*0.443-118.22</v>
      </c>
      <c r="AM167" s="2" t="str">
        <f t="shared" si="22"/>
        <v>y=51.002*0.443^2+72.467*0.443-44.141</v>
      </c>
      <c r="AN167" s="2" t="str">
        <f t="shared" si="22"/>
        <v>y=35.548*0.443^2+104.83*0.443-59.737</v>
      </c>
      <c r="AO167" s="2" t="str">
        <f t="shared" si="23"/>
        <v>FALSE</v>
      </c>
      <c r="AP167" s="2" t="str">
        <f t="shared" si="23"/>
        <v>y=1.0953*0.443^2+204.93*0.443-109.69</v>
      </c>
      <c r="AQ167" s="2" t="str">
        <f>IF(AND(I167="TP",S167&lt;=150),VLOOKUP(AF167,[1]TPCalibEq150!$AZ$2:$BB$74,3,),IF(AND(I167="TDP",S167&lt;=150),VLOOKUP(AF167,[1]TPCalibEq150!$AZ$2:$BB$74,3,)))</f>
        <v>y=-48.316x2+258.18x-118.22</v>
      </c>
      <c r="AR167" s="2" t="str">
        <f>IF(AND(I167="TP",S167&lt;=300),VLOOKUP(AF167,[1]TPCalibEq300!$AZ$2:$BB$76,3,),IF(AND(I167="TDP",S167&lt;=300),VLOOKUP(AF167,[1]TPCalibEq300!$AZ$2:$BB$76,3,)))</f>
        <v>y=51.002x2+72.467x-44.141</v>
      </c>
      <c r="AS167" s="2" t="str">
        <f>IF(AND(I167="TP",S167&lt;=500),VLOOKUP(AF167,[1]TPCalibEq500!$AZ$2:$BB$88,3,),IF(AND(I167="TDP",S167&lt;=500),VLOOKUP(AF167,[1]TPCalibEq500!$AZ$2:$BB$88,3,)))</f>
        <v>y=35.548x2+104.83x-59.737</v>
      </c>
      <c r="AT167" s="2" t="b">
        <f>IF(AND(I167="TN",S167&lt;=2800),VLOOKUP(AF167,[1]TNCalibEq2500!$AZ$2:$BB$80,3,),IF(AND(I167="TDN",S167&lt;=2800),VLOOKUP(AF167,[1]TNCalibEq2500!$AZ$2:$BB$80,3,)))</f>
        <v>0</v>
      </c>
      <c r="AU167" s="2" t="str">
        <f>IF(I167="TP",VLOOKUP(AF167,[1]TPCalibEqFull!$AZ$2:$BB$164,3),IF(I167="TDP",VLOOKUP(AF167,[1]TPCalibEqFull!$AZ$2:$BB$164,3),IF(I167="TDN",VLOOKUP(AF167,[1]TNCalibEqFull!$AZ$2:$BB$116,3),IF(I167="TN",VLOOKUP(AF167,[1]TNCalibEqFull!$AZ$2:$BB$118,3),FALSE))))</f>
        <v>y=1.0953x2+204.93x-109.69</v>
      </c>
      <c r="AV167" s="2" t="str">
        <f t="shared" si="24"/>
        <v>0723 09:00:00-QAC-STD-D.G-1-DI-CAL</v>
      </c>
      <c r="AW167" s="2"/>
      <c r="AX167" s="2"/>
      <c r="AY167" s="2"/>
    </row>
    <row r="168" spans="1:51" x14ac:dyDescent="0.35">
      <c r="A168" s="45">
        <v>45496</v>
      </c>
      <c r="B168" s="46">
        <v>0.375</v>
      </c>
      <c r="C168" s="2" t="s">
        <v>88</v>
      </c>
      <c r="D168" s="2" t="s">
        <v>89</v>
      </c>
      <c r="E168" s="2" t="s">
        <v>180</v>
      </c>
      <c r="F168" s="2">
        <v>1</v>
      </c>
      <c r="G168" s="2" t="s">
        <v>91</v>
      </c>
      <c r="H168" s="2" t="s">
        <v>92</v>
      </c>
      <c r="I168" s="2" t="s">
        <v>198</v>
      </c>
      <c r="J168" s="2">
        <v>183</v>
      </c>
      <c r="K168" s="47">
        <v>45497</v>
      </c>
      <c r="L168" s="46">
        <v>0.72333333333333327</v>
      </c>
      <c r="M168" s="2">
        <v>1</v>
      </c>
      <c r="N168" s="2" t="s">
        <v>199</v>
      </c>
      <c r="O168" s="2">
        <v>1.03</v>
      </c>
      <c r="P168" s="2">
        <v>0.1</v>
      </c>
      <c r="Q168" s="2">
        <v>50</v>
      </c>
      <c r="R168" s="2" t="s">
        <v>200</v>
      </c>
      <c r="S168" s="48">
        <f t="shared" si="18"/>
        <v>50</v>
      </c>
      <c r="T168" s="2" t="s">
        <v>203</v>
      </c>
      <c r="U168" s="48" t="s">
        <v>97</v>
      </c>
      <c r="V168" s="44" t="s">
        <v>97</v>
      </c>
      <c r="W168" s="44" t="s">
        <v>98</v>
      </c>
      <c r="X168" s="44" t="s">
        <v>97</v>
      </c>
      <c r="Y168" s="2" t="s">
        <v>201</v>
      </c>
      <c r="Z168" s="2"/>
      <c r="AA168" s="2"/>
      <c r="AB168" s="2"/>
      <c r="AC168" s="2"/>
      <c r="AD168" s="2"/>
      <c r="AE168" s="2"/>
      <c r="AF168" s="47">
        <v>45497</v>
      </c>
      <c r="AG168" s="2">
        <f>-48.316*1.03^2+258.18*1.03-118.22</f>
        <v>96.446955600000024</v>
      </c>
      <c r="AH168" s="2">
        <f>51.002*1.03^2+72.467*1.03-44.141</f>
        <v>84.60803180000002</v>
      </c>
      <c r="AI168" s="2">
        <f>35.548*1.03^2+104.83*1.03-59.737</f>
        <v>85.950773200000015</v>
      </c>
      <c r="AJ168" s="2"/>
      <c r="AK168" s="2">
        <f>1.0953*1.03^2+204.93*1.03-109.69</f>
        <v>102.54990377000001</v>
      </c>
      <c r="AL168" s="2" t="str">
        <f t="shared" si="22"/>
        <v>y=-48.316*1.03^2+258.18*1.03-118.22</v>
      </c>
      <c r="AM168" s="2" t="str">
        <f t="shared" si="22"/>
        <v>y=51.002*1.03^2+72.467*1.03-44.141</v>
      </c>
      <c r="AN168" s="2" t="str">
        <f t="shared" si="22"/>
        <v>y=35.548*1.03^2+104.83*1.03-59.737</v>
      </c>
      <c r="AO168" s="2" t="str">
        <f t="shared" si="23"/>
        <v>FALSE</v>
      </c>
      <c r="AP168" s="2" t="str">
        <f t="shared" si="23"/>
        <v>y=1.0953*1.03^2+204.93*1.03-109.69</v>
      </c>
      <c r="AQ168" s="2" t="str">
        <f>IF(AND(I168="TP",S168&lt;=150),VLOOKUP(AF168,[1]TPCalibEq150!$AZ$2:$BB$74,3,),IF(AND(I168="TDP",S168&lt;=150),VLOOKUP(AF168,[1]TPCalibEq150!$AZ$2:$BB$74,3,)))</f>
        <v>y=-48.316x2+258.18x-118.22</v>
      </c>
      <c r="AR168" s="2" t="str">
        <f>IF(AND(I168="TP",S168&lt;=300),VLOOKUP(AF168,[1]TPCalibEq300!$AZ$2:$BB$76,3,),IF(AND(I168="TDP",S168&lt;=300),VLOOKUP(AF168,[1]TPCalibEq300!$AZ$2:$BB$76,3,)))</f>
        <v>y=51.002x2+72.467x-44.141</v>
      </c>
      <c r="AS168" s="2" t="str">
        <f>IF(AND(I168="TP",S168&lt;=500),VLOOKUP(AF168,[1]TPCalibEq500!$AZ$2:$BB$88,3,),IF(AND(I168="TDP",S168&lt;=500),VLOOKUP(AF168,[1]TPCalibEq500!$AZ$2:$BB$88,3,)))</f>
        <v>y=35.548x2+104.83x-59.737</v>
      </c>
      <c r="AT168" s="2" t="b">
        <f>IF(AND(I168="TN",S168&lt;=2800),VLOOKUP(AF168,[1]TNCalibEq2500!$AZ$2:$BB$80,3,),IF(AND(I168="TDN",S168&lt;=2800),VLOOKUP(AF168,[1]TNCalibEq2500!$AZ$2:$BB$80,3,)))</f>
        <v>0</v>
      </c>
      <c r="AU168" s="2" t="str">
        <f>IF(I168="TP",VLOOKUP(AF168,[1]TPCalibEqFull!$AZ$2:$BB$164,3),IF(I168="TDP",VLOOKUP(AF168,[1]TPCalibEqFull!$AZ$2:$BB$164,3),IF(I168="TDN",VLOOKUP(AF168,[1]TNCalibEqFull!$AZ$2:$BB$116,3),IF(I168="TN",VLOOKUP(AF168,[1]TNCalibEqFull!$AZ$2:$BB$118,3),FALSE))))</f>
        <v>y=1.0953x2+204.93x-109.69</v>
      </c>
      <c r="AV168" s="2" t="str">
        <f t="shared" si="24"/>
        <v>0723 09:00:00-QAC-STD-D.F-1-DI-CAL</v>
      </c>
      <c r="AW168" s="2"/>
      <c r="AX168" s="2"/>
      <c r="AY168" s="2"/>
    </row>
    <row r="169" spans="1:51" x14ac:dyDescent="0.35">
      <c r="A169" s="45">
        <v>45496</v>
      </c>
      <c r="B169" s="46">
        <v>0.375</v>
      </c>
      <c r="C169" s="2" t="s">
        <v>88</v>
      </c>
      <c r="D169" s="2" t="s">
        <v>89</v>
      </c>
      <c r="E169" s="2" t="s">
        <v>182</v>
      </c>
      <c r="F169" s="2">
        <v>1</v>
      </c>
      <c r="G169" s="2" t="s">
        <v>91</v>
      </c>
      <c r="H169" s="2" t="s">
        <v>92</v>
      </c>
      <c r="I169" s="2" t="s">
        <v>198</v>
      </c>
      <c r="J169" s="2">
        <v>184</v>
      </c>
      <c r="K169" s="47">
        <v>45497</v>
      </c>
      <c r="L169" s="46">
        <v>0.72392361111111114</v>
      </c>
      <c r="M169" s="2">
        <v>1</v>
      </c>
      <c r="N169" s="2" t="s">
        <v>199</v>
      </c>
      <c r="O169" s="2">
        <v>1.52</v>
      </c>
      <c r="P169" s="2">
        <v>0.151</v>
      </c>
      <c r="Q169" s="2">
        <v>200</v>
      </c>
      <c r="R169" s="2" t="s">
        <v>200</v>
      </c>
      <c r="S169" s="48">
        <f t="shared" si="18"/>
        <v>200</v>
      </c>
      <c r="T169" s="2" t="s">
        <v>204</v>
      </c>
      <c r="U169" s="48" t="s">
        <v>97</v>
      </c>
      <c r="V169" s="44" t="s">
        <v>97</v>
      </c>
      <c r="W169" s="44" t="s">
        <v>98</v>
      </c>
      <c r="X169" s="44" t="s">
        <v>97</v>
      </c>
      <c r="Y169" s="2" t="s">
        <v>201</v>
      </c>
      <c r="Z169" s="2"/>
      <c r="AA169" s="2"/>
      <c r="AB169" s="2"/>
      <c r="AC169" s="2"/>
      <c r="AD169" s="2"/>
      <c r="AE169" s="2"/>
      <c r="AF169" s="47">
        <v>45497</v>
      </c>
      <c r="AG169" s="2"/>
      <c r="AH169" s="2">
        <f>51.002*1.52^2+72.467*1.52-44.141</f>
        <v>183.84386080000002</v>
      </c>
      <c r="AI169" s="2">
        <f>35.548*1.52^2+104.83*1.52-59.737</f>
        <v>181.73469919999999</v>
      </c>
      <c r="AJ169" s="2"/>
      <c r="AK169" s="2">
        <f>1.0953*1.52^2+204.93*1.52-109.69</f>
        <v>204.33418112000004</v>
      </c>
      <c r="AL169" s="2" t="str">
        <f t="shared" si="22"/>
        <v>FALSE</v>
      </c>
      <c r="AM169" s="2" t="str">
        <f t="shared" si="22"/>
        <v>y=51.002*1.52^2+72.467*1.52-44.141</v>
      </c>
      <c r="AN169" s="2" t="str">
        <f t="shared" si="22"/>
        <v>y=35.548*1.52^2+104.83*1.52-59.737</v>
      </c>
      <c r="AO169" s="2" t="str">
        <f t="shared" si="23"/>
        <v>FALSE</v>
      </c>
      <c r="AP169" s="2" t="str">
        <f t="shared" si="23"/>
        <v>y=1.0953*1.52^2+204.93*1.52-109.69</v>
      </c>
      <c r="AQ169" s="2" t="b">
        <f>IF(AND(I169="TP",S169&lt;=150),VLOOKUP(AF169,[1]TPCalibEq150!$AZ$2:$BB$74,3,),IF(AND(I169="TDP",S169&lt;=150),VLOOKUP(AF169,[1]TPCalibEq150!$AZ$2:$BB$74,3,)))</f>
        <v>0</v>
      </c>
      <c r="AR169" s="2" t="str">
        <f>IF(AND(I169="TP",S169&lt;=300),VLOOKUP(AF169,[1]TPCalibEq300!$AZ$2:$BB$76,3,),IF(AND(I169="TDP",S169&lt;=300),VLOOKUP(AF169,[1]TPCalibEq300!$AZ$2:$BB$76,3,)))</f>
        <v>y=51.002x2+72.467x-44.141</v>
      </c>
      <c r="AS169" s="2" t="str">
        <f>IF(AND(I169="TP",S169&lt;=500),VLOOKUP(AF169,[1]TPCalibEq500!$AZ$2:$BB$88,3,),IF(AND(I169="TDP",S169&lt;=500),VLOOKUP(AF169,[1]TPCalibEq500!$AZ$2:$BB$88,3,)))</f>
        <v>y=35.548x2+104.83x-59.737</v>
      </c>
      <c r="AT169" s="2" t="b">
        <f>IF(AND(I169="TN",S169&lt;=2800),VLOOKUP(AF169,[1]TNCalibEq2500!$AZ$2:$BB$80,3,),IF(AND(I169="TDN",S169&lt;=2800),VLOOKUP(AF169,[1]TNCalibEq2500!$AZ$2:$BB$80,3,)))</f>
        <v>0</v>
      </c>
      <c r="AU169" s="2" t="str">
        <f>IF(I169="TP",VLOOKUP(AF169,[1]TPCalibEqFull!$AZ$2:$BB$164,3),IF(I169="TDP",VLOOKUP(AF169,[1]TPCalibEqFull!$AZ$2:$BB$164,3),IF(I169="TDN",VLOOKUP(AF169,[1]TNCalibEqFull!$AZ$2:$BB$116,3),IF(I169="TN",VLOOKUP(AF169,[1]TNCalibEqFull!$AZ$2:$BB$118,3),FALSE))))</f>
        <v>y=1.0953x2+204.93x-109.69</v>
      </c>
      <c r="AV169" s="2" t="str">
        <f t="shared" si="24"/>
        <v>0723 09:00:00-QAC-STD-D.E-1-DI-CAL</v>
      </c>
      <c r="AW169" s="2"/>
      <c r="AX169" s="2"/>
      <c r="AY169" s="2"/>
    </row>
    <row r="170" spans="1:51" x14ac:dyDescent="0.35">
      <c r="A170" s="45">
        <v>45496</v>
      </c>
      <c r="B170" s="46">
        <v>0.375</v>
      </c>
      <c r="C170" s="2" t="s">
        <v>88</v>
      </c>
      <c r="D170" s="2" t="s">
        <v>89</v>
      </c>
      <c r="E170" s="2" t="s">
        <v>184</v>
      </c>
      <c r="F170" s="2">
        <v>1</v>
      </c>
      <c r="G170" s="2" t="s">
        <v>91</v>
      </c>
      <c r="H170" s="2" t="s">
        <v>92</v>
      </c>
      <c r="I170" s="2" t="s">
        <v>198</v>
      </c>
      <c r="J170" s="2">
        <v>185</v>
      </c>
      <c r="K170" s="47">
        <v>45497</v>
      </c>
      <c r="L170" s="46">
        <v>0.72452546296296294</v>
      </c>
      <c r="M170" s="2">
        <v>1</v>
      </c>
      <c r="N170" s="2" t="s">
        <v>199</v>
      </c>
      <c r="O170" s="2">
        <v>2.77</v>
      </c>
      <c r="P170" s="2">
        <v>0.27900000000000003</v>
      </c>
      <c r="Q170" s="2">
        <v>500</v>
      </c>
      <c r="R170" s="2" t="s">
        <v>200</v>
      </c>
      <c r="S170" s="48">
        <f t="shared" si="18"/>
        <v>500</v>
      </c>
      <c r="T170" s="2" t="s">
        <v>205</v>
      </c>
      <c r="U170" s="48" t="s">
        <v>97</v>
      </c>
      <c r="V170" s="44" t="s">
        <v>97</v>
      </c>
      <c r="W170" s="44" t="s">
        <v>98</v>
      </c>
      <c r="X170" s="44" t="s">
        <v>97</v>
      </c>
      <c r="Y170" s="2" t="s">
        <v>201</v>
      </c>
      <c r="Z170" s="2"/>
      <c r="AA170" s="2"/>
      <c r="AB170" s="2"/>
      <c r="AC170" s="2"/>
      <c r="AD170" s="2"/>
      <c r="AE170" s="2"/>
      <c r="AF170" s="47">
        <v>45497</v>
      </c>
      <c r="AG170" s="2"/>
      <c r="AH170" s="2"/>
      <c r="AI170" s="2">
        <f>35.548*2.77^2+104.83*2.77-59.737</f>
        <v>503.39834920000004</v>
      </c>
      <c r="AJ170" s="2"/>
      <c r="AK170" s="2">
        <f>1.0953*2.77^2+204.93*2.77-109.69</f>
        <v>466.37022737000001</v>
      </c>
      <c r="AL170" s="2" t="str">
        <f t="shared" si="22"/>
        <v>FALSE</v>
      </c>
      <c r="AM170" s="2" t="str">
        <f t="shared" si="22"/>
        <v>FALSE</v>
      </c>
      <c r="AN170" s="2" t="str">
        <f t="shared" si="22"/>
        <v>y=35.548*2.77^2+104.83*2.77-59.737</v>
      </c>
      <c r="AO170" s="2" t="str">
        <f t="shared" si="23"/>
        <v>FALSE</v>
      </c>
      <c r="AP170" s="2" t="str">
        <f t="shared" si="23"/>
        <v>y=1.0953*2.77^2+204.93*2.77-109.69</v>
      </c>
      <c r="AQ170" s="2" t="b">
        <f>IF(AND(I170="TP",S170&lt;=150),VLOOKUP(AF170,[1]TPCalibEq150!$AZ$2:$BB$74,3,),IF(AND(I170="TDP",S170&lt;=150),VLOOKUP(AF170,[1]TPCalibEq150!$AZ$2:$BB$74,3,)))</f>
        <v>0</v>
      </c>
      <c r="AR170" s="2" t="b">
        <f>IF(AND(I170="TP",S170&lt;=300),VLOOKUP(AF170,[1]TPCalibEq300!$AZ$2:$BB$76,3,),IF(AND(I170="TDP",S170&lt;=300),VLOOKUP(AF170,[1]TPCalibEq300!$AZ$2:$BB$76,3,)))</f>
        <v>0</v>
      </c>
      <c r="AS170" s="2" t="str">
        <f>IF(AND(I170="TP",S170&lt;=500),VLOOKUP(AF170,[1]TPCalibEq500!$AZ$2:$BB$88,3,),IF(AND(I170="TDP",S170&lt;=500),VLOOKUP(AF170,[1]TPCalibEq500!$AZ$2:$BB$88,3,)))</f>
        <v>y=35.548x2+104.83x-59.737</v>
      </c>
      <c r="AT170" s="2" t="b">
        <f>IF(AND(I170="TN",S170&lt;=2800),VLOOKUP(AF170,[1]TNCalibEq2500!$AZ$2:$BB$80,3,),IF(AND(I170="TDN",S170&lt;=2800),VLOOKUP(AF170,[1]TNCalibEq2500!$AZ$2:$BB$80,3,)))</f>
        <v>0</v>
      </c>
      <c r="AU170" s="2" t="str">
        <f>IF(I170="TP",VLOOKUP(AF170,[1]TPCalibEqFull!$AZ$2:$BB$164,3),IF(I170="TDP",VLOOKUP(AF170,[1]TPCalibEqFull!$AZ$2:$BB$164,3),IF(I170="TDN",VLOOKUP(AF170,[1]TNCalibEqFull!$AZ$2:$BB$116,3),IF(I170="TN",VLOOKUP(AF170,[1]TNCalibEqFull!$AZ$2:$BB$118,3),FALSE))))</f>
        <v>y=1.0953x2+204.93x-109.69</v>
      </c>
      <c r="AV170" s="2" t="str">
        <f t="shared" si="24"/>
        <v>0723 09:00:00-QAC-STD-D.D-1-DI-CAL</v>
      </c>
      <c r="AW170" s="2"/>
      <c r="AX170" s="2"/>
      <c r="AY170" s="2"/>
    </row>
    <row r="171" spans="1:51" x14ac:dyDescent="0.35">
      <c r="A171" s="45">
        <v>45496</v>
      </c>
      <c r="B171" s="46">
        <v>0.375</v>
      </c>
      <c r="C171" s="2" t="s">
        <v>88</v>
      </c>
      <c r="D171" s="2" t="s">
        <v>89</v>
      </c>
      <c r="E171" s="2" t="s">
        <v>186</v>
      </c>
      <c r="F171" s="2">
        <v>1</v>
      </c>
      <c r="G171" s="2" t="s">
        <v>91</v>
      </c>
      <c r="H171" s="2" t="s">
        <v>92</v>
      </c>
      <c r="I171" s="2" t="s">
        <v>198</v>
      </c>
      <c r="J171" s="2">
        <v>186</v>
      </c>
      <c r="K171" s="47">
        <v>45497</v>
      </c>
      <c r="L171" s="46">
        <v>0.72510416666666666</v>
      </c>
      <c r="M171" s="2">
        <v>1</v>
      </c>
      <c r="N171" s="2" t="s">
        <v>199</v>
      </c>
      <c r="O171" s="2">
        <v>5.37</v>
      </c>
      <c r="P171" s="2">
        <v>0.54800000000000004</v>
      </c>
      <c r="Q171" s="2">
        <v>1000</v>
      </c>
      <c r="R171" s="2" t="s">
        <v>200</v>
      </c>
      <c r="S171" s="48">
        <f t="shared" si="18"/>
        <v>1000</v>
      </c>
      <c r="T171" s="2" t="s">
        <v>206</v>
      </c>
      <c r="U171" s="48" t="s">
        <v>97</v>
      </c>
      <c r="V171" s="44" t="s">
        <v>97</v>
      </c>
      <c r="W171" s="44" t="s">
        <v>98</v>
      </c>
      <c r="X171" s="44" t="s">
        <v>97</v>
      </c>
      <c r="Y171" s="2" t="s">
        <v>201</v>
      </c>
      <c r="Z171" s="2"/>
      <c r="AA171" s="2"/>
      <c r="AB171" s="2"/>
      <c r="AC171" s="2"/>
      <c r="AD171" s="2"/>
      <c r="AE171" s="2"/>
      <c r="AF171" s="47">
        <v>45497</v>
      </c>
      <c r="AG171" s="2"/>
      <c r="AH171" s="2"/>
      <c r="AI171" s="2"/>
      <c r="AJ171" s="2"/>
      <c r="AK171" s="2">
        <f>1.0953*5.37^2+204.93*5.37-109.69</f>
        <v>1022.3691565700001</v>
      </c>
      <c r="AL171" s="2" t="str">
        <f t="shared" si="22"/>
        <v>FALSE</v>
      </c>
      <c r="AM171" s="2" t="str">
        <f t="shared" si="22"/>
        <v>FALSE</v>
      </c>
      <c r="AN171" s="2" t="str">
        <f t="shared" si="22"/>
        <v>FALSE</v>
      </c>
      <c r="AO171" s="2" t="str">
        <f t="shared" si="23"/>
        <v>FALSE</v>
      </c>
      <c r="AP171" s="2" t="str">
        <f t="shared" si="23"/>
        <v>y=1.0953*5.37^2+204.93*5.37-109.69</v>
      </c>
      <c r="AQ171" s="2" t="b">
        <f>IF(AND(I171="TP",S171&lt;=150),VLOOKUP(AF171,[1]TPCalibEq150!$AZ$2:$BB$74,3,),IF(AND(I171="TDP",S171&lt;=150),VLOOKUP(AF171,[1]TPCalibEq150!$AZ$2:$BB$74,3,)))</f>
        <v>0</v>
      </c>
      <c r="AR171" s="2" t="b">
        <f>IF(AND(I171="TP",S171&lt;=300),VLOOKUP(AF171,[1]TPCalibEq300!$AZ$2:$BB$76,3,),IF(AND(I171="TDP",S171&lt;=300),VLOOKUP(AF171,[1]TPCalibEq300!$AZ$2:$BB$76,3,)))</f>
        <v>0</v>
      </c>
      <c r="AS171" s="2" t="b">
        <f>IF(AND(I171="TP",S171&lt;=500),VLOOKUP(AF171,[1]TPCalibEq500!$AZ$2:$BB$88,3,),IF(AND(I171="TDP",S171&lt;=500),VLOOKUP(AF171,[1]TPCalibEq500!$AZ$2:$BB$88,3,)))</f>
        <v>0</v>
      </c>
      <c r="AT171" s="2" t="b">
        <f>IF(AND(I171="TN",S171&lt;=2800),VLOOKUP(AF171,[1]TNCalibEq2500!$AZ$2:$BB$80,3,),IF(AND(I171="TDN",S171&lt;=2800),VLOOKUP(AF171,[1]TNCalibEq2500!$AZ$2:$BB$80,3,)))</f>
        <v>0</v>
      </c>
      <c r="AU171" s="2" t="str">
        <f>IF(I171="TP",VLOOKUP(AF171,[1]TPCalibEqFull!$AZ$2:$BB$164,3),IF(I171="TDP",VLOOKUP(AF171,[1]TPCalibEqFull!$AZ$2:$BB$164,3),IF(I171="TDN",VLOOKUP(AF171,[1]TNCalibEqFull!$AZ$2:$BB$116,3),IF(I171="TN",VLOOKUP(AF171,[1]TNCalibEqFull!$AZ$2:$BB$118,3),FALSE))))</f>
        <v>y=1.0953x2+204.93x-109.69</v>
      </c>
      <c r="AV171" s="2" t="str">
        <f t="shared" si="24"/>
        <v>0723 09:00:00-QAC-STD-D.C-1-DI-CAL</v>
      </c>
      <c r="AW171" s="2"/>
      <c r="AX171" s="2"/>
      <c r="AY171" s="2"/>
    </row>
    <row r="172" spans="1:51" x14ac:dyDescent="0.35">
      <c r="A172" s="45">
        <v>45496</v>
      </c>
      <c r="B172" s="46">
        <v>0.375</v>
      </c>
      <c r="C172" s="2" t="s">
        <v>88</v>
      </c>
      <c r="D172" s="2" t="s">
        <v>89</v>
      </c>
      <c r="E172" s="2" t="s">
        <v>188</v>
      </c>
      <c r="F172" s="2">
        <v>1</v>
      </c>
      <c r="G172" s="2" t="s">
        <v>91</v>
      </c>
      <c r="H172" s="2" t="s">
        <v>92</v>
      </c>
      <c r="I172" s="2" t="s">
        <v>198</v>
      </c>
      <c r="J172" s="2">
        <v>187</v>
      </c>
      <c r="K172" s="47">
        <v>45497</v>
      </c>
      <c r="L172" s="46">
        <v>0.72569444444444453</v>
      </c>
      <c r="M172" s="2">
        <v>1</v>
      </c>
      <c r="N172" s="2" t="s">
        <v>199</v>
      </c>
      <c r="O172" s="2">
        <v>7.57</v>
      </c>
      <c r="P172" s="2">
        <v>0.77500000000000002</v>
      </c>
      <c r="Q172" s="2">
        <v>1500</v>
      </c>
      <c r="R172" s="2" t="s">
        <v>200</v>
      </c>
      <c r="S172" s="48">
        <f t="shared" si="18"/>
        <v>1500</v>
      </c>
      <c r="T172" s="2" t="s">
        <v>207</v>
      </c>
      <c r="U172" s="48" t="s">
        <v>97</v>
      </c>
      <c r="V172" s="44" t="s">
        <v>97</v>
      </c>
      <c r="W172" s="44" t="s">
        <v>98</v>
      </c>
      <c r="X172" s="44" t="s">
        <v>97</v>
      </c>
      <c r="Y172" s="2" t="s">
        <v>201</v>
      </c>
      <c r="Z172" s="2"/>
      <c r="AA172" s="2"/>
      <c r="AB172" s="2"/>
      <c r="AC172" s="2"/>
      <c r="AD172" s="2"/>
      <c r="AE172" s="2"/>
      <c r="AF172" s="47">
        <v>45497</v>
      </c>
      <c r="AG172" s="2"/>
      <c r="AH172" s="2"/>
      <c r="AI172" s="2"/>
      <c r="AJ172" s="2"/>
      <c r="AK172" s="2">
        <f>1.0953*7.57^2+204.93*7.57-109.69</f>
        <v>1504.39615697</v>
      </c>
      <c r="AL172" s="2" t="str">
        <f t="shared" ref="AL172:AN187" si="25">IF($O172="", "", IF(AQ172&lt;&gt;"", SUBSTITUTE(SUBSTITUTE(AQ172, "x", "*"&amp;$O172&amp;"^", 1), "x", "*"&amp;$O172, 1), ""))</f>
        <v>FALSE</v>
      </c>
      <c r="AM172" s="2" t="str">
        <f t="shared" si="25"/>
        <v>FALSE</v>
      </c>
      <c r="AN172" s="2" t="str">
        <f t="shared" si="25"/>
        <v>FALSE</v>
      </c>
      <c r="AO172" s="2" t="str">
        <f t="shared" ref="AO172:AP187" si="26">IF($O172="", "FALSE", IF(AT172&lt;&gt;"FALSE", SUBSTITUTE(SUBSTITUTE(AT172, "x", "*"&amp;$O172&amp;"^", 1), "x", "*"&amp;$O172, 1), ""))</f>
        <v>FALSE</v>
      </c>
      <c r="AP172" s="2" t="str">
        <f t="shared" si="26"/>
        <v>y=1.0953*7.57^2+204.93*7.57-109.69</v>
      </c>
      <c r="AQ172" s="2" t="b">
        <f>IF(AND(I172="TP",S172&lt;=150),VLOOKUP(AF172,[1]TPCalibEq150!$AZ$2:$BB$74,3,),IF(AND(I172="TDP",S172&lt;=150),VLOOKUP(AF172,[1]TPCalibEq150!$AZ$2:$BB$74,3,)))</f>
        <v>0</v>
      </c>
      <c r="AR172" s="2" t="b">
        <f>IF(AND(I172="TP",S172&lt;=300),VLOOKUP(AF172,[1]TPCalibEq300!$AZ$2:$BB$76,3,),IF(AND(I172="TDP",S172&lt;=300),VLOOKUP(AF172,[1]TPCalibEq300!$AZ$2:$BB$76,3,)))</f>
        <v>0</v>
      </c>
      <c r="AS172" s="2" t="b">
        <f>IF(AND(I172="TP",S172&lt;=500),VLOOKUP(AF172,[1]TPCalibEq500!$AZ$2:$BB$88,3,),IF(AND(I172="TDP",S172&lt;=500),VLOOKUP(AF172,[1]TPCalibEq500!$AZ$2:$BB$88,3,)))</f>
        <v>0</v>
      </c>
      <c r="AT172" s="2" t="b">
        <f>IF(AND(I172="TN",S172&lt;=2800),VLOOKUP(AF172,[1]TNCalibEq2500!$AZ$2:$BB$80,3,),IF(AND(I172="TDN",S172&lt;=2800),VLOOKUP(AF172,[1]TNCalibEq2500!$AZ$2:$BB$80,3,)))</f>
        <v>0</v>
      </c>
      <c r="AU172" s="2" t="str">
        <f>IF(I172="TP",VLOOKUP(AF172,[1]TPCalibEqFull!$AZ$2:$BB$164,3),IF(I172="TDP",VLOOKUP(AF172,[1]TPCalibEqFull!$AZ$2:$BB$164,3),IF(I172="TDN",VLOOKUP(AF172,[1]TNCalibEqFull!$AZ$2:$BB$116,3),IF(I172="TN",VLOOKUP(AF172,[1]TNCalibEqFull!$AZ$2:$BB$118,3),FALSE))))</f>
        <v>y=1.0953x2+204.93x-109.69</v>
      </c>
      <c r="AV172" s="2" t="str">
        <f t="shared" si="24"/>
        <v>0723 09:00:00-QAC-STD-D.B-1-DI-CAL</v>
      </c>
      <c r="AW172" s="2"/>
      <c r="AX172" s="2"/>
      <c r="AY172" s="2"/>
    </row>
    <row r="173" spans="1:51" x14ac:dyDescent="0.35">
      <c r="A173" s="45">
        <v>45496</v>
      </c>
      <c r="B173" s="46">
        <v>0.375</v>
      </c>
      <c r="C173" s="2" t="s">
        <v>88</v>
      </c>
      <c r="D173" s="2" t="s">
        <v>89</v>
      </c>
      <c r="E173" s="2" t="s">
        <v>190</v>
      </c>
      <c r="F173" s="2">
        <v>1</v>
      </c>
      <c r="G173" s="2" t="s">
        <v>91</v>
      </c>
      <c r="H173" s="2" t="s">
        <v>92</v>
      </c>
      <c r="I173" s="2" t="s">
        <v>198</v>
      </c>
      <c r="J173" s="2">
        <v>188</v>
      </c>
      <c r="K173" s="47">
        <v>45497</v>
      </c>
      <c r="L173" s="46">
        <v>0.72628472222222218</v>
      </c>
      <c r="M173" s="2">
        <v>1</v>
      </c>
      <c r="N173" s="2" t="s">
        <v>199</v>
      </c>
      <c r="O173" s="2">
        <v>9.76</v>
      </c>
      <c r="P173" s="2">
        <v>1</v>
      </c>
      <c r="Q173" s="2">
        <v>2000</v>
      </c>
      <c r="R173" s="2" t="s">
        <v>200</v>
      </c>
      <c r="S173" s="48">
        <f t="shared" si="18"/>
        <v>2000</v>
      </c>
      <c r="T173" s="2" t="s">
        <v>208</v>
      </c>
      <c r="U173" s="48" t="s">
        <v>97</v>
      </c>
      <c r="V173" s="44" t="s">
        <v>97</v>
      </c>
      <c r="W173" s="44" t="s">
        <v>98</v>
      </c>
      <c r="X173" s="44" t="s">
        <v>97</v>
      </c>
      <c r="Y173" s="2" t="s">
        <v>201</v>
      </c>
      <c r="Z173" s="2"/>
      <c r="AA173" s="2"/>
      <c r="AB173" s="2"/>
      <c r="AC173" s="2"/>
      <c r="AD173" s="2"/>
      <c r="AE173" s="2"/>
      <c r="AF173" s="47">
        <v>45497</v>
      </c>
      <c r="AG173" s="2"/>
      <c r="AH173" s="2"/>
      <c r="AI173" s="2"/>
      <c r="AJ173" s="2"/>
      <c r="AK173" s="2">
        <f>1.0953*9.76^2+204.93*9.76-109.69</f>
        <v>1994.7624492800001</v>
      </c>
      <c r="AL173" s="2" t="str">
        <f t="shared" si="25"/>
        <v>FALSE</v>
      </c>
      <c r="AM173" s="2" t="str">
        <f t="shared" si="25"/>
        <v>FALSE</v>
      </c>
      <c r="AN173" s="2" t="str">
        <f t="shared" si="25"/>
        <v>FALSE</v>
      </c>
      <c r="AO173" s="2" t="str">
        <f t="shared" si="26"/>
        <v>FALSE</v>
      </c>
      <c r="AP173" s="2" t="str">
        <f t="shared" si="26"/>
        <v>y=1.0953*9.76^2+204.93*9.76-109.69</v>
      </c>
      <c r="AQ173" s="2" t="b">
        <f>IF(AND(I173="TP",S173&lt;=150),VLOOKUP(AF173,[1]TPCalibEq150!$AZ$2:$BB$74,3,),IF(AND(I173="TDP",S173&lt;=150),VLOOKUP(AF173,[1]TPCalibEq150!$AZ$2:$BB$74,3,)))</f>
        <v>0</v>
      </c>
      <c r="AR173" s="2" t="b">
        <f>IF(AND(I173="TP",S173&lt;=300),VLOOKUP(AF173,[1]TPCalibEq300!$AZ$2:$BB$76,3,),IF(AND(I173="TDP",S173&lt;=300),VLOOKUP(AF173,[1]TPCalibEq300!$AZ$2:$BB$76,3,)))</f>
        <v>0</v>
      </c>
      <c r="AS173" s="2" t="b">
        <f>IF(AND(I173="TP",S173&lt;=500),VLOOKUP(AF173,[1]TPCalibEq500!$AZ$2:$BB$88,3,),IF(AND(I173="TDP",S173&lt;=500),VLOOKUP(AF173,[1]TPCalibEq500!$AZ$2:$BB$88,3,)))</f>
        <v>0</v>
      </c>
      <c r="AT173" s="2" t="b">
        <f>IF(AND(I173="TN",S173&lt;=2800),VLOOKUP(AF173,[1]TNCalibEq2500!$AZ$2:$BB$80,3,),IF(AND(I173="TDN",S173&lt;=2800),VLOOKUP(AF173,[1]TNCalibEq2500!$AZ$2:$BB$80,3,)))</f>
        <v>0</v>
      </c>
      <c r="AU173" s="2" t="str">
        <f>IF(I173="TP",VLOOKUP(AF173,[1]TPCalibEqFull!$AZ$2:$BB$164,3),IF(I173="TDP",VLOOKUP(AF173,[1]TPCalibEqFull!$AZ$2:$BB$164,3),IF(I173="TDN",VLOOKUP(AF173,[1]TNCalibEqFull!$AZ$2:$BB$116,3),IF(I173="TN",VLOOKUP(AF173,[1]TNCalibEqFull!$AZ$2:$BB$118,3),FALSE))))</f>
        <v>y=1.0953x2+204.93x-109.69</v>
      </c>
      <c r="AV173" s="2" t="str">
        <f t="shared" si="24"/>
        <v>0723 09:00:00-QAC-STD-D.A-1-DI-CAL</v>
      </c>
      <c r="AW173" s="2"/>
      <c r="AX173" s="2"/>
      <c r="AY173" s="2"/>
    </row>
    <row r="174" spans="1:51" x14ac:dyDescent="0.35">
      <c r="A174" s="45">
        <v>45496</v>
      </c>
      <c r="B174" s="46">
        <v>0.375</v>
      </c>
      <c r="C174" s="2" t="s">
        <v>88</v>
      </c>
      <c r="D174" s="2" t="s">
        <v>89</v>
      </c>
      <c r="E174" s="2" t="s">
        <v>209</v>
      </c>
      <c r="F174" s="2">
        <v>1</v>
      </c>
      <c r="G174" s="2" t="s">
        <v>91</v>
      </c>
      <c r="H174" s="2" t="s">
        <v>92</v>
      </c>
      <c r="I174" s="2" t="s">
        <v>198</v>
      </c>
      <c r="J174" s="2">
        <v>189</v>
      </c>
      <c r="K174" s="47">
        <v>45497</v>
      </c>
      <c r="L174" s="46">
        <v>0.72687500000000005</v>
      </c>
      <c r="M174" s="2">
        <v>1</v>
      </c>
      <c r="N174" s="2" t="s">
        <v>199</v>
      </c>
      <c r="O174" s="2">
        <v>0.52100000000000002</v>
      </c>
      <c r="P174" s="2">
        <v>5.0299999999999997E-2</v>
      </c>
      <c r="Q174" s="2">
        <v>0</v>
      </c>
      <c r="R174" s="2" t="s">
        <v>200</v>
      </c>
      <c r="S174" s="48">
        <f t="shared" si="18"/>
        <v>0</v>
      </c>
      <c r="T174" s="2" t="s">
        <v>210</v>
      </c>
      <c r="U174" s="48" t="s">
        <v>97</v>
      </c>
      <c r="V174" s="44" t="s">
        <v>97</v>
      </c>
      <c r="W174" s="44" t="s">
        <v>98</v>
      </c>
      <c r="X174" s="44" t="s">
        <v>97</v>
      </c>
      <c r="Y174" s="2" t="s">
        <v>201</v>
      </c>
      <c r="Z174" s="2"/>
      <c r="AA174" s="2"/>
      <c r="AB174" s="2"/>
      <c r="AC174" s="2"/>
      <c r="AD174" s="2"/>
      <c r="AE174" s="2"/>
      <c r="AF174" s="47">
        <v>45497</v>
      </c>
      <c r="AG174" s="2">
        <f>-48.316*0.521^2+258.18*0.521-118.22</f>
        <v>3.1768366440000193</v>
      </c>
      <c r="AH174" s="2">
        <f>51.002*0.521^2+72.467*0.521-44.141</f>
        <v>7.4583408820000088</v>
      </c>
      <c r="AI174" s="2">
        <f>35.548*0.521^2+104.83*0.521-59.737</f>
        <v>4.5286146679999959</v>
      </c>
      <c r="AJ174" s="2"/>
      <c r="AK174" s="2">
        <f>1.0953*0.521^2+204.93*0.521-109.69</f>
        <v>-2.6241606726999862</v>
      </c>
      <c r="AL174" s="2" t="str">
        <f t="shared" si="25"/>
        <v>y=-48.316*0.521^2+258.18*0.521-118.22</v>
      </c>
      <c r="AM174" s="2" t="str">
        <f t="shared" si="25"/>
        <v>y=51.002*0.521^2+72.467*0.521-44.141</v>
      </c>
      <c r="AN174" s="2" t="str">
        <f t="shared" si="25"/>
        <v>y=35.548*0.521^2+104.83*0.521-59.737</v>
      </c>
      <c r="AO174" s="2" t="str">
        <f t="shared" si="26"/>
        <v>FALSE</v>
      </c>
      <c r="AP174" s="2" t="str">
        <f t="shared" si="26"/>
        <v>y=1.0953*0.521^2+204.93*0.521-109.69</v>
      </c>
      <c r="AQ174" s="2" t="str">
        <f>IF(AND(I174="TP",S174&lt;=150),VLOOKUP(AF174,[1]TPCalibEq150!$AZ$2:$BB$74,3,),IF(AND(I174="TDP",S174&lt;=150),VLOOKUP(AF174,[1]TPCalibEq150!$AZ$2:$BB$74,3,)))</f>
        <v>y=-48.316x2+258.18x-118.22</v>
      </c>
      <c r="AR174" s="2" t="str">
        <f>IF(AND(I174="TP",S174&lt;=300),VLOOKUP(AF174,[1]TPCalibEq300!$AZ$2:$BB$76,3,),IF(AND(I174="TDP",S174&lt;=300),VLOOKUP(AF174,[1]TPCalibEq300!$AZ$2:$BB$76,3,)))</f>
        <v>y=51.002x2+72.467x-44.141</v>
      </c>
      <c r="AS174" s="2" t="str">
        <f>IF(AND(I174="TP",S174&lt;=500),VLOOKUP(AF174,[1]TPCalibEq500!$AZ$2:$BB$88,3,),IF(AND(I174="TDP",S174&lt;=500),VLOOKUP(AF174,[1]TPCalibEq500!$AZ$2:$BB$88,3,)))</f>
        <v>y=35.548x2+104.83x-59.737</v>
      </c>
      <c r="AT174" s="2" t="b">
        <f>IF(AND(I174="TN",S174&lt;=2800),VLOOKUP(AF174,[1]TNCalibEq2500!$AZ$2:$BB$80,3,),IF(AND(I174="TDN",S174&lt;=2800),VLOOKUP(AF174,[1]TNCalibEq2500!$AZ$2:$BB$80,3,)))</f>
        <v>0</v>
      </c>
      <c r="AU174" s="2" t="str">
        <f>IF(I174="TP",VLOOKUP(AF174,[1]TPCalibEqFull!$AZ$2:$BB$164,3),IF(I174="TDP",VLOOKUP(AF174,[1]TPCalibEqFull!$AZ$2:$BB$164,3),IF(I174="TDN",VLOOKUP(AF174,[1]TNCalibEqFull!$AZ$2:$BB$116,3),IF(I174="TN",VLOOKUP(AF174,[1]TNCalibEqFull!$AZ$2:$BB$118,3),FALSE))))</f>
        <v>y=1.0953x2+204.93x-109.69</v>
      </c>
      <c r="AV174" s="2" t="str">
        <f t="shared" si="24"/>
        <v>0723 09:00:00-QAC-STD-Q.H-1-DI-CAL</v>
      </c>
      <c r="AW174" s="2"/>
      <c r="AX174" s="2"/>
      <c r="AY174" s="2"/>
    </row>
    <row r="175" spans="1:51" x14ac:dyDescent="0.35">
      <c r="A175" s="45">
        <v>45496</v>
      </c>
      <c r="B175" s="46">
        <v>0.375</v>
      </c>
      <c r="C175" s="2" t="s">
        <v>88</v>
      </c>
      <c r="D175" s="2" t="s">
        <v>89</v>
      </c>
      <c r="E175" s="2" t="s">
        <v>211</v>
      </c>
      <c r="F175" s="2">
        <v>1</v>
      </c>
      <c r="G175" s="2" t="s">
        <v>91</v>
      </c>
      <c r="H175" s="2" t="s">
        <v>92</v>
      </c>
      <c r="I175" s="2" t="s">
        <v>198</v>
      </c>
      <c r="J175" s="2">
        <v>190</v>
      </c>
      <c r="K175" s="47">
        <v>45497</v>
      </c>
      <c r="L175" s="46">
        <v>0.72746527777777781</v>
      </c>
      <c r="M175" s="2">
        <v>1</v>
      </c>
      <c r="N175" s="2" t="s">
        <v>199</v>
      </c>
      <c r="O175" s="2">
        <v>0.59899999999999998</v>
      </c>
      <c r="P175" s="2">
        <v>5.6899999999999999E-2</v>
      </c>
      <c r="Q175" s="2">
        <v>5</v>
      </c>
      <c r="R175" s="2" t="s">
        <v>200</v>
      </c>
      <c r="S175" s="48">
        <f t="shared" si="18"/>
        <v>5</v>
      </c>
      <c r="T175" s="2" t="s">
        <v>212</v>
      </c>
      <c r="U175" s="48" t="s">
        <v>97</v>
      </c>
      <c r="V175" s="44" t="s">
        <v>97</v>
      </c>
      <c r="W175" s="44" t="s">
        <v>98</v>
      </c>
      <c r="X175" s="44" t="s">
        <v>97</v>
      </c>
      <c r="Y175" s="2" t="s">
        <v>201</v>
      </c>
      <c r="Z175" s="2"/>
      <c r="AA175" s="2"/>
      <c r="AB175" s="2"/>
      <c r="AC175" s="2"/>
      <c r="AD175" s="2"/>
      <c r="AE175" s="2"/>
      <c r="AF175" s="47">
        <v>45497</v>
      </c>
      <c r="AG175" s="2">
        <f>-48.316*0.599^2+258.18*0.599-118.22</f>
        <v>19.093990884000021</v>
      </c>
      <c r="AH175" s="2">
        <f>51.002*0.599^2+72.467*0.599-44.141</f>
        <v>17.566301602000003</v>
      </c>
      <c r="AI175" s="2">
        <f>35.548*0.599^2+104.83*0.599-59.737</f>
        <v>15.810827947999989</v>
      </c>
      <c r="AJ175" s="2"/>
      <c r="AK175" s="2">
        <f>1.0953*0.599^2+204.93*0.599-109.69</f>
        <v>13.456064735299989</v>
      </c>
      <c r="AL175" s="2" t="str">
        <f t="shared" si="25"/>
        <v>y=-48.316*0.599^2+258.18*0.599-118.22</v>
      </c>
      <c r="AM175" s="2" t="str">
        <f t="shared" si="25"/>
        <v>y=51.002*0.599^2+72.467*0.599-44.141</v>
      </c>
      <c r="AN175" s="2" t="str">
        <f t="shared" si="25"/>
        <v>y=35.548*0.599^2+104.83*0.599-59.737</v>
      </c>
      <c r="AO175" s="2" t="str">
        <f t="shared" si="26"/>
        <v>FALSE</v>
      </c>
      <c r="AP175" s="2" t="str">
        <f t="shared" si="26"/>
        <v>y=1.0953*0.599^2+204.93*0.599-109.69</v>
      </c>
      <c r="AQ175" s="2" t="str">
        <f>IF(AND(I175="TP",S175&lt;=150),VLOOKUP(AF175,[1]TPCalibEq150!$AZ$2:$BB$74,3,),IF(AND(I175="TDP",S175&lt;=150),VLOOKUP(AF175,[1]TPCalibEq150!$AZ$2:$BB$74,3,)))</f>
        <v>y=-48.316x2+258.18x-118.22</v>
      </c>
      <c r="AR175" s="2" t="str">
        <f>IF(AND(I175="TP",S175&lt;=300),VLOOKUP(AF175,[1]TPCalibEq300!$AZ$2:$BB$76,3,),IF(AND(I175="TDP",S175&lt;=300),VLOOKUP(AF175,[1]TPCalibEq300!$AZ$2:$BB$76,3,)))</f>
        <v>y=51.002x2+72.467x-44.141</v>
      </c>
      <c r="AS175" s="2" t="str">
        <f>IF(AND(I175="TP",S175&lt;=500),VLOOKUP(AF175,[1]TPCalibEq500!$AZ$2:$BB$88,3,),IF(AND(I175="TDP",S175&lt;=500),VLOOKUP(AF175,[1]TPCalibEq500!$AZ$2:$BB$88,3,)))</f>
        <v>y=35.548x2+104.83x-59.737</v>
      </c>
      <c r="AT175" s="2" t="b">
        <f>IF(AND(I175="TN",S175&lt;=2800),VLOOKUP(AF175,[1]TNCalibEq2500!$AZ$2:$BB$80,3,),IF(AND(I175="TDN",S175&lt;=2800),VLOOKUP(AF175,[1]TNCalibEq2500!$AZ$2:$BB$80,3,)))</f>
        <v>0</v>
      </c>
      <c r="AU175" s="2" t="str">
        <f>IF(I175="TP",VLOOKUP(AF175,[1]TPCalibEqFull!$AZ$2:$BB$164,3),IF(I175="TDP",VLOOKUP(AF175,[1]TPCalibEqFull!$AZ$2:$BB$164,3),IF(I175="TDN",VLOOKUP(AF175,[1]TNCalibEqFull!$AZ$2:$BB$116,3),IF(I175="TN",VLOOKUP(AF175,[1]TNCalibEqFull!$AZ$2:$BB$118,3),FALSE))))</f>
        <v>y=1.0953x2+204.93x-109.69</v>
      </c>
      <c r="AV175" s="2" t="str">
        <f t="shared" si="24"/>
        <v>0723 09:00:00-QAC-STD-Q.G-1-DI-CAL</v>
      </c>
      <c r="AW175" s="2"/>
      <c r="AX175" s="2"/>
      <c r="AY175" s="2"/>
    </row>
    <row r="176" spans="1:51" x14ac:dyDescent="0.35">
      <c r="A176" s="45">
        <v>45496</v>
      </c>
      <c r="B176" s="46">
        <v>0.375</v>
      </c>
      <c r="C176" s="2" t="s">
        <v>88</v>
      </c>
      <c r="D176" s="2" t="s">
        <v>89</v>
      </c>
      <c r="E176" s="2" t="s">
        <v>213</v>
      </c>
      <c r="F176" s="2">
        <v>1</v>
      </c>
      <c r="G176" s="2" t="s">
        <v>91</v>
      </c>
      <c r="H176" s="2" t="s">
        <v>92</v>
      </c>
      <c r="I176" s="2" t="s">
        <v>198</v>
      </c>
      <c r="J176" s="2">
        <v>191</v>
      </c>
      <c r="K176" s="47">
        <v>45497</v>
      </c>
      <c r="L176" s="46">
        <v>0.72805555555555557</v>
      </c>
      <c r="M176" s="2">
        <v>1</v>
      </c>
      <c r="N176" s="2" t="s">
        <v>199</v>
      </c>
      <c r="O176" s="2">
        <v>0.505</v>
      </c>
      <c r="P176" s="2">
        <v>4.7500000000000001E-2</v>
      </c>
      <c r="Q176" s="2">
        <v>15</v>
      </c>
      <c r="R176" s="2" t="s">
        <v>200</v>
      </c>
      <c r="S176" s="48">
        <f t="shared" si="18"/>
        <v>15</v>
      </c>
      <c r="T176" s="2" t="s">
        <v>214</v>
      </c>
      <c r="U176" s="48" t="s">
        <v>97</v>
      </c>
      <c r="V176" s="44" t="s">
        <v>97</v>
      </c>
      <c r="W176" s="44" t="s">
        <v>98</v>
      </c>
      <c r="X176" s="44" t="s">
        <v>97</v>
      </c>
      <c r="Y176" s="2" t="s">
        <v>201</v>
      </c>
      <c r="Z176" s="2"/>
      <c r="AA176" s="2"/>
      <c r="AB176" s="2"/>
      <c r="AC176" s="2"/>
      <c r="AD176" s="2"/>
      <c r="AE176" s="2"/>
      <c r="AF176" s="47">
        <v>45497</v>
      </c>
      <c r="AG176" s="2">
        <f>-48.316*0.505^2+258.18*0.505-118.22</f>
        <v>-0.16088790000000586</v>
      </c>
      <c r="AH176" s="2">
        <f>51.002*0.505^2+72.467*0.505-44.141</f>
        <v>5.4616200500000005</v>
      </c>
      <c r="AI176" s="2">
        <f>35.548*0.505^2+104.83*0.505-59.737</f>
        <v>2.2677787000000009</v>
      </c>
      <c r="AJ176" s="2"/>
      <c r="AK176" s="2">
        <f>1.0953*0.505^2+204.93*0.505-109.69</f>
        <v>-5.921021117500004</v>
      </c>
      <c r="AL176" s="2" t="str">
        <f t="shared" si="25"/>
        <v>y=-48.316*0.505^2+258.18*0.505-118.22</v>
      </c>
      <c r="AM176" s="2" t="str">
        <f t="shared" si="25"/>
        <v>y=51.002*0.505^2+72.467*0.505-44.141</v>
      </c>
      <c r="AN176" s="2" t="str">
        <f t="shared" si="25"/>
        <v>y=35.548*0.505^2+104.83*0.505-59.737</v>
      </c>
      <c r="AO176" s="2" t="str">
        <f t="shared" si="26"/>
        <v>FALSE</v>
      </c>
      <c r="AP176" s="2" t="str">
        <f t="shared" si="26"/>
        <v>y=1.0953*0.505^2+204.93*0.505-109.69</v>
      </c>
      <c r="AQ176" s="2" t="str">
        <f>IF(AND(I176="TP",S176&lt;=150),VLOOKUP(AF176,[1]TPCalibEq150!$AZ$2:$BB$74,3,),IF(AND(I176="TDP",S176&lt;=150),VLOOKUP(AF176,[1]TPCalibEq150!$AZ$2:$BB$74,3,)))</f>
        <v>y=-48.316x2+258.18x-118.22</v>
      </c>
      <c r="AR176" s="2" t="str">
        <f>IF(AND(I176="TP",S176&lt;=300),VLOOKUP(AF176,[1]TPCalibEq300!$AZ$2:$BB$76,3,),IF(AND(I176="TDP",S176&lt;=300),VLOOKUP(AF176,[1]TPCalibEq300!$AZ$2:$BB$76,3,)))</f>
        <v>y=51.002x2+72.467x-44.141</v>
      </c>
      <c r="AS176" s="2" t="str">
        <f>IF(AND(I176="TP",S176&lt;=500),VLOOKUP(AF176,[1]TPCalibEq500!$AZ$2:$BB$88,3,),IF(AND(I176="TDP",S176&lt;=500),VLOOKUP(AF176,[1]TPCalibEq500!$AZ$2:$BB$88,3,)))</f>
        <v>y=35.548x2+104.83x-59.737</v>
      </c>
      <c r="AT176" s="2" t="b">
        <f>IF(AND(I176="TN",S176&lt;=2800),VLOOKUP(AF176,[1]TNCalibEq2500!$AZ$2:$BB$80,3,),IF(AND(I176="TDN",S176&lt;=2800),VLOOKUP(AF176,[1]TNCalibEq2500!$AZ$2:$BB$80,3,)))</f>
        <v>0</v>
      </c>
      <c r="AU176" s="2" t="str">
        <f>IF(I176="TP",VLOOKUP(AF176,[1]TPCalibEqFull!$AZ$2:$BB$164,3),IF(I176="TDP",VLOOKUP(AF176,[1]TPCalibEqFull!$AZ$2:$BB$164,3),IF(I176="TDN",VLOOKUP(AF176,[1]TNCalibEqFull!$AZ$2:$BB$116,3),IF(I176="TN",VLOOKUP(AF176,[1]TNCalibEqFull!$AZ$2:$BB$118,3),FALSE))))</f>
        <v>y=1.0953x2+204.93x-109.69</v>
      </c>
      <c r="AV176" s="2" t="str">
        <f t="shared" si="24"/>
        <v>0723 09:00:00-QAC-STD-Q.F-1-DI-CAL</v>
      </c>
      <c r="AW176" s="2"/>
      <c r="AX176" s="2"/>
      <c r="AY176" s="2"/>
    </row>
    <row r="177" spans="1:51" x14ac:dyDescent="0.35">
      <c r="A177" s="45">
        <v>45496</v>
      </c>
      <c r="B177" s="46">
        <v>0.375</v>
      </c>
      <c r="C177" s="2" t="s">
        <v>88</v>
      </c>
      <c r="D177" s="2" t="s">
        <v>89</v>
      </c>
      <c r="E177" s="2" t="s">
        <v>215</v>
      </c>
      <c r="F177" s="2">
        <v>1</v>
      </c>
      <c r="G177" s="2" t="s">
        <v>91</v>
      </c>
      <c r="H177" s="2" t="s">
        <v>92</v>
      </c>
      <c r="I177" s="2" t="s">
        <v>198</v>
      </c>
      <c r="J177" s="2">
        <v>192</v>
      </c>
      <c r="K177" s="47">
        <v>45497</v>
      </c>
      <c r="L177" s="46">
        <v>0.72865740740740748</v>
      </c>
      <c r="M177" s="2">
        <v>1</v>
      </c>
      <c r="N177" s="2" t="s">
        <v>199</v>
      </c>
      <c r="O177" s="2">
        <v>0.63100000000000001</v>
      </c>
      <c r="P177" s="2">
        <v>6.0400000000000002E-2</v>
      </c>
      <c r="Q177" s="2">
        <v>20</v>
      </c>
      <c r="R177" s="2" t="s">
        <v>200</v>
      </c>
      <c r="S177" s="48">
        <f t="shared" si="18"/>
        <v>20</v>
      </c>
      <c r="T177" s="2" t="s">
        <v>214</v>
      </c>
      <c r="U177" s="48" t="s">
        <v>97</v>
      </c>
      <c r="V177" s="44" t="s">
        <v>97</v>
      </c>
      <c r="W177" s="44" t="s">
        <v>98</v>
      </c>
      <c r="X177" s="44" t="s">
        <v>97</v>
      </c>
      <c r="Y177" s="2" t="s">
        <v>201</v>
      </c>
      <c r="Z177" s="2"/>
      <c r="AA177" s="2"/>
      <c r="AB177" s="2"/>
      <c r="AC177" s="2"/>
      <c r="AD177" s="2"/>
      <c r="AE177" s="2"/>
      <c r="AF177" s="47">
        <v>45497</v>
      </c>
      <c r="AG177" s="2">
        <f>-48.316*0.631^2+258.18*0.631-118.22</f>
        <v>25.454033124000006</v>
      </c>
      <c r="AH177" s="2">
        <f>51.002*0.631^2+72.467*0.631-44.141</f>
        <v>21.892684322000001</v>
      </c>
      <c r="AI177" s="2">
        <f>35.548*0.631^2+104.83*0.631-59.737</f>
        <v>20.564557227999991</v>
      </c>
      <c r="AJ177" s="2"/>
      <c r="AK177" s="2">
        <f>1.0953*0.631^2+204.93*0.631-109.69</f>
        <v>20.056935743300016</v>
      </c>
      <c r="AL177" s="2" t="str">
        <f t="shared" si="25"/>
        <v>y=-48.316*0.631^2+258.18*0.631-118.22</v>
      </c>
      <c r="AM177" s="2" t="str">
        <f t="shared" si="25"/>
        <v>y=51.002*0.631^2+72.467*0.631-44.141</v>
      </c>
      <c r="AN177" s="2" t="str">
        <f t="shared" si="25"/>
        <v>y=35.548*0.631^2+104.83*0.631-59.737</v>
      </c>
      <c r="AO177" s="2" t="str">
        <f t="shared" si="26"/>
        <v>FALSE</v>
      </c>
      <c r="AP177" s="2" t="str">
        <f t="shared" si="26"/>
        <v>y=1.0953*0.631^2+204.93*0.631-109.69</v>
      </c>
      <c r="AQ177" s="2" t="str">
        <f>IF(AND(I177="TP",S177&lt;=150),VLOOKUP(AF177,[1]TPCalibEq150!$AZ$2:$BB$74,3,),IF(AND(I177="TDP",S177&lt;=150),VLOOKUP(AF177,[1]TPCalibEq150!$AZ$2:$BB$74,3,)))</f>
        <v>y=-48.316x2+258.18x-118.22</v>
      </c>
      <c r="AR177" s="2" t="str">
        <f>IF(AND(I177="TP",S177&lt;=300),VLOOKUP(AF177,[1]TPCalibEq300!$AZ$2:$BB$76,3,),IF(AND(I177="TDP",S177&lt;=300),VLOOKUP(AF177,[1]TPCalibEq300!$AZ$2:$BB$76,3,)))</f>
        <v>y=51.002x2+72.467x-44.141</v>
      </c>
      <c r="AS177" s="2" t="str">
        <f>IF(AND(I177="TP",S177&lt;=500),VLOOKUP(AF177,[1]TPCalibEq500!$AZ$2:$BB$88,3,),IF(AND(I177="TDP",S177&lt;=500),VLOOKUP(AF177,[1]TPCalibEq500!$AZ$2:$BB$88,3,)))</f>
        <v>y=35.548x2+104.83x-59.737</v>
      </c>
      <c r="AT177" s="2" t="b">
        <f>IF(AND(I177="TN",S177&lt;=2800),VLOOKUP(AF177,[1]TNCalibEq2500!$AZ$2:$BB$80,3,),IF(AND(I177="TDN",S177&lt;=2800),VLOOKUP(AF177,[1]TNCalibEq2500!$AZ$2:$BB$80,3,)))</f>
        <v>0</v>
      </c>
      <c r="AU177" s="2" t="str">
        <f>IF(I177="TP",VLOOKUP(AF177,[1]TPCalibEqFull!$AZ$2:$BB$164,3),IF(I177="TDP",VLOOKUP(AF177,[1]TPCalibEqFull!$AZ$2:$BB$164,3),IF(I177="TDN",VLOOKUP(AF177,[1]TNCalibEqFull!$AZ$2:$BB$116,3),IF(I177="TN",VLOOKUP(AF177,[1]TNCalibEqFull!$AZ$2:$BB$118,3),FALSE))))</f>
        <v>y=1.0953x2+204.93x-109.69</v>
      </c>
      <c r="AV177" s="2" t="str">
        <f t="shared" si="24"/>
        <v>0723 09:00:00-QAC-STD-Q.E-1-DI-CAL</v>
      </c>
      <c r="AW177" s="2"/>
      <c r="AX177" s="2"/>
      <c r="AY177" s="2"/>
    </row>
    <row r="178" spans="1:51" x14ac:dyDescent="0.35">
      <c r="A178" s="45">
        <v>45496</v>
      </c>
      <c r="B178" s="46">
        <v>0.375</v>
      </c>
      <c r="C178" s="2" t="s">
        <v>88</v>
      </c>
      <c r="D178" s="2" t="s">
        <v>89</v>
      </c>
      <c r="E178" s="2" t="s">
        <v>216</v>
      </c>
      <c r="F178" s="2">
        <v>1</v>
      </c>
      <c r="G178" s="2" t="s">
        <v>91</v>
      </c>
      <c r="H178" s="2" t="s">
        <v>92</v>
      </c>
      <c r="I178" s="2" t="s">
        <v>198</v>
      </c>
      <c r="J178" s="2">
        <v>193</v>
      </c>
      <c r="K178" s="47">
        <v>45497</v>
      </c>
      <c r="L178" s="46">
        <v>0.72924768518518512</v>
      </c>
      <c r="M178" s="2">
        <v>1</v>
      </c>
      <c r="N178" s="2" t="s">
        <v>199</v>
      </c>
      <c r="O178" s="2">
        <v>0.85099999999999998</v>
      </c>
      <c r="P178" s="2">
        <v>8.2500000000000004E-2</v>
      </c>
      <c r="Q178" s="2">
        <v>75</v>
      </c>
      <c r="R178" s="2" t="s">
        <v>200</v>
      </c>
      <c r="S178" s="48">
        <f t="shared" si="18"/>
        <v>75</v>
      </c>
      <c r="T178" s="2" t="s">
        <v>214</v>
      </c>
      <c r="U178" s="48" t="s">
        <v>97</v>
      </c>
      <c r="V178" s="44" t="s">
        <v>97</v>
      </c>
      <c r="W178" s="44" t="s">
        <v>98</v>
      </c>
      <c r="X178" s="44" t="s">
        <v>97</v>
      </c>
      <c r="Y178" s="2" t="s">
        <v>201</v>
      </c>
      <c r="Z178" s="2"/>
      <c r="AA178" s="2"/>
      <c r="AB178" s="2"/>
      <c r="AC178" s="2"/>
      <c r="AD178" s="2"/>
      <c r="AE178" s="2"/>
      <c r="AF178" s="47">
        <v>45497</v>
      </c>
      <c r="AG178" s="2">
        <f>-48.316*0.851^2+258.18*0.851-118.22</f>
        <v>66.500684484000004</v>
      </c>
      <c r="AH178" s="2">
        <f>51.002*0.851^2+72.467*0.851-44.141</f>
        <v>54.464116401999995</v>
      </c>
      <c r="AI178" s="2">
        <f>35.548*0.851^2+104.83*0.851-59.737</f>
        <v>55.217227147999999</v>
      </c>
      <c r="AJ178" s="2"/>
      <c r="AK178" s="2">
        <f>1.0953*0.851^2+204.93*0.851-109.69</f>
        <v>65.498647355299994</v>
      </c>
      <c r="AL178" s="2" t="str">
        <f t="shared" si="25"/>
        <v>y=-48.316*0.851^2+258.18*0.851-118.22</v>
      </c>
      <c r="AM178" s="2" t="str">
        <f t="shared" si="25"/>
        <v>y=51.002*0.851^2+72.467*0.851-44.141</v>
      </c>
      <c r="AN178" s="2" t="str">
        <f t="shared" si="25"/>
        <v>y=35.548*0.851^2+104.83*0.851-59.737</v>
      </c>
      <c r="AO178" s="2" t="str">
        <f t="shared" si="26"/>
        <v>FALSE</v>
      </c>
      <c r="AP178" s="2" t="str">
        <f t="shared" si="26"/>
        <v>y=1.0953*0.851^2+204.93*0.851-109.69</v>
      </c>
      <c r="AQ178" s="2" t="str">
        <f>IF(AND(I178="TP",S178&lt;=150),VLOOKUP(AF178,[1]TPCalibEq150!$AZ$2:$BB$74,3,),IF(AND(I178="TDP",S178&lt;=150),VLOOKUP(AF178,[1]TPCalibEq150!$AZ$2:$BB$74,3,)))</f>
        <v>y=-48.316x2+258.18x-118.22</v>
      </c>
      <c r="AR178" s="2" t="str">
        <f>IF(AND(I178="TP",S178&lt;=300),VLOOKUP(AF178,[1]TPCalibEq300!$AZ$2:$BB$76,3,),IF(AND(I178="TDP",S178&lt;=300),VLOOKUP(AF178,[1]TPCalibEq300!$AZ$2:$BB$76,3,)))</f>
        <v>y=51.002x2+72.467x-44.141</v>
      </c>
      <c r="AS178" s="2" t="str">
        <f>IF(AND(I178="TP",S178&lt;=500),VLOOKUP(AF178,[1]TPCalibEq500!$AZ$2:$BB$88,3,),IF(AND(I178="TDP",S178&lt;=500),VLOOKUP(AF178,[1]TPCalibEq500!$AZ$2:$BB$88,3,)))</f>
        <v>y=35.548x2+104.83x-59.737</v>
      </c>
      <c r="AT178" s="2" t="b">
        <f>IF(AND(I178="TN",S178&lt;=2800),VLOOKUP(AF178,[1]TNCalibEq2500!$AZ$2:$BB$80,3,),IF(AND(I178="TDN",S178&lt;=2800),VLOOKUP(AF178,[1]TNCalibEq2500!$AZ$2:$BB$80,3,)))</f>
        <v>0</v>
      </c>
      <c r="AU178" s="2" t="str">
        <f>IF(I178="TP",VLOOKUP(AF178,[1]TPCalibEqFull!$AZ$2:$BB$164,3),IF(I178="TDP",VLOOKUP(AF178,[1]TPCalibEqFull!$AZ$2:$BB$164,3),IF(I178="TDN",VLOOKUP(AF178,[1]TNCalibEqFull!$AZ$2:$BB$116,3),IF(I178="TN",VLOOKUP(AF178,[1]TNCalibEqFull!$AZ$2:$BB$118,3),FALSE))))</f>
        <v>y=1.0953x2+204.93x-109.69</v>
      </c>
      <c r="AV178" s="2" t="str">
        <f t="shared" si="24"/>
        <v>0723 09:00:00-QAC-STD-Q.D-1-DI-CAL</v>
      </c>
      <c r="AW178" s="2"/>
      <c r="AX178" s="2"/>
      <c r="AY178" s="2"/>
    </row>
    <row r="179" spans="1:51" x14ac:dyDescent="0.35">
      <c r="A179" s="45">
        <v>45496</v>
      </c>
      <c r="B179" s="46">
        <v>0.375</v>
      </c>
      <c r="C179" s="2" t="s">
        <v>88</v>
      </c>
      <c r="D179" s="2" t="s">
        <v>89</v>
      </c>
      <c r="E179" s="2" t="s">
        <v>217</v>
      </c>
      <c r="F179" s="2">
        <v>1</v>
      </c>
      <c r="G179" s="2" t="s">
        <v>91</v>
      </c>
      <c r="H179" s="2" t="s">
        <v>92</v>
      </c>
      <c r="I179" s="2" t="s">
        <v>198</v>
      </c>
      <c r="J179" s="2">
        <v>194</v>
      </c>
      <c r="K179" s="47">
        <v>45497</v>
      </c>
      <c r="L179" s="46">
        <v>0.72983796296296299</v>
      </c>
      <c r="M179" s="2">
        <v>1</v>
      </c>
      <c r="N179" s="2" t="s">
        <v>199</v>
      </c>
      <c r="O179" s="2">
        <v>1.42</v>
      </c>
      <c r="P179" s="2">
        <v>0.13900000000000001</v>
      </c>
      <c r="Q179" s="2">
        <v>150</v>
      </c>
      <c r="R179" s="2" t="s">
        <v>200</v>
      </c>
      <c r="S179" s="48">
        <f t="shared" si="18"/>
        <v>150</v>
      </c>
      <c r="T179" s="2" t="s">
        <v>218</v>
      </c>
      <c r="U179" s="48" t="s">
        <v>97</v>
      </c>
      <c r="V179" s="44" t="s">
        <v>97</v>
      </c>
      <c r="W179" s="44" t="s">
        <v>98</v>
      </c>
      <c r="X179" s="44" t="s">
        <v>97</v>
      </c>
      <c r="Y179" s="2" t="s">
        <v>201</v>
      </c>
      <c r="Z179" s="2"/>
      <c r="AA179" s="2"/>
      <c r="AB179" s="2"/>
      <c r="AC179" s="2"/>
      <c r="AD179" s="2"/>
      <c r="AE179" s="2"/>
      <c r="AF179" s="47">
        <v>45497</v>
      </c>
      <c r="AG179" s="2">
        <f>-48.316*1.42^2+258.18*1.42-118.22</f>
        <v>150.97121759999996</v>
      </c>
      <c r="AH179" s="2">
        <f>51.002*1.42^2+72.467*1.42-44.141</f>
        <v>161.60257279999999</v>
      </c>
      <c r="AI179" s="2">
        <f>35.548*1.42^2+104.83*1.42-59.737</f>
        <v>160.80058720000002</v>
      </c>
      <c r="AJ179" s="2"/>
      <c r="AK179" s="2">
        <f>1.0953*1.42^2+204.93*1.42-109.69</f>
        <v>183.51916292000004</v>
      </c>
      <c r="AL179" s="2" t="str">
        <f t="shared" si="25"/>
        <v>y=-48.316*1.42^2+258.18*1.42-118.22</v>
      </c>
      <c r="AM179" s="2" t="str">
        <f t="shared" si="25"/>
        <v>y=51.002*1.42^2+72.467*1.42-44.141</v>
      </c>
      <c r="AN179" s="2" t="str">
        <f t="shared" si="25"/>
        <v>y=35.548*1.42^2+104.83*1.42-59.737</v>
      </c>
      <c r="AO179" s="2" t="str">
        <f t="shared" si="26"/>
        <v>FALSE</v>
      </c>
      <c r="AP179" s="2" t="str">
        <f t="shared" si="26"/>
        <v>y=1.0953*1.42^2+204.93*1.42-109.69</v>
      </c>
      <c r="AQ179" s="2" t="str">
        <f>IF(AND(I179="TP",S179&lt;=150),VLOOKUP(AF179,[1]TPCalibEq150!$AZ$2:$BB$74,3,),IF(AND(I179="TDP",S179&lt;=150),VLOOKUP(AF179,[1]TPCalibEq150!$AZ$2:$BB$74,3,)))</f>
        <v>y=-48.316x2+258.18x-118.22</v>
      </c>
      <c r="AR179" s="2" t="str">
        <f>IF(AND(I179="TP",S179&lt;=300),VLOOKUP(AF179,[1]TPCalibEq300!$AZ$2:$BB$76,3,),IF(AND(I179="TDP",S179&lt;=300),VLOOKUP(AF179,[1]TPCalibEq300!$AZ$2:$BB$76,3,)))</f>
        <v>y=51.002x2+72.467x-44.141</v>
      </c>
      <c r="AS179" s="2" t="str">
        <f>IF(AND(I179="TP",S179&lt;=500),VLOOKUP(AF179,[1]TPCalibEq500!$AZ$2:$BB$88,3,),IF(AND(I179="TDP",S179&lt;=500),VLOOKUP(AF179,[1]TPCalibEq500!$AZ$2:$BB$88,3,)))</f>
        <v>y=35.548x2+104.83x-59.737</v>
      </c>
      <c r="AT179" s="2" t="b">
        <f>IF(AND(I179="TN",S179&lt;=2800),VLOOKUP(AF179,[1]TNCalibEq2500!$AZ$2:$BB$80,3,),IF(AND(I179="TDN",S179&lt;=2800),VLOOKUP(AF179,[1]TNCalibEq2500!$AZ$2:$BB$80,3,)))</f>
        <v>0</v>
      </c>
      <c r="AU179" s="2" t="str">
        <f>IF(I179="TP",VLOOKUP(AF179,[1]TPCalibEqFull!$AZ$2:$BB$164,3),IF(I179="TDP",VLOOKUP(AF179,[1]TPCalibEqFull!$AZ$2:$BB$164,3),IF(I179="TDN",VLOOKUP(AF179,[1]TNCalibEqFull!$AZ$2:$BB$116,3),IF(I179="TN",VLOOKUP(AF179,[1]TNCalibEqFull!$AZ$2:$BB$118,3),FALSE))))</f>
        <v>y=1.0953x2+204.93x-109.69</v>
      </c>
      <c r="AV179" s="2" t="str">
        <f t="shared" si="24"/>
        <v>0723 09:00:00-QAC-STD-Q.C-1-DI-CAL</v>
      </c>
      <c r="AW179" s="2"/>
      <c r="AX179" s="2"/>
      <c r="AY179" s="2"/>
    </row>
    <row r="180" spans="1:51" x14ac:dyDescent="0.35">
      <c r="A180" s="45">
        <v>45496</v>
      </c>
      <c r="B180" s="46">
        <v>0.375</v>
      </c>
      <c r="C180" s="2" t="s">
        <v>88</v>
      </c>
      <c r="D180" s="2" t="s">
        <v>89</v>
      </c>
      <c r="E180" s="2" t="s">
        <v>219</v>
      </c>
      <c r="F180" s="2">
        <v>1</v>
      </c>
      <c r="G180" s="2" t="s">
        <v>91</v>
      </c>
      <c r="H180" s="2" t="s">
        <v>92</v>
      </c>
      <c r="I180" s="2" t="s">
        <v>198</v>
      </c>
      <c r="J180" s="2">
        <v>195</v>
      </c>
      <c r="K180" s="47">
        <v>45497</v>
      </c>
      <c r="L180" s="46">
        <v>0.73042824074074064</v>
      </c>
      <c r="M180" s="2">
        <v>1</v>
      </c>
      <c r="N180" s="2" t="s">
        <v>199</v>
      </c>
      <c r="O180" s="2">
        <v>1.97</v>
      </c>
      <c r="P180" s="2">
        <v>0.19700000000000001</v>
      </c>
      <c r="Q180" s="2">
        <v>300</v>
      </c>
      <c r="R180" s="2" t="s">
        <v>200</v>
      </c>
      <c r="S180" s="48">
        <f t="shared" si="18"/>
        <v>300</v>
      </c>
      <c r="T180" s="2" t="s">
        <v>220</v>
      </c>
      <c r="U180" s="48" t="s">
        <v>97</v>
      </c>
      <c r="V180" s="44" t="s">
        <v>97</v>
      </c>
      <c r="W180" s="44" t="s">
        <v>98</v>
      </c>
      <c r="X180" s="44" t="s">
        <v>97</v>
      </c>
      <c r="Y180" s="2" t="s">
        <v>201</v>
      </c>
      <c r="Z180" s="2"/>
      <c r="AA180" s="2"/>
      <c r="AB180" s="2"/>
      <c r="AC180" s="2"/>
      <c r="AD180" s="2"/>
      <c r="AE180" s="2"/>
      <c r="AF180" s="47">
        <v>45497</v>
      </c>
      <c r="AG180" s="2"/>
      <c r="AH180" s="2">
        <f>51.002*1.97^2+72.467*1.97-44.141</f>
        <v>296.55265179999998</v>
      </c>
      <c r="AI180" s="2">
        <f>35.548*1.97^2+104.83*1.97-59.737</f>
        <v>284.73633319999993</v>
      </c>
      <c r="AJ180" s="2"/>
      <c r="AK180" s="2">
        <f>1.0953*1.97^2+204.93*1.97-109.69</f>
        <v>298.27284977000005</v>
      </c>
      <c r="AL180" s="2" t="str">
        <f t="shared" si="25"/>
        <v>FALSE</v>
      </c>
      <c r="AM180" s="2" t="str">
        <f t="shared" si="25"/>
        <v>y=51.002*1.97^2+72.467*1.97-44.141</v>
      </c>
      <c r="AN180" s="2" t="str">
        <f t="shared" si="25"/>
        <v>y=35.548*1.97^2+104.83*1.97-59.737</v>
      </c>
      <c r="AO180" s="2" t="str">
        <f t="shared" si="26"/>
        <v>FALSE</v>
      </c>
      <c r="AP180" s="2" t="str">
        <f t="shared" si="26"/>
        <v>y=1.0953*1.97^2+204.93*1.97-109.69</v>
      </c>
      <c r="AQ180" s="2" t="b">
        <f>IF(AND(I180="TP",S180&lt;=150),VLOOKUP(AF180,[1]TPCalibEq150!$AZ$2:$BB$74,3,),IF(AND(I180="TDP",S180&lt;=150),VLOOKUP(AF180,[1]TPCalibEq150!$AZ$2:$BB$74,3,)))</f>
        <v>0</v>
      </c>
      <c r="AR180" s="2" t="str">
        <f>IF(AND(I180="TP",S180&lt;=300),VLOOKUP(AF180,[1]TPCalibEq300!$AZ$2:$BB$76,3,),IF(AND(I180="TDP",S180&lt;=300),VLOOKUP(AF180,[1]TPCalibEq300!$AZ$2:$BB$76,3,)))</f>
        <v>y=51.002x2+72.467x-44.141</v>
      </c>
      <c r="AS180" s="2" t="str">
        <f>IF(AND(I180="TP",S180&lt;=500),VLOOKUP(AF180,[1]TPCalibEq500!$AZ$2:$BB$88,3,),IF(AND(I180="TDP",S180&lt;=500),VLOOKUP(AF180,[1]TPCalibEq500!$AZ$2:$BB$88,3,)))</f>
        <v>y=35.548x2+104.83x-59.737</v>
      </c>
      <c r="AT180" s="2" t="b">
        <f>IF(AND(I180="TN",S180&lt;=2800),VLOOKUP(AF180,[1]TNCalibEq2500!$AZ$2:$BB$80,3,),IF(AND(I180="TDN",S180&lt;=2800),VLOOKUP(AF180,[1]TNCalibEq2500!$AZ$2:$BB$80,3,)))</f>
        <v>0</v>
      </c>
      <c r="AU180" s="2" t="str">
        <f>IF(I180="TP",VLOOKUP(AF180,[1]TPCalibEqFull!$AZ$2:$BB$164,3),IF(I180="TDP",VLOOKUP(AF180,[1]TPCalibEqFull!$AZ$2:$BB$164,3),IF(I180="TDN",VLOOKUP(AF180,[1]TNCalibEqFull!$AZ$2:$BB$116,3),IF(I180="TN",VLOOKUP(AF180,[1]TNCalibEqFull!$AZ$2:$BB$118,3),FALSE))))</f>
        <v>y=1.0953x2+204.93x-109.69</v>
      </c>
      <c r="AV180" s="2" t="str">
        <f t="shared" si="24"/>
        <v>0723 09:00:00-QAC-STD-Q.B-1-DI-CAL</v>
      </c>
      <c r="AW180" s="2"/>
      <c r="AX180" s="2"/>
      <c r="AY180" s="2"/>
    </row>
    <row r="181" spans="1:51" x14ac:dyDescent="0.35">
      <c r="A181" s="45">
        <v>45496</v>
      </c>
      <c r="B181" s="46">
        <v>0.375</v>
      </c>
      <c r="C181" s="2" t="s">
        <v>88</v>
      </c>
      <c r="D181" s="2" t="s">
        <v>89</v>
      </c>
      <c r="E181" s="2" t="s">
        <v>221</v>
      </c>
      <c r="F181" s="2">
        <v>1</v>
      </c>
      <c r="G181" s="2" t="s">
        <v>91</v>
      </c>
      <c r="H181" s="2" t="s">
        <v>92</v>
      </c>
      <c r="I181" s="2" t="s">
        <v>198</v>
      </c>
      <c r="J181" s="2">
        <v>196</v>
      </c>
      <c r="K181" s="47">
        <v>45497</v>
      </c>
      <c r="L181" s="46">
        <v>0.73101851851851851</v>
      </c>
      <c r="M181" s="2">
        <v>1</v>
      </c>
      <c r="N181" s="2" t="s">
        <v>199</v>
      </c>
      <c r="O181" s="2">
        <v>2.77</v>
      </c>
      <c r="P181" s="2">
        <v>0.27800000000000002</v>
      </c>
      <c r="Q181" s="2">
        <v>500</v>
      </c>
      <c r="R181" s="2" t="s">
        <v>200</v>
      </c>
      <c r="S181" s="48">
        <f t="shared" si="18"/>
        <v>500</v>
      </c>
      <c r="T181" s="2" t="s">
        <v>220</v>
      </c>
      <c r="U181" s="48" t="s">
        <v>97</v>
      </c>
      <c r="V181" s="44" t="s">
        <v>97</v>
      </c>
      <c r="W181" s="44" t="s">
        <v>98</v>
      </c>
      <c r="X181" s="44" t="s">
        <v>97</v>
      </c>
      <c r="Y181" s="2" t="s">
        <v>201</v>
      </c>
      <c r="Z181" s="2"/>
      <c r="AA181" s="2"/>
      <c r="AB181" s="2"/>
      <c r="AC181" s="2"/>
      <c r="AD181" s="2"/>
      <c r="AE181" s="2"/>
      <c r="AF181" s="47">
        <v>45497</v>
      </c>
      <c r="AG181" s="2"/>
      <c r="AH181" s="2"/>
      <c r="AI181" s="2">
        <f>35.548*2.77^2+104.83*2.77-59.737</f>
        <v>503.39834920000004</v>
      </c>
      <c r="AJ181" s="2"/>
      <c r="AK181" s="2">
        <f>1.0953*2.77^2+204.93*2.77-109.69</f>
        <v>466.37022737000001</v>
      </c>
      <c r="AL181" s="2" t="str">
        <f t="shared" si="25"/>
        <v>FALSE</v>
      </c>
      <c r="AM181" s="2" t="str">
        <f t="shared" si="25"/>
        <v>FALSE</v>
      </c>
      <c r="AN181" s="2" t="str">
        <f t="shared" si="25"/>
        <v>y=35.548*2.77^2+104.83*2.77-59.737</v>
      </c>
      <c r="AO181" s="2" t="str">
        <f t="shared" si="26"/>
        <v>FALSE</v>
      </c>
      <c r="AP181" s="2" t="str">
        <f t="shared" si="26"/>
        <v>y=1.0953*2.77^2+204.93*2.77-109.69</v>
      </c>
      <c r="AQ181" s="2" t="b">
        <f>IF(AND(I181="TP",S181&lt;=150),VLOOKUP(AF181,[1]TPCalibEq150!$AZ$2:$BB$74,3,),IF(AND(I181="TDP",S181&lt;=150),VLOOKUP(AF181,[1]TPCalibEq150!$AZ$2:$BB$74,3,)))</f>
        <v>0</v>
      </c>
      <c r="AR181" s="2" t="b">
        <f>IF(AND(I181="TP",S181&lt;=300),VLOOKUP(AF181,[1]TPCalibEq300!$AZ$2:$BB$76,3,),IF(AND(I181="TDP",S181&lt;=300),VLOOKUP(AF181,[1]TPCalibEq300!$AZ$2:$BB$76,3,)))</f>
        <v>0</v>
      </c>
      <c r="AS181" s="2" t="str">
        <f>IF(AND(I181="TP",S181&lt;=500),VLOOKUP(AF181,[1]TPCalibEq500!$AZ$2:$BB$88,3,),IF(AND(I181="TDP",S181&lt;=500),VLOOKUP(AF181,[1]TPCalibEq500!$AZ$2:$BB$88,3,)))</f>
        <v>y=35.548x2+104.83x-59.737</v>
      </c>
      <c r="AT181" s="2" t="b">
        <f>IF(AND(I181="TN",S181&lt;=2800),VLOOKUP(AF181,[1]TNCalibEq2500!$AZ$2:$BB$80,3,),IF(AND(I181="TDN",S181&lt;=2800),VLOOKUP(AF181,[1]TNCalibEq2500!$AZ$2:$BB$80,3,)))</f>
        <v>0</v>
      </c>
      <c r="AU181" s="2" t="str">
        <f>IF(I181="TP",VLOOKUP(AF181,[1]TPCalibEqFull!$AZ$2:$BB$164,3),IF(I181="TDP",VLOOKUP(AF181,[1]TPCalibEqFull!$AZ$2:$BB$164,3),IF(I181="TDN",VLOOKUP(AF181,[1]TNCalibEqFull!$AZ$2:$BB$116,3),IF(I181="TN",VLOOKUP(AF181,[1]TNCalibEqFull!$AZ$2:$BB$118,3),FALSE))))</f>
        <v>y=1.0953x2+204.93x-109.69</v>
      </c>
      <c r="AV181" s="2" t="str">
        <f t="shared" si="24"/>
        <v>0723 09:00:00-QAC-STD-Q.A-1-DI-CAL</v>
      </c>
      <c r="AW181" s="2"/>
      <c r="AX181" s="2"/>
      <c r="AY181" s="2"/>
    </row>
    <row r="182" spans="1:51" x14ac:dyDescent="0.35">
      <c r="A182" s="45">
        <v>45496</v>
      </c>
      <c r="B182" s="46">
        <v>0.375</v>
      </c>
      <c r="C182" s="2" t="s">
        <v>88</v>
      </c>
      <c r="D182" s="2" t="s">
        <v>89</v>
      </c>
      <c r="E182" s="2" t="s">
        <v>174</v>
      </c>
      <c r="F182" s="2">
        <v>1</v>
      </c>
      <c r="G182" s="2" t="s">
        <v>91</v>
      </c>
      <c r="H182" s="2" t="s">
        <v>92</v>
      </c>
      <c r="I182" s="2" t="s">
        <v>198</v>
      </c>
      <c r="J182" s="2">
        <v>181</v>
      </c>
      <c r="K182" s="47">
        <v>45497</v>
      </c>
      <c r="L182" s="46">
        <v>0.7321875000000001</v>
      </c>
      <c r="M182" s="2">
        <v>1</v>
      </c>
      <c r="N182" s="2" t="s">
        <v>199</v>
      </c>
      <c r="O182" s="2">
        <v>0.39500000000000002</v>
      </c>
      <c r="P182" s="2">
        <v>3.7199999999999997E-2</v>
      </c>
      <c r="Q182" s="2">
        <v>0</v>
      </c>
      <c r="R182" s="2" t="s">
        <v>200</v>
      </c>
      <c r="S182" s="48">
        <f t="shared" si="18"/>
        <v>0</v>
      </c>
      <c r="T182" s="2" t="s">
        <v>222</v>
      </c>
      <c r="U182" s="48" t="s">
        <v>97</v>
      </c>
      <c r="V182" s="44" t="s">
        <v>97</v>
      </c>
      <c r="W182" s="44" t="s">
        <v>98</v>
      </c>
      <c r="X182" s="44" t="s">
        <v>97</v>
      </c>
      <c r="Y182" s="2" t="s">
        <v>201</v>
      </c>
      <c r="Z182" s="2"/>
      <c r="AA182" s="2"/>
      <c r="AB182" s="2"/>
      <c r="AC182" s="2"/>
      <c r="AD182" s="2"/>
      <c r="AE182" s="2"/>
      <c r="AF182" s="47">
        <v>45497</v>
      </c>
      <c r="AG182" s="2">
        <f>-48.316*0.395^2+258.18*0.395-118.22</f>
        <v>-23.777403899999982</v>
      </c>
      <c r="AH182" s="2">
        <f>51.002*0.395^2+72.467*0.395-44.141</f>
        <v>-7.5589479499999968</v>
      </c>
      <c r="AI182" s="2">
        <f>35.548*0.395^2+104.83*0.395-59.737</f>
        <v>-12.782773299999995</v>
      </c>
      <c r="AJ182" s="2"/>
      <c r="AK182" s="2">
        <f>1.0953*0.395^2+204.93*0.395-109.69</f>
        <v>-28.571755817499991</v>
      </c>
      <c r="AL182" s="2" t="str">
        <f t="shared" si="25"/>
        <v>y=-48.316*0.395^2+258.18*0.395-118.22</v>
      </c>
      <c r="AM182" s="2" t="str">
        <f t="shared" si="25"/>
        <v>y=51.002*0.395^2+72.467*0.395-44.141</v>
      </c>
      <c r="AN182" s="2" t="str">
        <f t="shared" si="25"/>
        <v>y=35.548*0.395^2+104.83*0.395-59.737</v>
      </c>
      <c r="AO182" s="2" t="str">
        <f t="shared" si="26"/>
        <v>FALSE</v>
      </c>
      <c r="AP182" s="2" t="str">
        <f t="shared" si="26"/>
        <v>y=1.0953*0.395^2+204.93*0.395-109.69</v>
      </c>
      <c r="AQ182" s="2" t="str">
        <f>IF(AND(I182="TP",S182&lt;=150),VLOOKUP(AF182,[1]TPCalibEq150!$AZ$2:$BB$74,3,),IF(AND(I182="TDP",S182&lt;=150),VLOOKUP(AF182,[1]TPCalibEq150!$AZ$2:$BB$74,3,)))</f>
        <v>y=-48.316x2+258.18x-118.22</v>
      </c>
      <c r="AR182" s="2" t="str">
        <f>IF(AND(I182="TP",S182&lt;=300),VLOOKUP(AF182,[1]TPCalibEq300!$AZ$2:$BB$76,3,),IF(AND(I182="TDP",S182&lt;=300),VLOOKUP(AF182,[1]TPCalibEq300!$AZ$2:$BB$76,3,)))</f>
        <v>y=51.002x2+72.467x-44.141</v>
      </c>
      <c r="AS182" s="2" t="str">
        <f>IF(AND(I182="TP",S182&lt;=500),VLOOKUP(AF182,[1]TPCalibEq500!$AZ$2:$BB$88,3,),IF(AND(I182="TDP",S182&lt;=500),VLOOKUP(AF182,[1]TPCalibEq500!$AZ$2:$BB$88,3,)))</f>
        <v>y=35.548x2+104.83x-59.737</v>
      </c>
      <c r="AT182" s="2" t="b">
        <f>IF(AND(I182="TN",S182&lt;=2800),VLOOKUP(AF182,[1]TNCalibEq2500!$AZ$2:$BB$80,3,),IF(AND(I182="TDN",S182&lt;=2800),VLOOKUP(AF182,[1]TNCalibEq2500!$AZ$2:$BB$80,3,)))</f>
        <v>0</v>
      </c>
      <c r="AU182" s="2" t="str">
        <f>IF(I182="TP",VLOOKUP(AF182,[1]TPCalibEqFull!$AZ$2:$BB$164,3),IF(I182="TDP",VLOOKUP(AF182,[1]TPCalibEqFull!$AZ$2:$BB$164,3),IF(I182="TDN",VLOOKUP(AF182,[1]TNCalibEqFull!$AZ$2:$BB$116,3),IF(I182="TN",VLOOKUP(AF182,[1]TNCalibEqFull!$AZ$2:$BB$118,3),FALSE))))</f>
        <v>y=1.0953x2+204.93x-109.69</v>
      </c>
      <c r="AV182" s="2" t="str">
        <f t="shared" si="24"/>
        <v>0723 09:00:00-QAC-STD-D.H-1-DI-CAL</v>
      </c>
      <c r="AW182" s="2"/>
      <c r="AX182" s="2"/>
      <c r="AY182" s="2"/>
    </row>
    <row r="183" spans="1:51" x14ac:dyDescent="0.35">
      <c r="A183" s="45">
        <v>45496</v>
      </c>
      <c r="B183" s="46">
        <v>0.375</v>
      </c>
      <c r="C183" s="2" t="s">
        <v>88</v>
      </c>
      <c r="D183" s="2" t="s">
        <v>114</v>
      </c>
      <c r="E183" s="2" t="s">
        <v>112</v>
      </c>
      <c r="F183" s="2">
        <v>1</v>
      </c>
      <c r="G183" s="2" t="s">
        <v>91</v>
      </c>
      <c r="H183" s="2" t="s">
        <v>115</v>
      </c>
      <c r="I183" s="2" t="s">
        <v>198</v>
      </c>
      <c r="J183" s="2">
        <v>198</v>
      </c>
      <c r="K183" s="47">
        <v>45497</v>
      </c>
      <c r="L183" s="46">
        <v>0.73277777777777775</v>
      </c>
      <c r="M183" s="2">
        <v>1</v>
      </c>
      <c r="N183" s="2" t="s">
        <v>199</v>
      </c>
      <c r="O183" s="2">
        <v>0.39</v>
      </c>
      <c r="P183" s="2">
        <v>3.6700000000000003E-2</v>
      </c>
      <c r="Q183" s="2">
        <v>-17.100000000000001</v>
      </c>
      <c r="R183" s="2" t="s">
        <v>200</v>
      </c>
      <c r="S183" s="48">
        <f t="shared" si="18"/>
        <v>-8.1214657999999957</v>
      </c>
      <c r="T183" s="2" t="s">
        <v>222</v>
      </c>
      <c r="U183" s="48">
        <v>-8.1214657999999957</v>
      </c>
      <c r="V183" s="44" t="s">
        <v>97</v>
      </c>
      <c r="W183" s="44" t="s">
        <v>98</v>
      </c>
      <c r="X183" s="44" t="s">
        <v>116</v>
      </c>
      <c r="Y183" s="2" t="s">
        <v>201</v>
      </c>
      <c r="Z183" s="2"/>
      <c r="AA183" s="2"/>
      <c r="AB183" s="2"/>
      <c r="AC183" s="2"/>
      <c r="AD183" s="2"/>
      <c r="AE183" s="2"/>
      <c r="AF183" s="47">
        <v>45497</v>
      </c>
      <c r="AG183" s="2">
        <f>-48.316*0.39^2+258.18*0.39-118.22</f>
        <v>-24.878663599999996</v>
      </c>
      <c r="AH183" s="2">
        <f>51.002*0.39^2+72.467*0.39-44.141</f>
        <v>-8.1214657999999957</v>
      </c>
      <c r="AI183" s="2">
        <f>35.548*0.39^2+104.83*0.39-59.737</f>
        <v>-13.446449200000004</v>
      </c>
      <c r="AJ183" s="2"/>
      <c r="AK183" s="2">
        <f>1.0953*0.39^2+204.93*0.39-109.69</f>
        <v>-29.600704869999987</v>
      </c>
      <c r="AL183" s="2" t="str">
        <f t="shared" si="25"/>
        <v>y=-48.316*0.39^2+258.18*0.39-118.22</v>
      </c>
      <c r="AM183" s="2" t="str">
        <f t="shared" si="25"/>
        <v>y=51.002*0.39^2+72.467*0.39-44.141</v>
      </c>
      <c r="AN183" s="2" t="str">
        <f t="shared" si="25"/>
        <v>y=35.548*0.39^2+104.83*0.39-59.737</v>
      </c>
      <c r="AO183" s="2" t="str">
        <f t="shared" si="26"/>
        <v>FALSE</v>
      </c>
      <c r="AP183" s="2" t="str">
        <f t="shared" si="26"/>
        <v>y=1.0953*0.39^2+204.93*0.39-109.69</v>
      </c>
      <c r="AQ183" s="2" t="str">
        <f>IF(AND(I183="TP",S183&lt;=150),VLOOKUP(AF183,[1]TPCalibEq150!$AZ$2:$BB$74,3,),IF(AND(I183="TDP",S183&lt;=150),VLOOKUP(AF183,[1]TPCalibEq150!$AZ$2:$BB$74,3,)))</f>
        <v>y=-48.316x2+258.18x-118.22</v>
      </c>
      <c r="AR183" s="2" t="str">
        <f>IF(AND(I183="TP",S183&lt;=300),VLOOKUP(AF183,[1]TPCalibEq300!$AZ$2:$BB$76,3,),IF(AND(I183="TDP",S183&lt;=300),VLOOKUP(AF183,[1]TPCalibEq300!$AZ$2:$BB$76,3,)))</f>
        <v>y=51.002x2+72.467x-44.141</v>
      </c>
      <c r="AS183" s="2" t="str">
        <f>IF(AND(I183="TP",S183&lt;=500),VLOOKUP(AF183,[1]TPCalibEq500!$AZ$2:$BB$88,3,),IF(AND(I183="TDP",S183&lt;=500),VLOOKUP(AF183,[1]TPCalibEq500!$AZ$2:$BB$88,3,)))</f>
        <v>y=35.548x2+104.83x-59.737</v>
      </c>
      <c r="AT183" s="2" t="b">
        <f>IF(AND(I183="TN",S183&lt;=2800),VLOOKUP(AF183,[1]TNCalibEq2500!$AZ$2:$BB$80,3,),IF(AND(I183="TDN",S183&lt;=2800),VLOOKUP(AF183,[1]TNCalibEq2500!$AZ$2:$BB$80,3,)))</f>
        <v>0</v>
      </c>
      <c r="AU183" s="2" t="str">
        <f>IF(I183="TP",VLOOKUP(AF183,[1]TPCalibEqFull!$AZ$2:$BB$164,3),IF(I183="TDP",VLOOKUP(AF183,[1]TPCalibEqFull!$AZ$2:$BB$164,3),IF(I183="TDN",VLOOKUP(AF183,[1]TNCalibEqFull!$AZ$2:$BB$116,3),IF(I183="TN",VLOOKUP(AF183,[1]TNCalibEqFull!$AZ$2:$BB$118,3),FALSE))))</f>
        <v>y=1.0953x2+204.93x-109.69</v>
      </c>
      <c r="AV183" s="2" t="str">
        <f t="shared" si="24"/>
        <v>0723 09:00:00-QAC-BLK-A-1-DI-LAB</v>
      </c>
      <c r="AW183" s="2"/>
      <c r="AX183" s="2"/>
      <c r="AY183" s="2"/>
    </row>
    <row r="184" spans="1:51" x14ac:dyDescent="0.35">
      <c r="A184" s="45">
        <v>45496</v>
      </c>
      <c r="B184" s="46">
        <v>0.375</v>
      </c>
      <c r="C184" s="2" t="s">
        <v>88</v>
      </c>
      <c r="D184" s="2" t="s">
        <v>114</v>
      </c>
      <c r="E184" s="2" t="s">
        <v>112</v>
      </c>
      <c r="F184" s="2">
        <v>1</v>
      </c>
      <c r="G184" s="2" t="s">
        <v>91</v>
      </c>
      <c r="H184" s="2" t="s">
        <v>117</v>
      </c>
      <c r="I184" s="2" t="s">
        <v>198</v>
      </c>
      <c r="J184" s="2">
        <v>225</v>
      </c>
      <c r="K184" s="47">
        <v>45497</v>
      </c>
      <c r="L184" s="46">
        <v>0.73336805555555562</v>
      </c>
      <c r="M184" s="2">
        <v>1</v>
      </c>
      <c r="N184" s="2" t="s">
        <v>199</v>
      </c>
      <c r="O184" s="2">
        <v>5.29</v>
      </c>
      <c r="P184" s="2">
        <v>0.53800000000000003</v>
      </c>
      <c r="Q184" s="2">
        <v>948</v>
      </c>
      <c r="R184" s="2" t="s">
        <v>200</v>
      </c>
      <c r="S184" s="48">
        <f t="shared" si="18"/>
        <v>1005.0406847299998</v>
      </c>
      <c r="T184" s="2" t="s">
        <v>222</v>
      </c>
      <c r="U184" s="48">
        <v>101.31621505299999</v>
      </c>
      <c r="V184" s="44">
        <v>1000</v>
      </c>
      <c r="W184" s="44" t="s">
        <v>98</v>
      </c>
      <c r="X184" s="44" t="s">
        <v>118</v>
      </c>
      <c r="Y184" s="2" t="s">
        <v>201</v>
      </c>
      <c r="Z184" s="2"/>
      <c r="AA184" s="2"/>
      <c r="AB184" s="2"/>
      <c r="AC184" s="2"/>
      <c r="AD184" s="2"/>
      <c r="AE184" s="2"/>
      <c r="AF184" s="47">
        <v>45497</v>
      </c>
      <c r="AG184" s="2"/>
      <c r="AH184" s="2"/>
      <c r="AI184" s="2"/>
      <c r="AJ184" s="2"/>
      <c r="AK184" s="2">
        <f>1.0953*5.29^2+204.93*5.29-109.69</f>
        <v>1005.0406847299998</v>
      </c>
      <c r="AL184" s="2" t="str">
        <f t="shared" si="25"/>
        <v>FALSE</v>
      </c>
      <c r="AM184" s="2" t="str">
        <f t="shared" si="25"/>
        <v>FALSE</v>
      </c>
      <c r="AN184" s="2" t="str">
        <f t="shared" si="25"/>
        <v>FALSE</v>
      </c>
      <c r="AO184" s="2" t="str">
        <f t="shared" si="26"/>
        <v>FALSE</v>
      </c>
      <c r="AP184" s="2" t="str">
        <f t="shared" si="26"/>
        <v>y=1.0953*5.29^2+204.93*5.29-109.69</v>
      </c>
      <c r="AQ184" s="2" t="b">
        <f>IF(AND(I184="TP",S184&lt;=150),VLOOKUP(AF184,[1]TPCalibEq150!$AZ$2:$BB$74,3,),IF(AND(I184="TDP",S184&lt;=150),VLOOKUP(AF184,[1]TPCalibEq150!$AZ$2:$BB$74,3,)))</f>
        <v>0</v>
      </c>
      <c r="AR184" s="2" t="b">
        <f>IF(AND(I184="TP",S184&lt;=300),VLOOKUP(AF184,[1]TPCalibEq300!$AZ$2:$BB$76,3,),IF(AND(I184="TDP",S184&lt;=300),VLOOKUP(AF184,[1]TPCalibEq300!$AZ$2:$BB$76,3,)))</f>
        <v>0</v>
      </c>
      <c r="AS184" s="2" t="b">
        <f>IF(AND(I184="TP",S184&lt;=500),VLOOKUP(AF184,[1]TPCalibEq500!$AZ$2:$BB$88,3,),IF(AND(I184="TDP",S184&lt;=500),VLOOKUP(AF184,[1]TPCalibEq500!$AZ$2:$BB$88,3,)))</f>
        <v>0</v>
      </c>
      <c r="AT184" s="2" t="b">
        <f>IF(AND(I184="TN",S184&lt;=2800),VLOOKUP(AF184,[1]TNCalibEq2500!$AZ$2:$BB$80,3,),IF(AND(I184="TDN",S184&lt;=2800),VLOOKUP(AF184,[1]TNCalibEq2500!$AZ$2:$BB$80,3,)))</f>
        <v>0</v>
      </c>
      <c r="AU184" s="2" t="str">
        <f>IF(I184="TP",VLOOKUP(AF184,[1]TPCalibEqFull!$AZ$2:$BB$164,3),IF(I184="TDP",VLOOKUP(AF184,[1]TPCalibEqFull!$AZ$2:$BB$164,3),IF(I184="TDN",VLOOKUP(AF184,[1]TNCalibEqFull!$AZ$2:$BB$116,3),IF(I184="TN",VLOOKUP(AF184,[1]TNCalibEqFull!$AZ$2:$BB$118,3),FALSE))))</f>
        <v>y=1.0953x2+204.93x-109.69</v>
      </c>
      <c r="AV184" s="2" t="str">
        <f t="shared" si="24"/>
        <v>0723 09:00:00-QAC-BLK-A-1-DI-SPK</v>
      </c>
      <c r="AW184" s="2"/>
      <c r="AX184" s="2"/>
      <c r="AY184" s="2"/>
    </row>
    <row r="185" spans="1:51" x14ac:dyDescent="0.35">
      <c r="A185" s="45">
        <v>45496</v>
      </c>
      <c r="B185" s="46">
        <v>0.375</v>
      </c>
      <c r="C185" s="2" t="s">
        <v>88</v>
      </c>
      <c r="D185" s="2" t="s">
        <v>89</v>
      </c>
      <c r="E185" s="2" t="s">
        <v>159</v>
      </c>
      <c r="F185" s="2">
        <v>1</v>
      </c>
      <c r="G185" s="2" t="s">
        <v>91</v>
      </c>
      <c r="H185" s="2" t="s">
        <v>120</v>
      </c>
      <c r="I185" s="2" t="s">
        <v>198</v>
      </c>
      <c r="J185" s="2">
        <v>197</v>
      </c>
      <c r="K185" s="47">
        <v>45497</v>
      </c>
      <c r="L185" s="46">
        <v>0.73395833333333327</v>
      </c>
      <c r="M185" s="2">
        <v>1</v>
      </c>
      <c r="N185" s="2" t="s">
        <v>199</v>
      </c>
      <c r="O185" s="2">
        <v>2.2000000000000002</v>
      </c>
      <c r="P185" s="2">
        <v>0.22</v>
      </c>
      <c r="Q185" s="2">
        <v>339</v>
      </c>
      <c r="R185" s="2" t="s">
        <v>200</v>
      </c>
      <c r="S185" s="48">
        <f t="shared" si="18"/>
        <v>346.45725200000004</v>
      </c>
      <c r="T185" s="2" t="s">
        <v>222</v>
      </c>
      <c r="U185" s="48">
        <v>85.334298522167501</v>
      </c>
      <c r="V185" s="44">
        <v>406</v>
      </c>
      <c r="W185" s="44" t="s">
        <v>98</v>
      </c>
      <c r="X185" s="44" t="s">
        <v>121</v>
      </c>
      <c r="Y185" s="2" t="s">
        <v>201</v>
      </c>
      <c r="Z185" s="2"/>
      <c r="AA185" s="2"/>
      <c r="AB185" s="2"/>
      <c r="AC185" s="2"/>
      <c r="AD185" s="2"/>
      <c r="AE185" s="2"/>
      <c r="AF185" s="47">
        <v>45497</v>
      </c>
      <c r="AG185" s="2"/>
      <c r="AH185" s="2"/>
      <c r="AI185" s="2">
        <f>35.548*2.2^2+104.83*2.2-59.737</f>
        <v>342.94132000000002</v>
      </c>
      <c r="AJ185" s="2"/>
      <c r="AK185" s="2">
        <f>1.0953*2.2^2+204.93*2.2-109.69</f>
        <v>346.45725200000004</v>
      </c>
      <c r="AL185" s="2" t="str">
        <f t="shared" si="25"/>
        <v>FALSE</v>
      </c>
      <c r="AM185" s="2" t="str">
        <f t="shared" si="25"/>
        <v>FALSE</v>
      </c>
      <c r="AN185" s="2" t="str">
        <f t="shared" si="25"/>
        <v>y=35.548*2.2^2+104.83*2.2-59.737</v>
      </c>
      <c r="AO185" s="2" t="str">
        <f t="shared" si="26"/>
        <v>FALSE</v>
      </c>
      <c r="AP185" s="2" t="str">
        <f t="shared" si="26"/>
        <v>y=1.0953*2.2^2+204.93*2.2-109.69</v>
      </c>
      <c r="AQ185" s="2" t="b">
        <f>IF(AND(I185="TP",S185&lt;=150),VLOOKUP(AF185,[1]TPCalibEq150!$AZ$2:$BB$74,3,),IF(AND(I185="TDP",S185&lt;=150),VLOOKUP(AF185,[1]TPCalibEq150!$AZ$2:$BB$74,3,)))</f>
        <v>0</v>
      </c>
      <c r="AR185" s="2" t="b">
        <f>IF(AND(I185="TP",S185&lt;=300),VLOOKUP(AF185,[1]TPCalibEq300!$AZ$2:$BB$76,3,),IF(AND(I185="TDP",S185&lt;=300),VLOOKUP(AF185,[1]TPCalibEq300!$AZ$2:$BB$76,3,)))</f>
        <v>0</v>
      </c>
      <c r="AS185" s="2" t="str">
        <f>IF(AND(I185="TP",S185&lt;=500),VLOOKUP(AF185,[1]TPCalibEq500!$AZ$2:$BB$88,3,),IF(AND(I185="TDP",S185&lt;=500),VLOOKUP(AF185,[1]TPCalibEq500!$AZ$2:$BB$88,3,)))</f>
        <v>y=35.548x2+104.83x-59.737</v>
      </c>
      <c r="AT185" s="2" t="b">
        <f>IF(AND(I185="TN",S185&lt;=2800),VLOOKUP(AF185,[1]TNCalibEq2500!$AZ$2:$BB$80,3,),IF(AND(I185="TDN",S185&lt;=2800),VLOOKUP(AF185,[1]TNCalibEq2500!$AZ$2:$BB$80,3,)))</f>
        <v>0</v>
      </c>
      <c r="AU185" s="2" t="str">
        <f>IF(I185="TP",VLOOKUP(AF185,[1]TPCalibEqFull!$AZ$2:$BB$164,3),IF(I185="TDP",VLOOKUP(AF185,[1]TPCalibEqFull!$AZ$2:$BB$164,3),IF(I185="TDN",VLOOKUP(AF185,[1]TNCalibEqFull!$AZ$2:$BB$116,3),IF(I185="TN",VLOOKUP(AF185,[1]TNCalibEqFull!$AZ$2:$BB$118,3),FALSE))))</f>
        <v>y=1.0953x2+204.93x-109.69</v>
      </c>
      <c r="AV185" s="2" t="str">
        <f t="shared" si="24"/>
        <v>0723 09:00:00-QAC-STD-24A-1-DI-PER</v>
      </c>
      <c r="AW185" s="2"/>
      <c r="AX185" s="2"/>
      <c r="AY185" s="2"/>
    </row>
    <row r="186" spans="1:51" x14ac:dyDescent="0.35">
      <c r="A186" s="45">
        <v>45496</v>
      </c>
      <c r="B186" s="46">
        <v>0.375</v>
      </c>
      <c r="C186" s="2" t="s">
        <v>88</v>
      </c>
      <c r="D186" s="2" t="s">
        <v>89</v>
      </c>
      <c r="E186" s="2" t="s">
        <v>160</v>
      </c>
      <c r="F186" s="2">
        <v>1</v>
      </c>
      <c r="G186" s="2" t="s">
        <v>91</v>
      </c>
      <c r="H186" s="2" t="s">
        <v>120</v>
      </c>
      <c r="I186" s="2" t="s">
        <v>198</v>
      </c>
      <c r="J186" s="2">
        <v>214</v>
      </c>
      <c r="K186" s="47">
        <v>45497</v>
      </c>
      <c r="L186" s="46">
        <v>0.73456018518518518</v>
      </c>
      <c r="M186" s="2">
        <v>1</v>
      </c>
      <c r="N186" s="2" t="s">
        <v>199</v>
      </c>
      <c r="O186" s="2">
        <v>1.52</v>
      </c>
      <c r="P186" s="2">
        <v>0.14899999999999999</v>
      </c>
      <c r="Q186" s="2">
        <v>205</v>
      </c>
      <c r="R186" s="2" t="s">
        <v>200</v>
      </c>
      <c r="S186" s="48">
        <f t="shared" si="18"/>
        <v>205</v>
      </c>
      <c r="T186" s="2" t="s">
        <v>222</v>
      </c>
      <c r="U186" s="48">
        <v>102.49999999999999</v>
      </c>
      <c r="V186" s="44">
        <v>200</v>
      </c>
      <c r="W186" s="44" t="s">
        <v>98</v>
      </c>
      <c r="X186" s="44" t="s">
        <v>121</v>
      </c>
      <c r="Y186" s="2" t="s">
        <v>201</v>
      </c>
      <c r="Z186" s="2"/>
      <c r="AA186" s="2"/>
      <c r="AB186" s="2"/>
      <c r="AC186" s="2"/>
      <c r="AD186" s="2"/>
      <c r="AE186" s="2"/>
      <c r="AF186" s="47">
        <v>45497</v>
      </c>
      <c r="AG186" s="2"/>
      <c r="AH186" s="2">
        <f>51.002*1.52^2+72.467*1.52-44.141</f>
        <v>183.84386080000002</v>
      </c>
      <c r="AI186" s="2">
        <f>35.548*1.52^2+104.83*1.52-59.737</f>
        <v>181.73469919999999</v>
      </c>
      <c r="AJ186" s="2"/>
      <c r="AK186" s="2">
        <f>1.0953*1.52^2+204.93*1.52-109.69</f>
        <v>204.33418112000004</v>
      </c>
      <c r="AL186" s="2" t="str">
        <f t="shared" si="25"/>
        <v>FALSE</v>
      </c>
      <c r="AM186" s="2" t="str">
        <f t="shared" si="25"/>
        <v>y=51.002*1.52^2+72.467*1.52-44.141</v>
      </c>
      <c r="AN186" s="2" t="str">
        <f t="shared" si="25"/>
        <v>y=35.548*1.52^2+104.83*1.52-59.737</v>
      </c>
      <c r="AO186" s="2" t="str">
        <f t="shared" si="26"/>
        <v>FALSE</v>
      </c>
      <c r="AP186" s="2" t="str">
        <f t="shared" si="26"/>
        <v>y=1.0953*1.52^2+204.93*1.52-109.69</v>
      </c>
      <c r="AQ186" s="2" t="b">
        <f>IF(AND(I186="TP",S186&lt;=150),VLOOKUP(AF186,[1]TPCalibEq150!$AZ$2:$BB$74,3,),IF(AND(I186="TDP",S186&lt;=150),VLOOKUP(AF186,[1]TPCalibEq150!$AZ$2:$BB$74,3,)))</f>
        <v>0</v>
      </c>
      <c r="AR186" s="2" t="str">
        <f>IF(AND(I186="TP",S186&lt;=300),VLOOKUP(AF186,[1]TPCalibEq300!$AZ$2:$BB$76,3,),IF(AND(I186="TDP",S186&lt;=300),VLOOKUP(AF186,[1]TPCalibEq300!$AZ$2:$BB$76,3,)))</f>
        <v>y=51.002x2+72.467x-44.141</v>
      </c>
      <c r="AS186" s="2" t="str">
        <f>IF(AND(I186="TP",S186&lt;=500),VLOOKUP(AF186,[1]TPCalibEq500!$AZ$2:$BB$88,3,),IF(AND(I186="TDP",S186&lt;=500),VLOOKUP(AF186,[1]TPCalibEq500!$AZ$2:$BB$88,3,)))</f>
        <v>y=35.548x2+104.83x-59.737</v>
      </c>
      <c r="AT186" s="2" t="b">
        <f>IF(AND(I186="TN",S186&lt;=2800),VLOOKUP(AF186,[1]TNCalibEq2500!$AZ$2:$BB$80,3,),IF(AND(I186="TDN",S186&lt;=2800),VLOOKUP(AF186,[1]TNCalibEq2500!$AZ$2:$BB$80,3,)))</f>
        <v>0</v>
      </c>
      <c r="AU186" s="2" t="str">
        <f>IF(I186="TP",VLOOKUP(AF186,[1]TPCalibEqFull!$AZ$2:$BB$164,3),IF(I186="TDP",VLOOKUP(AF186,[1]TPCalibEqFull!$AZ$2:$BB$164,3),IF(I186="TDN",VLOOKUP(AF186,[1]TNCalibEqFull!$AZ$2:$BB$116,3),IF(I186="TN",VLOOKUP(AF186,[1]TNCalibEqFull!$AZ$2:$BB$118,3),FALSE))))</f>
        <v>y=1.0953x2+204.93x-109.69</v>
      </c>
      <c r="AV186" s="2" t="str">
        <f t="shared" si="24"/>
        <v>0723 09:00:00-QAC-STD-22B-1-DI-PER</v>
      </c>
      <c r="AW186" s="2"/>
      <c r="AX186" s="2"/>
      <c r="AY186" s="2"/>
    </row>
    <row r="187" spans="1:51" x14ac:dyDescent="0.35">
      <c r="A187" s="45">
        <v>45438</v>
      </c>
      <c r="B187" s="46">
        <v>0.375</v>
      </c>
      <c r="C187" s="2" t="s">
        <v>88</v>
      </c>
      <c r="D187" s="2" t="s">
        <v>89</v>
      </c>
      <c r="E187" s="2" t="s">
        <v>160</v>
      </c>
      <c r="F187" s="2">
        <v>1</v>
      </c>
      <c r="G187" s="2" t="s">
        <v>91</v>
      </c>
      <c r="H187" s="2" t="s">
        <v>120</v>
      </c>
      <c r="I187" s="2" t="s">
        <v>198</v>
      </c>
      <c r="J187" s="2">
        <v>215</v>
      </c>
      <c r="K187" s="47">
        <v>45497</v>
      </c>
      <c r="L187" s="46">
        <v>0.7351388888888889</v>
      </c>
      <c r="M187" s="2">
        <v>1</v>
      </c>
      <c r="N187" s="2" t="s">
        <v>199</v>
      </c>
      <c r="O187" s="2">
        <v>1.3</v>
      </c>
      <c r="P187" s="2">
        <v>0.128</v>
      </c>
      <c r="Q187" s="2">
        <v>162</v>
      </c>
      <c r="R187" s="2" t="s">
        <v>200</v>
      </c>
      <c r="S187" s="48">
        <f t="shared" si="18"/>
        <v>162</v>
      </c>
      <c r="T187" s="2" t="s">
        <v>222</v>
      </c>
      <c r="U187" s="48">
        <v>81</v>
      </c>
      <c r="V187" s="44">
        <v>200</v>
      </c>
      <c r="W187" s="44" t="s">
        <v>98</v>
      </c>
      <c r="X187" s="44" t="s">
        <v>121</v>
      </c>
      <c r="Y187" s="2" t="s">
        <v>201</v>
      </c>
      <c r="Z187" s="2"/>
      <c r="AA187" s="2"/>
      <c r="AB187" s="2"/>
      <c r="AC187" s="2"/>
      <c r="AD187" s="2"/>
      <c r="AE187" s="2"/>
      <c r="AF187" s="47">
        <v>45497</v>
      </c>
      <c r="AG187" s="2"/>
      <c r="AH187" s="2">
        <f>51.002*1.3^2+72.467*1.3-44.141</f>
        <v>136.25948000000002</v>
      </c>
      <c r="AI187" s="2">
        <f>35.548*1.3^2+104.83*1.3-59.737</f>
        <v>136.61812</v>
      </c>
      <c r="AJ187" s="2"/>
      <c r="AK187" s="2">
        <f>1.0953*1.3^2+204.93*1.3-109.69</f>
        <v>158.57005700000002</v>
      </c>
      <c r="AL187" s="2" t="str">
        <f t="shared" si="25"/>
        <v>FALSE</v>
      </c>
      <c r="AM187" s="2" t="str">
        <f t="shared" si="25"/>
        <v>y=51.002*1.3^2+72.467*1.3-44.141</v>
      </c>
      <c r="AN187" s="2" t="str">
        <f t="shared" si="25"/>
        <v>y=35.548*1.3^2+104.83*1.3-59.737</v>
      </c>
      <c r="AO187" s="2" t="str">
        <f t="shared" si="26"/>
        <v>FALSE</v>
      </c>
      <c r="AP187" s="2" t="str">
        <f t="shared" si="26"/>
        <v>y=1.0953*1.3^2+204.93*1.3-109.69</v>
      </c>
      <c r="AQ187" s="2" t="b">
        <f>IF(AND(I187="TP",S187&lt;=150),VLOOKUP(AF187,[1]TPCalibEq150!$AZ$2:$BB$74,3,),IF(AND(I187="TDP",S187&lt;=150),VLOOKUP(AF187,[1]TPCalibEq150!$AZ$2:$BB$74,3,)))</f>
        <v>0</v>
      </c>
      <c r="AR187" s="2" t="str">
        <f>IF(AND(I187="TP",S187&lt;=300),VLOOKUP(AF187,[1]TPCalibEq300!$AZ$2:$BB$76,3,),IF(AND(I187="TDP",S187&lt;=300),VLOOKUP(AF187,[1]TPCalibEq300!$AZ$2:$BB$76,3,)))</f>
        <v>y=51.002x2+72.467x-44.141</v>
      </c>
      <c r="AS187" s="2" t="str">
        <f>IF(AND(I187="TP",S187&lt;=500),VLOOKUP(AF187,[1]TPCalibEq500!$AZ$2:$BB$88,3,),IF(AND(I187="TDP",S187&lt;=500),VLOOKUP(AF187,[1]TPCalibEq500!$AZ$2:$BB$88,3,)))</f>
        <v>y=35.548x2+104.83x-59.737</v>
      </c>
      <c r="AT187" s="2" t="b">
        <f>IF(AND(I187="TN",S187&lt;=2800),VLOOKUP(AF187,[1]TNCalibEq2500!$AZ$2:$BB$80,3,),IF(AND(I187="TDN",S187&lt;=2800),VLOOKUP(AF187,[1]TNCalibEq2500!$AZ$2:$BB$80,3,)))</f>
        <v>0</v>
      </c>
      <c r="AU187" s="2" t="str">
        <f>IF(I187="TP",VLOOKUP(AF187,[1]TPCalibEqFull!$AZ$2:$BB$164,3),IF(I187="TDP",VLOOKUP(AF187,[1]TPCalibEqFull!$AZ$2:$BB$164,3),IF(I187="TDN",VLOOKUP(AF187,[1]TNCalibEqFull!$AZ$2:$BB$116,3),IF(I187="TN",VLOOKUP(AF187,[1]TNCalibEqFull!$AZ$2:$BB$118,3),FALSE))))</f>
        <v>y=1.0953x2+204.93x-109.69</v>
      </c>
      <c r="AV187" s="2" t="str">
        <f t="shared" si="24"/>
        <v>0526 09:00:00-QAC-STD-22B-1-DI-PER</v>
      </c>
      <c r="AW187" s="2"/>
      <c r="AX187" s="2"/>
      <c r="AY187" s="2"/>
    </row>
    <row r="188" spans="1:51" x14ac:dyDescent="0.35">
      <c r="A188" s="45">
        <v>45496</v>
      </c>
      <c r="B188" s="46">
        <v>0.375</v>
      </c>
      <c r="C188" s="2" t="s">
        <v>88</v>
      </c>
      <c r="D188" s="2" t="s">
        <v>192</v>
      </c>
      <c r="E188" s="2" t="s">
        <v>112</v>
      </c>
      <c r="F188" s="2">
        <v>1</v>
      </c>
      <c r="G188" s="2" t="s">
        <v>91</v>
      </c>
      <c r="H188" s="2" t="s">
        <v>193</v>
      </c>
      <c r="I188" s="2" t="s">
        <v>198</v>
      </c>
      <c r="J188" s="2">
        <v>204</v>
      </c>
      <c r="K188" s="47">
        <v>45497</v>
      </c>
      <c r="L188" s="46">
        <v>0.7357407407407407</v>
      </c>
      <c r="M188" s="2">
        <v>1</v>
      </c>
      <c r="N188" s="2" t="s">
        <v>199</v>
      </c>
      <c r="O188" s="2">
        <v>5.25</v>
      </c>
      <c r="P188" s="2">
        <v>0.53400000000000003</v>
      </c>
      <c r="Q188" s="2">
        <v>939</v>
      </c>
      <c r="R188" s="2" t="s">
        <v>200</v>
      </c>
      <c r="S188" s="48">
        <f t="shared" si="18"/>
        <v>996.38170624999998</v>
      </c>
      <c r="T188" s="2" t="s">
        <v>222</v>
      </c>
      <c r="U188" s="48">
        <v>99.638170625000001</v>
      </c>
      <c r="V188" s="44">
        <v>1000</v>
      </c>
      <c r="W188" s="44" t="s">
        <v>98</v>
      </c>
      <c r="X188" s="44" t="s">
        <v>194</v>
      </c>
      <c r="Y188" s="2" t="s">
        <v>201</v>
      </c>
      <c r="Z188" s="2"/>
      <c r="AA188" s="2"/>
      <c r="AB188" s="2"/>
      <c r="AC188" s="2"/>
      <c r="AD188" s="2"/>
      <c r="AE188" s="2"/>
      <c r="AF188" s="47">
        <v>45497</v>
      </c>
      <c r="AG188" s="2"/>
      <c r="AH188" s="2"/>
      <c r="AI188" s="2"/>
      <c r="AJ188" s="2"/>
      <c r="AK188" s="2">
        <f>1.0953*5.25^2+204.93*5.25-109.69</f>
        <v>996.38170624999998</v>
      </c>
      <c r="AL188" s="2" t="str">
        <f t="shared" ref="AL188:AN203" si="27">IF($O188="", "", IF(AQ188&lt;&gt;"", SUBSTITUTE(SUBSTITUTE(AQ188, "x", "*"&amp;$O188&amp;"^", 1), "x", "*"&amp;$O188, 1), ""))</f>
        <v>FALSE</v>
      </c>
      <c r="AM188" s="2" t="str">
        <f t="shared" si="27"/>
        <v>FALSE</v>
      </c>
      <c r="AN188" s="2" t="str">
        <f t="shared" si="27"/>
        <v>FALSE</v>
      </c>
      <c r="AO188" s="2" t="str">
        <f t="shared" ref="AO188:AP203" si="28">IF($O188="", "FALSE", IF(AT188&lt;&gt;"FALSE", SUBSTITUTE(SUBSTITUTE(AT188, "x", "*"&amp;$O188&amp;"^", 1), "x", "*"&amp;$O188, 1), ""))</f>
        <v>FALSE</v>
      </c>
      <c r="AP188" s="2" t="str">
        <f t="shared" si="28"/>
        <v>y=1.0953*5.25^2+204.93*5.25-109.69</v>
      </c>
      <c r="AQ188" s="2" t="b">
        <f>IF(AND(I188="TP",S188&lt;=150),VLOOKUP(AF188,[1]TPCalibEq150!$AZ$2:$BB$74,3,),IF(AND(I188="TDP",S188&lt;=150),VLOOKUP(AF188,[1]TPCalibEq150!$AZ$2:$BB$74,3,)))</f>
        <v>0</v>
      </c>
      <c r="AR188" s="2" t="b">
        <f>IF(AND(I188="TP",S188&lt;=300),VLOOKUP(AF188,[1]TPCalibEq300!$AZ$2:$BB$76,3,),IF(AND(I188="TDP",S188&lt;=300),VLOOKUP(AF188,[1]TPCalibEq300!$AZ$2:$BB$76,3,)))</f>
        <v>0</v>
      </c>
      <c r="AS188" s="2" t="b">
        <f>IF(AND(I188="TP",S188&lt;=500),VLOOKUP(AF188,[1]TPCalibEq500!$AZ$2:$BB$88,3,),IF(AND(I188="TDP",S188&lt;=500),VLOOKUP(AF188,[1]TPCalibEq500!$AZ$2:$BB$88,3,)))</f>
        <v>0</v>
      </c>
      <c r="AT188" s="2" t="b">
        <f>IF(AND(I188="TN",S188&lt;=2800),VLOOKUP(AF188,[1]TNCalibEq2500!$AZ$2:$BB$80,3,),IF(AND(I188="TDN",S188&lt;=2800),VLOOKUP(AF188,[1]TNCalibEq2500!$AZ$2:$BB$80,3,)))</f>
        <v>0</v>
      </c>
      <c r="AU188" s="2" t="str">
        <f>IF(I188="TP",VLOOKUP(AF188,[1]TPCalibEqFull!$AZ$2:$BB$164,3),IF(I188="TDP",VLOOKUP(AF188,[1]TPCalibEqFull!$AZ$2:$BB$164,3),IF(I188="TDN",VLOOKUP(AF188,[1]TNCalibEqFull!$AZ$2:$BB$116,3),IF(I188="TN",VLOOKUP(AF188,[1]TNCalibEqFull!$AZ$2:$BB$118,3),FALSE))))</f>
        <v>y=1.0953x2+204.93x-109.69</v>
      </c>
      <c r="AV188" s="2" t="str">
        <f t="shared" si="24"/>
        <v>0723 09:00:00-QAC-REC-A-1-DI-GUP</v>
      </c>
      <c r="AW188" s="2"/>
      <c r="AX188" s="2"/>
      <c r="AY188" s="2"/>
    </row>
    <row r="189" spans="1:51" x14ac:dyDescent="0.35">
      <c r="A189" s="45">
        <v>45496</v>
      </c>
      <c r="B189" s="46">
        <v>0.375</v>
      </c>
      <c r="C189" s="2" t="s">
        <v>88</v>
      </c>
      <c r="D189" s="2" t="s">
        <v>192</v>
      </c>
      <c r="E189" s="2" t="s">
        <v>110</v>
      </c>
      <c r="F189" s="2">
        <v>1</v>
      </c>
      <c r="G189" s="2" t="s">
        <v>91</v>
      </c>
      <c r="H189" s="2" t="s">
        <v>193</v>
      </c>
      <c r="I189" s="2" t="s">
        <v>198</v>
      </c>
      <c r="J189" s="2">
        <v>205</v>
      </c>
      <c r="K189" s="47">
        <v>45497</v>
      </c>
      <c r="L189" s="46">
        <v>0.73631944444444442</v>
      </c>
      <c r="M189" s="2">
        <v>1</v>
      </c>
      <c r="N189" s="2" t="s">
        <v>199</v>
      </c>
      <c r="O189" s="2">
        <v>1.29</v>
      </c>
      <c r="P189" s="2">
        <v>0.127</v>
      </c>
      <c r="Q189" s="2">
        <v>160</v>
      </c>
      <c r="R189" s="2" t="s">
        <v>200</v>
      </c>
      <c r="S189" s="48">
        <f t="shared" si="18"/>
        <v>160</v>
      </c>
      <c r="T189" s="2" t="s">
        <v>222</v>
      </c>
      <c r="U189" s="48">
        <v>80</v>
      </c>
      <c r="V189" s="44">
        <v>200</v>
      </c>
      <c r="W189" s="44" t="s">
        <v>98</v>
      </c>
      <c r="X189" s="44" t="s">
        <v>194</v>
      </c>
      <c r="Y189" s="2" t="s">
        <v>201</v>
      </c>
      <c r="Z189" s="2"/>
      <c r="AA189" s="2"/>
      <c r="AB189" s="2"/>
      <c r="AC189" s="2"/>
      <c r="AD189" s="2"/>
      <c r="AE189" s="2"/>
      <c r="AF189" s="47">
        <v>45497</v>
      </c>
      <c r="AG189" s="2"/>
      <c r="AH189" s="2">
        <f>51.002*1.29^2+72.467*1.29-44.141</f>
        <v>134.21385820000003</v>
      </c>
      <c r="AI189" s="2">
        <f>35.548*1.29^2+104.83*1.29-59.737</f>
        <v>134.64912680000003</v>
      </c>
      <c r="AJ189" s="2"/>
      <c r="AK189" s="2">
        <f>1.0953*1.29^2+204.93*1.29-109.69</f>
        <v>156.49238873000002</v>
      </c>
      <c r="AL189" s="2" t="str">
        <f t="shared" si="27"/>
        <v>FALSE</v>
      </c>
      <c r="AM189" s="2" t="str">
        <f t="shared" si="27"/>
        <v>y=51.002*1.29^2+72.467*1.29-44.141</v>
      </c>
      <c r="AN189" s="2" t="str">
        <f t="shared" si="27"/>
        <v>y=35.548*1.29^2+104.83*1.29-59.737</v>
      </c>
      <c r="AO189" s="2" t="str">
        <f t="shared" si="28"/>
        <v>FALSE</v>
      </c>
      <c r="AP189" s="2" t="str">
        <f t="shared" si="28"/>
        <v>y=1.0953*1.29^2+204.93*1.29-109.69</v>
      </c>
      <c r="AQ189" s="2" t="b">
        <f>IF(AND(I189="TP",S189&lt;=150),VLOOKUP(AF189,[1]TPCalibEq150!$AZ$2:$BB$74,3,),IF(AND(I189="TDP",S189&lt;=150),VLOOKUP(AF189,[1]TPCalibEq150!$AZ$2:$BB$74,3,)))</f>
        <v>0</v>
      </c>
      <c r="AR189" s="2" t="str">
        <f>IF(AND(I189="TP",S189&lt;=300),VLOOKUP(AF189,[1]TPCalibEq300!$AZ$2:$BB$76,3,),IF(AND(I189="TDP",S189&lt;=300),VLOOKUP(AF189,[1]TPCalibEq300!$AZ$2:$BB$76,3,)))</f>
        <v>y=51.002x2+72.467x-44.141</v>
      </c>
      <c r="AS189" s="2" t="str">
        <f>IF(AND(I189="TP",S189&lt;=500),VLOOKUP(AF189,[1]TPCalibEq500!$AZ$2:$BB$88,3,),IF(AND(I189="TDP",S189&lt;=500),VLOOKUP(AF189,[1]TPCalibEq500!$AZ$2:$BB$88,3,)))</f>
        <v>y=35.548x2+104.83x-59.737</v>
      </c>
      <c r="AT189" s="2" t="b">
        <f>IF(AND(I189="TN",S189&lt;=2800),VLOOKUP(AF189,[1]TNCalibEq2500!$AZ$2:$BB$80,3,),IF(AND(I189="TDN",S189&lt;=2800),VLOOKUP(AF189,[1]TNCalibEq2500!$AZ$2:$BB$80,3,)))</f>
        <v>0</v>
      </c>
      <c r="AU189" s="2" t="str">
        <f>IF(I189="TP",VLOOKUP(AF189,[1]TPCalibEqFull!$AZ$2:$BB$164,3),IF(I189="TDP",VLOOKUP(AF189,[1]TPCalibEqFull!$AZ$2:$BB$164,3),IF(I189="TDN",VLOOKUP(AF189,[1]TNCalibEqFull!$AZ$2:$BB$116,3),IF(I189="TN",VLOOKUP(AF189,[1]TNCalibEqFull!$AZ$2:$BB$118,3),FALSE))))</f>
        <v>y=1.0953x2+204.93x-109.69</v>
      </c>
      <c r="AV189" s="2" t="str">
        <f t="shared" si="24"/>
        <v>0723 09:00:00-QAC-REC-B-1-DI-GUP</v>
      </c>
      <c r="AW189" s="2"/>
      <c r="AX189" s="2"/>
      <c r="AY189" s="2"/>
    </row>
    <row r="190" spans="1:51" x14ac:dyDescent="0.35">
      <c r="A190" s="45">
        <v>45496</v>
      </c>
      <c r="B190" s="46">
        <v>0.375</v>
      </c>
      <c r="C190" s="2" t="s">
        <v>88</v>
      </c>
      <c r="D190" s="2" t="s">
        <v>192</v>
      </c>
      <c r="E190" s="2" t="s">
        <v>108</v>
      </c>
      <c r="F190" s="2">
        <v>1</v>
      </c>
      <c r="G190" s="2" t="s">
        <v>91</v>
      </c>
      <c r="H190" s="2" t="s">
        <v>193</v>
      </c>
      <c r="I190" s="2" t="s">
        <v>198</v>
      </c>
      <c r="J190" s="2">
        <v>206</v>
      </c>
      <c r="K190" s="47">
        <v>45497</v>
      </c>
      <c r="L190" s="46">
        <v>0.73692129629629621</v>
      </c>
      <c r="M190" s="2">
        <v>1</v>
      </c>
      <c r="N190" s="2" t="s">
        <v>199</v>
      </c>
      <c r="O190" s="2">
        <v>0.84</v>
      </c>
      <c r="P190" s="2">
        <v>7.9699999999999993E-2</v>
      </c>
      <c r="Q190" s="2">
        <v>71.400000000000006</v>
      </c>
      <c r="R190" s="2" t="s">
        <v>200</v>
      </c>
      <c r="S190" s="48">
        <f t="shared" si="18"/>
        <v>71.400000000000006</v>
      </c>
      <c r="T190" s="2" t="s">
        <v>222</v>
      </c>
      <c r="U190" s="48">
        <v>71.400000000000006</v>
      </c>
      <c r="V190" s="44">
        <v>100</v>
      </c>
      <c r="W190" s="44" t="s">
        <v>147</v>
      </c>
      <c r="X190" s="44" t="s">
        <v>194</v>
      </c>
      <c r="Y190" s="2" t="s">
        <v>201</v>
      </c>
      <c r="Z190" s="2"/>
      <c r="AA190" s="2"/>
      <c r="AB190" s="2"/>
      <c r="AC190" s="2"/>
      <c r="AD190" s="2"/>
      <c r="AE190" s="2"/>
      <c r="AF190" s="47">
        <v>45497</v>
      </c>
      <c r="AG190" s="2">
        <f>-48.316*0.84^2+258.18*0.84-118.22</f>
        <v>64.559430399999997</v>
      </c>
      <c r="AH190" s="2">
        <f>51.002*0.84^2+72.467*0.84-44.141</f>
        <v>52.718291200000003</v>
      </c>
      <c r="AI190" s="2">
        <f>35.548*0.84^2+104.83*0.84-59.737</f>
        <v>53.402868799999986</v>
      </c>
      <c r="AJ190" s="2"/>
      <c r="AK190" s="2">
        <f>1.0953*0.84^2+204.93*0.84-109.69</f>
        <v>63.224043679999994</v>
      </c>
      <c r="AL190" s="2" t="str">
        <f t="shared" si="27"/>
        <v>y=-48.316*0.84^2+258.18*0.84-118.22</v>
      </c>
      <c r="AM190" s="2" t="str">
        <f t="shared" si="27"/>
        <v>y=51.002*0.84^2+72.467*0.84-44.141</v>
      </c>
      <c r="AN190" s="2" t="str">
        <f t="shared" si="27"/>
        <v>y=35.548*0.84^2+104.83*0.84-59.737</v>
      </c>
      <c r="AO190" s="2" t="str">
        <f t="shared" si="28"/>
        <v>FALSE</v>
      </c>
      <c r="AP190" s="2" t="str">
        <f t="shared" si="28"/>
        <v>y=1.0953*0.84^2+204.93*0.84-109.69</v>
      </c>
      <c r="AQ190" s="2" t="str">
        <f>IF(AND(I190="TP",S190&lt;=150),VLOOKUP(AF190,[1]TPCalibEq150!$AZ$2:$BB$74,3,),IF(AND(I190="TDP",S190&lt;=150),VLOOKUP(AF190,[1]TPCalibEq150!$AZ$2:$BB$74,3,)))</f>
        <v>y=-48.316x2+258.18x-118.22</v>
      </c>
      <c r="AR190" s="2" t="str">
        <f>IF(AND(I190="TP",S190&lt;=300),VLOOKUP(AF190,[1]TPCalibEq300!$AZ$2:$BB$76,3,),IF(AND(I190="TDP",S190&lt;=300),VLOOKUP(AF190,[1]TPCalibEq300!$AZ$2:$BB$76,3,)))</f>
        <v>y=51.002x2+72.467x-44.141</v>
      </c>
      <c r="AS190" s="2" t="str">
        <f>IF(AND(I190="TP",S190&lt;=500),VLOOKUP(AF190,[1]TPCalibEq500!$AZ$2:$BB$88,3,),IF(AND(I190="TDP",S190&lt;=500),VLOOKUP(AF190,[1]TPCalibEq500!$AZ$2:$BB$88,3,)))</f>
        <v>y=35.548x2+104.83x-59.737</v>
      </c>
      <c r="AT190" s="2" t="b">
        <f>IF(AND(I190="TN",S190&lt;=2800),VLOOKUP(AF190,[1]TNCalibEq2500!$AZ$2:$BB$80,3,),IF(AND(I190="TDN",S190&lt;=2800),VLOOKUP(AF190,[1]TNCalibEq2500!$AZ$2:$BB$80,3,)))</f>
        <v>0</v>
      </c>
      <c r="AU190" s="2" t="str">
        <f>IF(I190="TP",VLOOKUP(AF190,[1]TPCalibEqFull!$AZ$2:$BB$164,3),IF(I190="TDP",VLOOKUP(AF190,[1]TPCalibEqFull!$AZ$2:$BB$164,3),IF(I190="TDN",VLOOKUP(AF190,[1]TNCalibEqFull!$AZ$2:$BB$116,3),IF(I190="TN",VLOOKUP(AF190,[1]TNCalibEqFull!$AZ$2:$BB$118,3),FALSE))))</f>
        <v>y=1.0953x2+204.93x-109.69</v>
      </c>
      <c r="AV190" s="2" t="str">
        <f t="shared" si="24"/>
        <v>0723 09:00:00-QAC-REC-C-1-DI-GUP</v>
      </c>
      <c r="AW190" s="2"/>
      <c r="AX190" s="2"/>
      <c r="AY190" s="2"/>
    </row>
    <row r="191" spans="1:51" x14ac:dyDescent="0.35">
      <c r="A191" s="45">
        <v>45496</v>
      </c>
      <c r="B191" s="46">
        <v>0.375</v>
      </c>
      <c r="C191" s="2" t="s">
        <v>88</v>
      </c>
      <c r="D191" s="2" t="s">
        <v>192</v>
      </c>
      <c r="E191" s="2" t="s">
        <v>112</v>
      </c>
      <c r="F191" s="2">
        <v>1</v>
      </c>
      <c r="G191" s="2" t="s">
        <v>91</v>
      </c>
      <c r="H191" s="2" t="s">
        <v>195</v>
      </c>
      <c r="I191" s="2" t="s">
        <v>198</v>
      </c>
      <c r="J191" s="2">
        <v>207</v>
      </c>
      <c r="K191" s="47">
        <v>45497</v>
      </c>
      <c r="L191" s="46">
        <v>0.73751157407407408</v>
      </c>
      <c r="M191" s="2">
        <v>1</v>
      </c>
      <c r="N191" s="2" t="s">
        <v>199</v>
      </c>
      <c r="O191" s="2">
        <v>6.17</v>
      </c>
      <c r="P191" s="2">
        <v>0.628</v>
      </c>
      <c r="Q191" s="2">
        <v>1120</v>
      </c>
      <c r="R191" s="2" t="s">
        <v>200</v>
      </c>
      <c r="S191" s="48">
        <f t="shared" si="18"/>
        <v>1196.4249661700001</v>
      </c>
      <c r="T191" s="2" t="s">
        <v>222</v>
      </c>
      <c r="U191" s="48">
        <v>89.754311040510132</v>
      </c>
      <c r="V191" s="44">
        <v>1333</v>
      </c>
      <c r="W191" s="44" t="s">
        <v>98</v>
      </c>
      <c r="X191" s="44" t="s">
        <v>194</v>
      </c>
      <c r="Y191" s="2" t="s">
        <v>201</v>
      </c>
      <c r="Z191" s="2"/>
      <c r="AA191" s="2"/>
      <c r="AB191" s="2"/>
      <c r="AC191" s="2"/>
      <c r="AD191" s="2"/>
      <c r="AE191" s="2"/>
      <c r="AF191" s="47">
        <v>45497</v>
      </c>
      <c r="AG191" s="2"/>
      <c r="AH191" s="2"/>
      <c r="AI191" s="2"/>
      <c r="AJ191" s="2"/>
      <c r="AK191" s="2">
        <f>1.0953*6.17^2+204.93*6.17-109.69</f>
        <v>1196.4249661700001</v>
      </c>
      <c r="AL191" s="2" t="str">
        <f t="shared" si="27"/>
        <v>FALSE</v>
      </c>
      <c r="AM191" s="2" t="str">
        <f t="shared" si="27"/>
        <v>FALSE</v>
      </c>
      <c r="AN191" s="2" t="str">
        <f t="shared" si="27"/>
        <v>FALSE</v>
      </c>
      <c r="AO191" s="2" t="str">
        <f t="shared" si="28"/>
        <v>FALSE</v>
      </c>
      <c r="AP191" s="2" t="str">
        <f t="shared" si="28"/>
        <v>y=1.0953*6.17^2+204.93*6.17-109.69</v>
      </c>
      <c r="AQ191" s="2" t="b">
        <f>IF(AND(I191="TP",S191&lt;=150),VLOOKUP(AF191,[1]TPCalibEq150!$AZ$2:$BB$74,3,),IF(AND(I191="TDP",S191&lt;=150),VLOOKUP(AF191,[1]TPCalibEq150!$AZ$2:$BB$74,3,)))</f>
        <v>0</v>
      </c>
      <c r="AR191" s="2" t="b">
        <f>IF(AND(I191="TP",S191&lt;=300),VLOOKUP(AF191,[1]TPCalibEq300!$AZ$2:$BB$76,3,),IF(AND(I191="TDP",S191&lt;=300),VLOOKUP(AF191,[1]TPCalibEq300!$AZ$2:$BB$76,3,)))</f>
        <v>0</v>
      </c>
      <c r="AS191" s="2" t="b">
        <f>IF(AND(I191="TP",S191&lt;=500),VLOOKUP(AF191,[1]TPCalibEq500!$AZ$2:$BB$88,3,),IF(AND(I191="TDP",S191&lt;=500),VLOOKUP(AF191,[1]TPCalibEq500!$AZ$2:$BB$88,3,)))</f>
        <v>0</v>
      </c>
      <c r="AT191" s="2" t="b">
        <f>IF(AND(I191="TN",S191&lt;=2800),VLOOKUP(AF191,[1]TNCalibEq2500!$AZ$2:$BB$80,3,),IF(AND(I191="TDN",S191&lt;=2800),VLOOKUP(AF191,[1]TNCalibEq2500!$AZ$2:$BB$80,3,)))</f>
        <v>0</v>
      </c>
      <c r="AU191" s="2" t="str">
        <f>IF(I191="TP",VLOOKUP(AF191,[1]TPCalibEqFull!$AZ$2:$BB$164,3),IF(I191="TDP",VLOOKUP(AF191,[1]TPCalibEqFull!$AZ$2:$BB$164,3),IF(I191="TDN",VLOOKUP(AF191,[1]TNCalibEqFull!$AZ$2:$BB$116,3),IF(I191="TN",VLOOKUP(AF191,[1]TNCalibEqFull!$AZ$2:$BB$118,3),FALSE))))</f>
        <v>y=1.0953x2+204.93x-109.69</v>
      </c>
      <c r="AV191" s="2" t="str">
        <f t="shared" si="24"/>
        <v>0723 09:00:00-QAC-REC-A-1-DI-ATP</v>
      </c>
      <c r="AW191" s="2"/>
      <c r="AX191" s="2"/>
      <c r="AY191" s="2"/>
    </row>
    <row r="192" spans="1:51" x14ac:dyDescent="0.35">
      <c r="A192" s="45">
        <v>45496</v>
      </c>
      <c r="B192" s="46">
        <v>0.375</v>
      </c>
      <c r="C192" s="2" t="s">
        <v>88</v>
      </c>
      <c r="D192" s="2" t="s">
        <v>192</v>
      </c>
      <c r="E192" s="2" t="s">
        <v>110</v>
      </c>
      <c r="F192" s="2">
        <v>1</v>
      </c>
      <c r="G192" s="2" t="s">
        <v>91</v>
      </c>
      <c r="H192" s="2" t="s">
        <v>195</v>
      </c>
      <c r="I192" s="2" t="s">
        <v>198</v>
      </c>
      <c r="J192" s="2">
        <v>208</v>
      </c>
      <c r="K192" s="47">
        <v>45497</v>
      </c>
      <c r="L192" s="46">
        <v>0.73810185185185195</v>
      </c>
      <c r="M192" s="2">
        <v>1</v>
      </c>
      <c r="N192" s="2" t="s">
        <v>199</v>
      </c>
      <c r="O192" s="2">
        <v>1.56</v>
      </c>
      <c r="P192" s="2">
        <v>0.154</v>
      </c>
      <c r="Q192" s="2">
        <v>214</v>
      </c>
      <c r="R192" s="2" t="s">
        <v>200</v>
      </c>
      <c r="S192" s="48">
        <f t="shared" si="18"/>
        <v>214</v>
      </c>
      <c r="T192" s="2" t="s">
        <v>222</v>
      </c>
      <c r="U192" s="48">
        <v>80.451127819548873</v>
      </c>
      <c r="V192" s="44">
        <v>266</v>
      </c>
      <c r="W192" s="44" t="s">
        <v>98</v>
      </c>
      <c r="X192" s="44" t="s">
        <v>194</v>
      </c>
      <c r="Y192" s="2" t="s">
        <v>201</v>
      </c>
      <c r="Z192" s="2"/>
      <c r="AA192" s="2"/>
      <c r="AB192" s="2"/>
      <c r="AC192" s="2"/>
      <c r="AD192" s="2"/>
      <c r="AE192" s="2"/>
      <c r="AF192" s="47">
        <v>45497</v>
      </c>
      <c r="AG192" s="2"/>
      <c r="AH192" s="2">
        <f>51.002*1.56^2+72.467*1.56-44.141</f>
        <v>193.0259872</v>
      </c>
      <c r="AI192" s="2">
        <f>35.548*1.56^2+104.83*1.56-59.737</f>
        <v>190.30741280000001</v>
      </c>
      <c r="AJ192" s="2"/>
      <c r="AK192" s="2">
        <f>1.0953*1.56^2+204.93*1.56-109.69</f>
        <v>212.66632208000004</v>
      </c>
      <c r="AL192" s="2" t="str">
        <f t="shared" si="27"/>
        <v>FALSE</v>
      </c>
      <c r="AM192" s="2" t="str">
        <f t="shared" si="27"/>
        <v>y=51.002*1.56^2+72.467*1.56-44.141</v>
      </c>
      <c r="AN192" s="2" t="str">
        <f t="shared" si="27"/>
        <v>y=35.548*1.56^2+104.83*1.56-59.737</v>
      </c>
      <c r="AO192" s="2" t="str">
        <f t="shared" si="28"/>
        <v>FALSE</v>
      </c>
      <c r="AP192" s="2" t="str">
        <f t="shared" si="28"/>
        <v>y=1.0953*1.56^2+204.93*1.56-109.69</v>
      </c>
      <c r="AQ192" s="2" t="b">
        <f>IF(AND(I192="TP",S192&lt;=150),VLOOKUP(AF192,[1]TPCalibEq150!$AZ$2:$BB$74,3,),IF(AND(I192="TDP",S192&lt;=150),VLOOKUP(AF192,[1]TPCalibEq150!$AZ$2:$BB$74,3,)))</f>
        <v>0</v>
      </c>
      <c r="AR192" s="2" t="str">
        <f>IF(AND(I192="TP",S192&lt;=300),VLOOKUP(AF192,[1]TPCalibEq300!$AZ$2:$BB$76,3,),IF(AND(I192="TDP",S192&lt;=300),VLOOKUP(AF192,[1]TPCalibEq300!$AZ$2:$BB$76,3,)))</f>
        <v>y=51.002x2+72.467x-44.141</v>
      </c>
      <c r="AS192" s="2" t="str">
        <f>IF(AND(I192="TP",S192&lt;=500),VLOOKUP(AF192,[1]TPCalibEq500!$AZ$2:$BB$88,3,),IF(AND(I192="TDP",S192&lt;=500),VLOOKUP(AF192,[1]TPCalibEq500!$AZ$2:$BB$88,3,)))</f>
        <v>y=35.548x2+104.83x-59.737</v>
      </c>
      <c r="AT192" s="2" t="b">
        <f>IF(AND(I192="TN",S192&lt;=2800),VLOOKUP(AF192,[1]TNCalibEq2500!$AZ$2:$BB$80,3,),IF(AND(I192="TDN",S192&lt;=2800),VLOOKUP(AF192,[1]TNCalibEq2500!$AZ$2:$BB$80,3,)))</f>
        <v>0</v>
      </c>
      <c r="AU192" s="2" t="str">
        <f>IF(I192="TP",VLOOKUP(AF192,[1]TPCalibEqFull!$AZ$2:$BB$164,3),IF(I192="TDP",VLOOKUP(AF192,[1]TPCalibEqFull!$AZ$2:$BB$164,3),IF(I192="TDN",VLOOKUP(AF192,[1]TNCalibEqFull!$AZ$2:$BB$116,3),IF(I192="TN",VLOOKUP(AF192,[1]TNCalibEqFull!$AZ$2:$BB$118,3),FALSE))))</f>
        <v>y=1.0953x2+204.93x-109.69</v>
      </c>
      <c r="AV192" s="2" t="str">
        <f t="shared" si="24"/>
        <v>0723 09:00:00-QAC-REC-B-1-DI-ATP</v>
      </c>
      <c r="AW192" s="2"/>
      <c r="AX192" s="2"/>
      <c r="AY192" s="2"/>
    </row>
    <row r="193" spans="1:51" x14ac:dyDescent="0.35">
      <c r="A193" s="45">
        <v>45496</v>
      </c>
      <c r="B193" s="46">
        <v>0.375</v>
      </c>
      <c r="C193" s="2" t="s">
        <v>88</v>
      </c>
      <c r="D193" s="2" t="s">
        <v>192</v>
      </c>
      <c r="E193" s="2" t="s">
        <v>108</v>
      </c>
      <c r="F193" s="2">
        <v>1</v>
      </c>
      <c r="G193" s="2" t="s">
        <v>91</v>
      </c>
      <c r="H193" s="2" t="s">
        <v>195</v>
      </c>
      <c r="I193" s="2" t="s">
        <v>198</v>
      </c>
      <c r="J193" s="2">
        <v>209</v>
      </c>
      <c r="K193" s="47">
        <v>45497</v>
      </c>
      <c r="L193" s="46">
        <v>0.7386921296296296</v>
      </c>
      <c r="M193" s="2">
        <v>1</v>
      </c>
      <c r="N193" s="2" t="s">
        <v>199</v>
      </c>
      <c r="O193" s="2">
        <v>1.1200000000000001</v>
      </c>
      <c r="P193" s="2">
        <v>0.108</v>
      </c>
      <c r="Q193" s="2">
        <v>126</v>
      </c>
      <c r="R193" s="2" t="s">
        <v>200</v>
      </c>
      <c r="S193" s="48">
        <f t="shared" si="18"/>
        <v>126</v>
      </c>
      <c r="T193" s="2" t="s">
        <v>222</v>
      </c>
      <c r="U193" s="48">
        <v>94.73684210526315</v>
      </c>
      <c r="V193" s="44">
        <v>133</v>
      </c>
      <c r="W193" s="44" t="s">
        <v>98</v>
      </c>
      <c r="X193" s="44" t="s">
        <v>194</v>
      </c>
      <c r="Y193" s="2" t="s">
        <v>201</v>
      </c>
      <c r="Z193" s="2"/>
      <c r="AA193" s="2"/>
      <c r="AB193" s="2"/>
      <c r="AC193" s="2"/>
      <c r="AD193" s="2"/>
      <c r="AE193" s="2"/>
      <c r="AF193" s="47">
        <v>45497</v>
      </c>
      <c r="AG193" s="2">
        <f>-48.316*1.12^2+258.18*1.12-118.22</f>
        <v>110.3340096</v>
      </c>
      <c r="AH193" s="2">
        <f>51.002*1.12^2+72.467*1.12-44.141</f>
        <v>100.99894880000002</v>
      </c>
      <c r="AI193" s="2">
        <f>35.548*1.12^2+104.83*1.12-59.737</f>
        <v>102.26401120000003</v>
      </c>
      <c r="AJ193" s="2"/>
      <c r="AK193" s="2">
        <f>1.0953*1.12^2+204.93*1.12-109.69</f>
        <v>121.20554432000003</v>
      </c>
      <c r="AL193" s="2" t="str">
        <f t="shared" si="27"/>
        <v>y=-48.316*1.12^2+258.18*1.12-118.22</v>
      </c>
      <c r="AM193" s="2" t="str">
        <f t="shared" si="27"/>
        <v>y=51.002*1.12^2+72.467*1.12-44.141</v>
      </c>
      <c r="AN193" s="2" t="str">
        <f t="shared" si="27"/>
        <v>y=35.548*1.12^2+104.83*1.12-59.737</v>
      </c>
      <c r="AO193" s="2" t="str">
        <f t="shared" si="28"/>
        <v>FALSE</v>
      </c>
      <c r="AP193" s="2" t="str">
        <f t="shared" si="28"/>
        <v>y=1.0953*1.12^2+204.93*1.12-109.69</v>
      </c>
      <c r="AQ193" s="2" t="str">
        <f>IF(AND(I193="TP",S193&lt;=150),VLOOKUP(AF193,[1]TPCalibEq150!$AZ$2:$BB$74,3,),IF(AND(I193="TDP",S193&lt;=150),VLOOKUP(AF193,[1]TPCalibEq150!$AZ$2:$BB$74,3,)))</f>
        <v>y=-48.316x2+258.18x-118.22</v>
      </c>
      <c r="AR193" s="2" t="str">
        <f>IF(AND(I193="TP",S193&lt;=300),VLOOKUP(AF193,[1]TPCalibEq300!$AZ$2:$BB$76,3,),IF(AND(I193="TDP",S193&lt;=300),VLOOKUP(AF193,[1]TPCalibEq300!$AZ$2:$BB$76,3,)))</f>
        <v>y=51.002x2+72.467x-44.141</v>
      </c>
      <c r="AS193" s="2" t="str">
        <f>IF(AND(I193="TP",S193&lt;=500),VLOOKUP(AF193,[1]TPCalibEq500!$AZ$2:$BB$88,3,),IF(AND(I193="TDP",S193&lt;=500),VLOOKUP(AF193,[1]TPCalibEq500!$AZ$2:$BB$88,3,)))</f>
        <v>y=35.548x2+104.83x-59.737</v>
      </c>
      <c r="AT193" s="2" t="b">
        <f>IF(AND(I193="TN",S193&lt;=2800),VLOOKUP(AF193,[1]TNCalibEq2500!$AZ$2:$BB$80,3,),IF(AND(I193="TDN",S193&lt;=2800),VLOOKUP(AF193,[1]TNCalibEq2500!$AZ$2:$BB$80,3,)))</f>
        <v>0</v>
      </c>
      <c r="AU193" s="2" t="str">
        <f>IF(I193="TP",VLOOKUP(AF193,[1]TPCalibEqFull!$AZ$2:$BB$164,3),IF(I193="TDP",VLOOKUP(AF193,[1]TPCalibEqFull!$AZ$2:$BB$164,3),IF(I193="TDN",VLOOKUP(AF193,[1]TNCalibEqFull!$AZ$2:$BB$116,3),IF(I193="TN",VLOOKUP(AF193,[1]TNCalibEqFull!$AZ$2:$BB$118,3),FALSE))))</f>
        <v>y=1.0953x2+204.93x-109.69</v>
      </c>
      <c r="AV193" s="2" t="str">
        <f t="shared" si="24"/>
        <v>0723 09:00:00-QAC-REC-C-1-DI-ATP</v>
      </c>
      <c r="AW193" s="2"/>
      <c r="AX193" s="2"/>
      <c r="AY193" s="2"/>
    </row>
    <row r="194" spans="1:51" x14ac:dyDescent="0.35">
      <c r="A194" s="45">
        <v>45497</v>
      </c>
      <c r="B194" s="46">
        <v>0.375</v>
      </c>
      <c r="C194" s="2" t="s">
        <v>88</v>
      </c>
      <c r="D194" s="2" t="s">
        <v>89</v>
      </c>
      <c r="E194" s="2" t="s">
        <v>106</v>
      </c>
      <c r="F194" s="2">
        <v>1</v>
      </c>
      <c r="G194" s="2" t="s">
        <v>91</v>
      </c>
      <c r="H194" s="2" t="s">
        <v>122</v>
      </c>
      <c r="I194" s="2" t="s">
        <v>198</v>
      </c>
      <c r="J194" s="2">
        <v>200</v>
      </c>
      <c r="K194" s="47">
        <v>45497</v>
      </c>
      <c r="L194" s="46">
        <v>0.77681712962962957</v>
      </c>
      <c r="M194" s="2">
        <v>1</v>
      </c>
      <c r="N194" s="2" t="s">
        <v>199</v>
      </c>
      <c r="O194" s="2">
        <v>2.75</v>
      </c>
      <c r="P194" s="2">
        <v>0.27900000000000003</v>
      </c>
      <c r="Q194" s="2">
        <v>447</v>
      </c>
      <c r="R194" s="2" t="s">
        <v>200</v>
      </c>
      <c r="S194" s="48">
        <f t="shared" ref="S194:S220" si="29">IF(OR(AND(I194&lt;&gt;"TP", I194&lt;&gt;"TDP",I194&lt;&gt;"TN", I194&lt;&gt;"TDN"),H194="CAL"), Q194*M194, IF(OR(AND(I194="TN", Q194&gt;2500), AND(I194="TDN", Q194&gt;2500)),MAX(Q194, AK194)*M194, IF(OR(AND(I194="TN", Q194&lt;=2500), AND(I194="TDN", Q194&lt;=2500)),MAX(Q194, AJ194,AK194)*M194, IF(OR(AND(I194="TP",Q194&gt;500), AND(I194="TDP", Q194&gt;500)),MAX(Q194,AK194)*M194,IF(OR(AND(I194="TP",Q194&lt;=150), AND(I194="TDP", Q194&lt;=150)),MAX(Q194,AG194:AI194,AK194)*M194,IF(OR(AND(I194="TP",Q194&lt;=300), AND(I194="TDP", Q194&lt;=300)),MAX(Q194,AH194,AI194,AK194)*M194,IF(OR(AND(I194="TP",Q194&lt;=500), AND(I194="TDP", Q194&lt;=500)),MAX(Q194,AI194,AK194)*M194,"")))))))</f>
        <v>497.37724999999995</v>
      </c>
      <c r="T194" s="2" t="s">
        <v>222</v>
      </c>
      <c r="U194" s="48">
        <v>99.475449999999981</v>
      </c>
      <c r="V194" s="44">
        <v>500</v>
      </c>
      <c r="W194" s="44" t="s">
        <v>98</v>
      </c>
      <c r="X194" s="44" t="s">
        <v>123</v>
      </c>
      <c r="Y194" s="2" t="s">
        <v>201</v>
      </c>
      <c r="Z194" s="2"/>
      <c r="AA194" s="2"/>
      <c r="AB194" s="2"/>
      <c r="AC194" s="2"/>
      <c r="AD194" s="2"/>
      <c r="AE194" s="2"/>
      <c r="AF194" s="47">
        <v>45497</v>
      </c>
      <c r="AG194" s="2"/>
      <c r="AH194" s="2"/>
      <c r="AI194" s="2">
        <f>35.548*2.75^2+104.83*2.75-59.737</f>
        <v>497.37724999999995</v>
      </c>
      <c r="AJ194" s="2"/>
      <c r="AK194" s="2">
        <f>1.0953*2.75^2+204.93*2.75-109.69</f>
        <v>462.15070625000004</v>
      </c>
      <c r="AL194" s="2" t="str">
        <f t="shared" si="27"/>
        <v>FALSE</v>
      </c>
      <c r="AM194" s="2" t="str">
        <f t="shared" si="27"/>
        <v>FALSE</v>
      </c>
      <c r="AN194" s="2" t="str">
        <f t="shared" si="27"/>
        <v>y=35.548*2.75^2+104.83*2.75-59.737</v>
      </c>
      <c r="AO194" s="2" t="str">
        <f t="shared" si="28"/>
        <v>FALSE</v>
      </c>
      <c r="AP194" s="2" t="str">
        <f t="shared" si="28"/>
        <v>y=1.0953*2.75^2+204.93*2.75-109.69</v>
      </c>
      <c r="AQ194" s="2" t="b">
        <f>IF(AND(I194="TP",S194&lt;=150),VLOOKUP(AF194,[1]TPCalibEq150!$AZ$2:$BB$74,3,),IF(AND(I194="TDP",S194&lt;=150),VLOOKUP(AF194,[1]TPCalibEq150!$AZ$2:$BB$74,3,)))</f>
        <v>0</v>
      </c>
      <c r="AR194" s="2" t="b">
        <f>IF(AND(I194="TP",S194&lt;=300),VLOOKUP(AF194,[1]TPCalibEq300!$AZ$2:$BB$76,3,),IF(AND(I194="TDP",S194&lt;=300),VLOOKUP(AF194,[1]TPCalibEq300!$AZ$2:$BB$76,3,)))</f>
        <v>0</v>
      </c>
      <c r="AS194" s="2" t="str">
        <f>IF(AND(I194="TP",S194&lt;=500),VLOOKUP(AF194,[1]TPCalibEq500!$AZ$2:$BB$88,3,),IF(AND(I194="TDP",S194&lt;=500),VLOOKUP(AF194,[1]TPCalibEq500!$AZ$2:$BB$88,3,)))</f>
        <v>y=35.548x2+104.83x-59.737</v>
      </c>
      <c r="AT194" s="2" t="b">
        <f>IF(AND(I194="TN",S194&lt;=2800),VLOOKUP(AF194,[1]TNCalibEq2500!$AZ$2:$BB$80,3,),IF(AND(I194="TDN",S194&lt;=2800),VLOOKUP(AF194,[1]TNCalibEq2500!$AZ$2:$BB$80,3,)))</f>
        <v>0</v>
      </c>
      <c r="AU194" s="2" t="str">
        <f>IF(I194="TP",VLOOKUP(AF194,[1]TPCalibEqFull!$AZ$2:$BB$164,3),IF(I194="TDP",VLOOKUP(AF194,[1]TPCalibEqFull!$AZ$2:$BB$164,3),IF(I194="TDN",VLOOKUP(AF194,[1]TNCalibEqFull!$AZ$2:$BB$116,3),IF(I194="TN",VLOOKUP(AF194,[1]TNCalibEqFull!$AZ$2:$BB$118,3),FALSE))))</f>
        <v>y=1.0953x2+204.93x-109.69</v>
      </c>
      <c r="AV194" s="2" t="str">
        <f t="shared" si="24"/>
        <v>0724 09:00:00-QAC-STD-D-1-DI-CHK</v>
      </c>
      <c r="AW194" s="2"/>
      <c r="AX194" s="2"/>
      <c r="AY194" s="2"/>
    </row>
    <row r="195" spans="1:51" x14ac:dyDescent="0.35">
      <c r="A195" s="45">
        <v>45485</v>
      </c>
      <c r="B195" s="46">
        <v>0.5</v>
      </c>
      <c r="C195" s="2" t="s">
        <v>124</v>
      </c>
      <c r="D195" s="2">
        <v>0</v>
      </c>
      <c r="E195" s="2" t="s">
        <v>108</v>
      </c>
      <c r="F195" s="2">
        <v>1</v>
      </c>
      <c r="G195" s="2" t="s">
        <v>125</v>
      </c>
      <c r="H195" s="2" t="s">
        <v>126</v>
      </c>
      <c r="I195" s="2" t="s">
        <v>198</v>
      </c>
      <c r="J195" s="2">
        <v>33</v>
      </c>
      <c r="K195" s="47">
        <v>45497</v>
      </c>
      <c r="L195" s="46">
        <v>0.77740740740740744</v>
      </c>
      <c r="M195" s="2">
        <v>1</v>
      </c>
      <c r="N195" s="2" t="s">
        <v>199</v>
      </c>
      <c r="O195" s="2">
        <v>2.93</v>
      </c>
      <c r="P195" s="2">
        <v>0.29399999999999998</v>
      </c>
      <c r="Q195" s="2">
        <v>483</v>
      </c>
      <c r="R195" s="2" t="s">
        <v>200</v>
      </c>
      <c r="S195" s="48">
        <f t="shared" si="29"/>
        <v>552.59092520000002</v>
      </c>
      <c r="T195" s="2" t="s">
        <v>222</v>
      </c>
      <c r="U195" s="48" t="s">
        <v>97</v>
      </c>
      <c r="V195" s="44" t="s">
        <v>97</v>
      </c>
      <c r="W195" s="44" t="s">
        <v>98</v>
      </c>
      <c r="X195" s="44" t="s">
        <v>97</v>
      </c>
      <c r="Y195" s="2" t="s">
        <v>201</v>
      </c>
      <c r="Z195" s="2"/>
      <c r="AA195" s="2"/>
      <c r="AB195" s="2"/>
      <c r="AC195" s="2"/>
      <c r="AD195" s="2"/>
      <c r="AE195" s="2"/>
      <c r="AF195" s="47">
        <v>45497</v>
      </c>
      <c r="AG195" s="2"/>
      <c r="AH195" s="2"/>
      <c r="AI195" s="2">
        <f>35.548*2.93^2+104.83*2.93-59.737</f>
        <v>552.59092520000002</v>
      </c>
      <c r="AJ195" s="2"/>
      <c r="AK195" s="2">
        <f>1.0953*2.93^2+204.93*2.93-109.69</f>
        <v>500.15794097000008</v>
      </c>
      <c r="AL195" s="2" t="str">
        <f t="shared" si="27"/>
        <v>FALSE</v>
      </c>
      <c r="AM195" s="2" t="str">
        <f t="shared" si="27"/>
        <v>FALSE</v>
      </c>
      <c r="AN195" s="2" t="str">
        <f t="shared" si="27"/>
        <v>FALSE</v>
      </c>
      <c r="AO195" s="2" t="str">
        <f t="shared" si="28"/>
        <v>FALSE</v>
      </c>
      <c r="AP195" s="2" t="str">
        <f t="shared" si="28"/>
        <v>y=1.0953*2.93^2+204.93*2.93-109.69</v>
      </c>
      <c r="AQ195" s="2" t="b">
        <f>IF(AND(I195="TP",S195&lt;=150),VLOOKUP(AF195,[1]TPCalibEq150!$AZ$2:$BB$74,3,),IF(AND(I195="TDP",S195&lt;=150),VLOOKUP(AF195,[1]TPCalibEq150!$AZ$2:$BB$74,3,)))</f>
        <v>0</v>
      </c>
      <c r="AR195" s="2" t="b">
        <f>IF(AND(I195="TP",S195&lt;=300),VLOOKUP(AF195,[1]TPCalibEq300!$AZ$2:$BB$76,3,),IF(AND(I195="TDP",S195&lt;=300),VLOOKUP(AF195,[1]TPCalibEq300!$AZ$2:$BB$76,3,)))</f>
        <v>0</v>
      </c>
      <c r="AS195" s="2" t="b">
        <f>IF(AND(I195="TP",S195&lt;=500),VLOOKUP(AF195,[1]TPCalibEq500!$AZ$2:$BB$88,3,),IF(AND(I195="TDP",S195&lt;=500),VLOOKUP(AF195,[1]TPCalibEq500!$AZ$2:$BB$88,3,)))</f>
        <v>0</v>
      </c>
      <c r="AT195" s="2" t="b">
        <f>IF(AND(I195="TN",S195&lt;=2800),VLOOKUP(AF195,[1]TNCalibEq2500!$AZ$2:$BB$80,3,),IF(AND(I195="TDN",S195&lt;=2800),VLOOKUP(AF195,[1]TNCalibEq2500!$AZ$2:$BB$80,3,)))</f>
        <v>0</v>
      </c>
      <c r="AU195" s="2" t="str">
        <f>IF(I195="TP",VLOOKUP(AF195,[1]TPCalibEqFull!$AZ$2:$BB$164,3),IF(I195="TDP",VLOOKUP(AF195,[1]TPCalibEqFull!$AZ$2:$BB$164,3),IF(I195="TDN",VLOOKUP(AF195,[1]TNCalibEqFull!$AZ$2:$BB$116,3),IF(I195="TN",VLOOKUP(AF195,[1]TNCalibEqFull!$AZ$2:$BB$118,3),FALSE))))</f>
        <v>y=1.0953x2+204.93x-109.69</v>
      </c>
      <c r="AV195" s="2" t="str">
        <f t="shared" si="24"/>
        <v>0712 12:00:00-T1ANF-0-C-1-SW-UKN</v>
      </c>
      <c r="AW195" s="2"/>
      <c r="AX195" s="2"/>
      <c r="AY195" s="2"/>
    </row>
    <row r="196" spans="1:51" x14ac:dyDescent="0.35">
      <c r="A196" s="45">
        <v>45474</v>
      </c>
      <c r="B196" s="46">
        <v>0.5</v>
      </c>
      <c r="C196" s="2" t="s">
        <v>127</v>
      </c>
      <c r="D196" s="2">
        <v>0</v>
      </c>
      <c r="E196" s="2" t="s">
        <v>108</v>
      </c>
      <c r="F196" s="2">
        <v>2</v>
      </c>
      <c r="G196" s="2" t="s">
        <v>125</v>
      </c>
      <c r="H196" s="2" t="s">
        <v>126</v>
      </c>
      <c r="I196" s="2" t="s">
        <v>198</v>
      </c>
      <c r="J196" s="2">
        <v>34</v>
      </c>
      <c r="K196" s="47">
        <v>45497</v>
      </c>
      <c r="L196" s="46">
        <v>0.77799768518518519</v>
      </c>
      <c r="M196" s="2">
        <v>1</v>
      </c>
      <c r="N196" s="2" t="s">
        <v>199</v>
      </c>
      <c r="O196" s="2">
        <v>2.86</v>
      </c>
      <c r="P196" s="2">
        <v>0.28799999999999998</v>
      </c>
      <c r="Q196" s="2">
        <v>470</v>
      </c>
      <c r="R196" s="2" t="s">
        <v>200</v>
      </c>
      <c r="S196" s="48">
        <f t="shared" si="29"/>
        <v>530.84522079999999</v>
      </c>
      <c r="T196" s="2" t="s">
        <v>222</v>
      </c>
      <c r="U196" s="48" t="s">
        <v>97</v>
      </c>
      <c r="V196" s="44" t="s">
        <v>97</v>
      </c>
      <c r="W196" s="44" t="s">
        <v>98</v>
      </c>
      <c r="X196" s="44" t="s">
        <v>97</v>
      </c>
      <c r="Y196" s="2" t="s">
        <v>201</v>
      </c>
      <c r="Z196" s="2"/>
      <c r="AA196" s="2"/>
      <c r="AB196" s="2"/>
      <c r="AC196" s="2"/>
      <c r="AD196" s="2"/>
      <c r="AE196" s="2"/>
      <c r="AF196" s="47">
        <v>45497</v>
      </c>
      <c r="AG196" s="2"/>
      <c r="AH196" s="2"/>
      <c r="AI196" s="2">
        <f>35.548*2.86^2+104.83*2.86-59.737</f>
        <v>530.84522079999999</v>
      </c>
      <c r="AJ196" s="2"/>
      <c r="AK196" s="2">
        <f>1.0953*2.86^2+204.93*2.86-109.69</f>
        <v>485.36891587999997</v>
      </c>
      <c r="AL196" s="2" t="str">
        <f t="shared" si="27"/>
        <v>FALSE</v>
      </c>
      <c r="AM196" s="2" t="str">
        <f t="shared" si="27"/>
        <v>FALSE</v>
      </c>
      <c r="AN196" s="2" t="str">
        <f t="shared" si="27"/>
        <v>FALSE</v>
      </c>
      <c r="AO196" s="2" t="str">
        <f t="shared" si="28"/>
        <v>FALSE</v>
      </c>
      <c r="AP196" s="2" t="str">
        <f t="shared" si="28"/>
        <v>y=1.0953*2.86^2+204.93*2.86-109.69</v>
      </c>
      <c r="AQ196" s="2" t="b">
        <f>IF(AND(I196="TP",S196&lt;=150),VLOOKUP(AF196,[1]TPCalibEq150!$AZ$2:$BB$74,3,),IF(AND(I196="TDP",S196&lt;=150),VLOOKUP(AF196,[1]TPCalibEq150!$AZ$2:$BB$74,3,)))</f>
        <v>0</v>
      </c>
      <c r="AR196" s="2" t="b">
        <f>IF(AND(I196="TP",S196&lt;=300),VLOOKUP(AF196,[1]TPCalibEq300!$AZ$2:$BB$76,3,),IF(AND(I196="TDP",S196&lt;=300),VLOOKUP(AF196,[1]TPCalibEq300!$AZ$2:$BB$76,3,)))</f>
        <v>0</v>
      </c>
      <c r="AS196" s="2" t="b">
        <f>IF(AND(I196="TP",S196&lt;=500),VLOOKUP(AF196,[1]TPCalibEq500!$AZ$2:$BB$88,3,),IF(AND(I196="TDP",S196&lt;=500),VLOOKUP(AF196,[1]TPCalibEq500!$AZ$2:$BB$88,3,)))</f>
        <v>0</v>
      </c>
      <c r="AT196" s="2" t="b">
        <f>IF(AND(I196="TN",S196&lt;=2800),VLOOKUP(AF196,[1]TNCalibEq2500!$AZ$2:$BB$80,3,),IF(AND(I196="TDN",S196&lt;=2800),VLOOKUP(AF196,[1]TNCalibEq2500!$AZ$2:$BB$80,3,)))</f>
        <v>0</v>
      </c>
      <c r="AU196" s="2" t="str">
        <f>IF(I196="TP",VLOOKUP(AF196,[1]TPCalibEqFull!$AZ$2:$BB$164,3),IF(I196="TDP",VLOOKUP(AF196,[1]TPCalibEqFull!$AZ$2:$BB$164,3),IF(I196="TDN",VLOOKUP(AF196,[1]TNCalibEqFull!$AZ$2:$BB$116,3),IF(I196="TN",VLOOKUP(AF196,[1]TNCalibEqFull!$AZ$2:$BB$118,3),FALSE))))</f>
        <v>y=1.0953x2+204.93x-109.69</v>
      </c>
      <c r="AV196" s="2" t="str">
        <f t="shared" si="24"/>
        <v>0701 12:00:00-T1BNF-0-C-2-SW-UKN</v>
      </c>
      <c r="AW196" s="2"/>
      <c r="AX196" s="2"/>
      <c r="AY196" s="2"/>
    </row>
    <row r="197" spans="1:51" x14ac:dyDescent="0.35">
      <c r="A197" s="45">
        <v>45485</v>
      </c>
      <c r="B197" s="46">
        <v>0.5</v>
      </c>
      <c r="C197" s="2" t="s">
        <v>128</v>
      </c>
      <c r="D197" s="2">
        <v>0</v>
      </c>
      <c r="E197" s="2" t="s">
        <v>108</v>
      </c>
      <c r="F197" s="2">
        <v>1</v>
      </c>
      <c r="G197" s="2" t="s">
        <v>125</v>
      </c>
      <c r="H197" s="2" t="s">
        <v>126</v>
      </c>
      <c r="I197" s="2" t="s">
        <v>198</v>
      </c>
      <c r="J197" s="2">
        <v>35</v>
      </c>
      <c r="K197" s="47">
        <v>45497</v>
      </c>
      <c r="L197" s="46">
        <v>0.77858796296296295</v>
      </c>
      <c r="M197" s="2">
        <v>1</v>
      </c>
      <c r="N197" s="2" t="s">
        <v>199</v>
      </c>
      <c r="O197" s="2">
        <v>3.16</v>
      </c>
      <c r="P197" s="2">
        <v>0.32100000000000001</v>
      </c>
      <c r="Q197" s="2">
        <v>528</v>
      </c>
      <c r="R197" s="2" t="s">
        <v>200</v>
      </c>
      <c r="S197" s="48">
        <f t="shared" si="29"/>
        <v>548.82602767999992</v>
      </c>
      <c r="T197" s="2" t="s">
        <v>222</v>
      </c>
      <c r="U197" s="48" t="s">
        <v>97</v>
      </c>
      <c r="V197" s="44" t="s">
        <v>97</v>
      </c>
      <c r="W197" s="44" t="s">
        <v>98</v>
      </c>
      <c r="X197" s="44" t="s">
        <v>97</v>
      </c>
      <c r="Y197" s="2" t="s">
        <v>201</v>
      </c>
      <c r="Z197" s="2"/>
      <c r="AA197" s="2"/>
      <c r="AB197" s="2"/>
      <c r="AC197" s="2"/>
      <c r="AD197" s="2"/>
      <c r="AE197" s="2"/>
      <c r="AF197" s="47">
        <v>45497</v>
      </c>
      <c r="AG197" s="2"/>
      <c r="AH197" s="2"/>
      <c r="AI197" s="2"/>
      <c r="AJ197" s="2"/>
      <c r="AK197" s="2">
        <f>1.0953*3.16^2+204.93*3.16-109.69</f>
        <v>548.82602767999992</v>
      </c>
      <c r="AL197" s="2" t="str">
        <f t="shared" si="27"/>
        <v>FALSE</v>
      </c>
      <c r="AM197" s="2" t="str">
        <f t="shared" si="27"/>
        <v>FALSE</v>
      </c>
      <c r="AN197" s="2" t="str">
        <f t="shared" si="27"/>
        <v>FALSE</v>
      </c>
      <c r="AO197" s="2" t="str">
        <f t="shared" si="28"/>
        <v>FALSE</v>
      </c>
      <c r="AP197" s="2" t="str">
        <f t="shared" si="28"/>
        <v>y=1.0953*3.16^2+204.93*3.16-109.69</v>
      </c>
      <c r="AQ197" s="2" t="b">
        <f>IF(AND(I197="TP",S197&lt;=150),VLOOKUP(AF197,[1]TPCalibEq150!$AZ$2:$BB$74,3,),IF(AND(I197="TDP",S197&lt;=150),VLOOKUP(AF197,[1]TPCalibEq150!$AZ$2:$BB$74,3,)))</f>
        <v>0</v>
      </c>
      <c r="AR197" s="2" t="b">
        <f>IF(AND(I197="TP",S197&lt;=300),VLOOKUP(AF197,[1]TPCalibEq300!$AZ$2:$BB$76,3,),IF(AND(I197="TDP",S197&lt;=300),VLOOKUP(AF197,[1]TPCalibEq300!$AZ$2:$BB$76,3,)))</f>
        <v>0</v>
      </c>
      <c r="AS197" s="2" t="b">
        <f>IF(AND(I197="TP",S197&lt;=500),VLOOKUP(AF197,[1]TPCalibEq500!$AZ$2:$BB$88,3,),IF(AND(I197="TDP",S197&lt;=500),VLOOKUP(AF197,[1]TPCalibEq500!$AZ$2:$BB$88,3,)))</f>
        <v>0</v>
      </c>
      <c r="AT197" s="2" t="b">
        <f>IF(AND(I197="TN",S197&lt;=2800),VLOOKUP(AF197,[1]TNCalibEq2500!$AZ$2:$BB$80,3,),IF(AND(I197="TDN",S197&lt;=2800),VLOOKUP(AF197,[1]TNCalibEq2500!$AZ$2:$BB$80,3,)))</f>
        <v>0</v>
      </c>
      <c r="AU197" s="2" t="str">
        <f>IF(I197="TP",VLOOKUP(AF197,[1]TPCalibEqFull!$AZ$2:$BB$164,3),IF(I197="TDP",VLOOKUP(AF197,[1]TPCalibEqFull!$AZ$2:$BB$164,3),IF(I197="TDN",VLOOKUP(AF197,[1]TNCalibEqFull!$AZ$2:$BB$116,3),IF(I197="TN",VLOOKUP(AF197,[1]TNCalibEqFull!$AZ$2:$BB$118,3),FALSE))))</f>
        <v>y=1.0953x2+204.93x-109.69</v>
      </c>
      <c r="AV197" s="2" t="str">
        <f t="shared" si="24"/>
        <v>0712 12:00:00-C1ANF-0-C-1-SW-UKN</v>
      </c>
      <c r="AW197" s="2"/>
      <c r="AX197" s="2"/>
      <c r="AY197" s="2"/>
    </row>
    <row r="198" spans="1:51" x14ac:dyDescent="0.35">
      <c r="A198" s="45">
        <v>45485</v>
      </c>
      <c r="B198" s="46">
        <v>0.5</v>
      </c>
      <c r="C198" s="2" t="s">
        <v>129</v>
      </c>
      <c r="D198" s="2">
        <v>0</v>
      </c>
      <c r="E198" s="2" t="s">
        <v>108</v>
      </c>
      <c r="F198" s="2">
        <v>2</v>
      </c>
      <c r="G198" s="2" t="s">
        <v>125</v>
      </c>
      <c r="H198" s="2" t="s">
        <v>126</v>
      </c>
      <c r="I198" s="2" t="s">
        <v>198</v>
      </c>
      <c r="J198" s="2">
        <v>36</v>
      </c>
      <c r="K198" s="47">
        <v>45497</v>
      </c>
      <c r="L198" s="46">
        <v>0.77916666666666667</v>
      </c>
      <c r="M198" s="2">
        <v>1</v>
      </c>
      <c r="N198" s="2" t="s">
        <v>199</v>
      </c>
      <c r="O198" s="2">
        <v>2.98</v>
      </c>
      <c r="P198" s="2">
        <v>0.3</v>
      </c>
      <c r="Q198" s="2">
        <v>492</v>
      </c>
      <c r="R198" s="2" t="s">
        <v>200</v>
      </c>
      <c r="S198" s="48">
        <f t="shared" si="29"/>
        <v>568.33685920000005</v>
      </c>
      <c r="T198" s="2" t="s">
        <v>222</v>
      </c>
      <c r="U198" s="48" t="s">
        <v>97</v>
      </c>
      <c r="V198" s="44" t="s">
        <v>97</v>
      </c>
      <c r="W198" s="44" t="s">
        <v>98</v>
      </c>
      <c r="X198" s="44" t="s">
        <v>97</v>
      </c>
      <c r="Y198" s="2" t="s">
        <v>201</v>
      </c>
      <c r="Z198" s="2"/>
      <c r="AA198" s="2"/>
      <c r="AB198" s="2"/>
      <c r="AC198" s="2"/>
      <c r="AD198" s="2"/>
      <c r="AE198" s="2"/>
      <c r="AF198" s="47">
        <v>45497</v>
      </c>
      <c r="AG198" s="2"/>
      <c r="AH198" s="2"/>
      <c r="AI198" s="2">
        <f>35.548*2.98^2+104.83*2.98-59.737</f>
        <v>568.33685920000005</v>
      </c>
      <c r="AJ198" s="2"/>
      <c r="AK198" s="2">
        <f>1.0953*2.98^2+204.93*2.98-109.69</f>
        <v>510.72810212000007</v>
      </c>
      <c r="AL198" s="2" t="str">
        <f t="shared" si="27"/>
        <v>FALSE</v>
      </c>
      <c r="AM198" s="2" t="str">
        <f t="shared" si="27"/>
        <v>FALSE</v>
      </c>
      <c r="AN198" s="2" t="str">
        <f t="shared" si="27"/>
        <v>FALSE</v>
      </c>
      <c r="AO198" s="2" t="str">
        <f t="shared" si="28"/>
        <v>FALSE</v>
      </c>
      <c r="AP198" s="2" t="str">
        <f t="shared" si="28"/>
        <v>y=1.0953*2.98^2+204.93*2.98-109.69</v>
      </c>
      <c r="AQ198" s="2" t="b">
        <f>IF(AND(I198="TP",S198&lt;=150),VLOOKUP(AF198,[1]TPCalibEq150!$AZ$2:$BB$74,3,),IF(AND(I198="TDP",S198&lt;=150),VLOOKUP(AF198,[1]TPCalibEq150!$AZ$2:$BB$74,3,)))</f>
        <v>0</v>
      </c>
      <c r="AR198" s="2" t="b">
        <f>IF(AND(I198="TP",S198&lt;=300),VLOOKUP(AF198,[1]TPCalibEq300!$AZ$2:$BB$76,3,),IF(AND(I198="TDP",S198&lt;=300),VLOOKUP(AF198,[1]TPCalibEq300!$AZ$2:$BB$76,3,)))</f>
        <v>0</v>
      </c>
      <c r="AS198" s="2" t="b">
        <f>IF(AND(I198="TP",S198&lt;=500),VLOOKUP(AF198,[1]TPCalibEq500!$AZ$2:$BB$88,3,),IF(AND(I198="TDP",S198&lt;=500),VLOOKUP(AF198,[1]TPCalibEq500!$AZ$2:$BB$88,3,)))</f>
        <v>0</v>
      </c>
      <c r="AT198" s="2" t="b">
        <f>IF(AND(I198="TN",S198&lt;=2800),VLOOKUP(AF198,[1]TNCalibEq2500!$AZ$2:$BB$80,3,),IF(AND(I198="TDN",S198&lt;=2800),VLOOKUP(AF198,[1]TNCalibEq2500!$AZ$2:$BB$80,3,)))</f>
        <v>0</v>
      </c>
      <c r="AU198" s="2" t="str">
        <f>IF(I198="TP",VLOOKUP(AF198,[1]TPCalibEqFull!$AZ$2:$BB$164,3),IF(I198="TDP",VLOOKUP(AF198,[1]TPCalibEqFull!$AZ$2:$BB$164,3),IF(I198="TDN",VLOOKUP(AF198,[1]TNCalibEqFull!$AZ$2:$BB$116,3),IF(I198="TN",VLOOKUP(AF198,[1]TNCalibEqFull!$AZ$2:$BB$118,3),FALSE))))</f>
        <v>y=1.0953x2+204.93x-109.69</v>
      </c>
      <c r="AV198" s="2" t="str">
        <f t="shared" si="24"/>
        <v>0712 12:00:00-C1BNF-0-C-2-SW-UKN</v>
      </c>
      <c r="AW198" s="2"/>
      <c r="AX198" s="2"/>
      <c r="AY198" s="2"/>
    </row>
    <row r="199" spans="1:51" x14ac:dyDescent="0.35">
      <c r="A199" s="45">
        <v>45485</v>
      </c>
      <c r="B199" s="46">
        <v>0.5</v>
      </c>
      <c r="C199" s="2" t="s">
        <v>130</v>
      </c>
      <c r="D199" s="2">
        <v>0</v>
      </c>
      <c r="E199" s="2" t="s">
        <v>108</v>
      </c>
      <c r="F199" s="2">
        <v>1</v>
      </c>
      <c r="G199" s="2" t="s">
        <v>125</v>
      </c>
      <c r="H199" s="2" t="s">
        <v>126</v>
      </c>
      <c r="I199" s="2" t="s">
        <v>198</v>
      </c>
      <c r="J199" s="2">
        <v>37</v>
      </c>
      <c r="K199" s="47">
        <v>45497</v>
      </c>
      <c r="L199" s="46">
        <v>0.77975694444444443</v>
      </c>
      <c r="M199" s="2">
        <v>1</v>
      </c>
      <c r="N199" s="2" t="s">
        <v>199</v>
      </c>
      <c r="O199" s="2">
        <v>3.13</v>
      </c>
      <c r="P199" s="2">
        <v>0.315</v>
      </c>
      <c r="Q199" s="2">
        <v>522</v>
      </c>
      <c r="R199" s="2" t="s">
        <v>200</v>
      </c>
      <c r="S199" s="48">
        <f t="shared" si="29"/>
        <v>542.4714445699999</v>
      </c>
      <c r="T199" s="2" t="s">
        <v>222</v>
      </c>
      <c r="U199" s="48" t="s">
        <v>97</v>
      </c>
      <c r="V199" s="44" t="s">
        <v>97</v>
      </c>
      <c r="W199" s="44" t="s">
        <v>98</v>
      </c>
      <c r="X199" s="44" t="s">
        <v>97</v>
      </c>
      <c r="Y199" s="2" t="s">
        <v>201</v>
      </c>
      <c r="Z199" s="2"/>
      <c r="AA199" s="2"/>
      <c r="AB199" s="2"/>
      <c r="AC199" s="2"/>
      <c r="AD199" s="2"/>
      <c r="AE199" s="2"/>
      <c r="AF199" s="47">
        <v>45497</v>
      </c>
      <c r="AG199" s="2"/>
      <c r="AH199" s="2"/>
      <c r="AI199" s="2"/>
      <c r="AJ199" s="2"/>
      <c r="AK199" s="2">
        <f>1.0953*3.13^2+204.93*3.13-109.69</f>
        <v>542.4714445699999</v>
      </c>
      <c r="AL199" s="2" t="str">
        <f t="shared" si="27"/>
        <v>FALSE</v>
      </c>
      <c r="AM199" s="2" t="str">
        <f t="shared" si="27"/>
        <v>FALSE</v>
      </c>
      <c r="AN199" s="2" t="str">
        <f t="shared" si="27"/>
        <v>FALSE</v>
      </c>
      <c r="AO199" s="2" t="str">
        <f t="shared" si="28"/>
        <v>FALSE</v>
      </c>
      <c r="AP199" s="2" t="str">
        <f t="shared" si="28"/>
        <v>y=1.0953*3.13^2+204.93*3.13-109.69</v>
      </c>
      <c r="AQ199" s="2" t="b">
        <f>IF(AND(I199="TP",S199&lt;=150),VLOOKUP(AF199,[1]TPCalibEq150!$AZ$2:$BB$74,3,),IF(AND(I199="TDP",S199&lt;=150),VLOOKUP(AF199,[1]TPCalibEq150!$AZ$2:$BB$74,3,)))</f>
        <v>0</v>
      </c>
      <c r="AR199" s="2" t="b">
        <f>IF(AND(I199="TP",S199&lt;=300),VLOOKUP(AF199,[1]TPCalibEq300!$AZ$2:$BB$76,3,),IF(AND(I199="TDP",S199&lt;=300),VLOOKUP(AF199,[1]TPCalibEq300!$AZ$2:$BB$76,3,)))</f>
        <v>0</v>
      </c>
      <c r="AS199" s="2" t="b">
        <f>IF(AND(I199="TP",S199&lt;=500),VLOOKUP(AF199,[1]TPCalibEq500!$AZ$2:$BB$88,3,),IF(AND(I199="TDP",S199&lt;=500),VLOOKUP(AF199,[1]TPCalibEq500!$AZ$2:$BB$88,3,)))</f>
        <v>0</v>
      </c>
      <c r="AT199" s="2" t="b">
        <f>IF(AND(I199="TN",S199&lt;=2800),VLOOKUP(AF199,[1]TNCalibEq2500!$AZ$2:$BB$80,3,),IF(AND(I199="TDN",S199&lt;=2800),VLOOKUP(AF199,[1]TNCalibEq2500!$AZ$2:$BB$80,3,)))</f>
        <v>0</v>
      </c>
      <c r="AU199" s="2" t="str">
        <f>IF(I199="TP",VLOOKUP(AF199,[1]TPCalibEqFull!$AZ$2:$BB$164,3),IF(I199="TDP",VLOOKUP(AF199,[1]TPCalibEqFull!$AZ$2:$BB$164,3),IF(I199="TDN",VLOOKUP(AF199,[1]TNCalibEqFull!$AZ$2:$BB$116,3),IF(I199="TN",VLOOKUP(AF199,[1]TNCalibEqFull!$AZ$2:$BB$118,3),FALSE))))</f>
        <v>y=1.0953x2+204.93x-109.69</v>
      </c>
      <c r="AV199" s="2" t="str">
        <f t="shared" si="24"/>
        <v>0712 12:00:00-T2ANF-0-C-1-SW-UKN</v>
      </c>
      <c r="AW199" s="2"/>
      <c r="AX199" s="2"/>
      <c r="AY199" s="2"/>
    </row>
    <row r="200" spans="1:51" x14ac:dyDescent="0.35">
      <c r="A200" s="45">
        <v>45485</v>
      </c>
      <c r="B200" s="46">
        <v>0.5</v>
      </c>
      <c r="C200" s="2" t="s">
        <v>131</v>
      </c>
      <c r="D200" s="2">
        <v>0</v>
      </c>
      <c r="E200" s="2" t="s">
        <v>108</v>
      </c>
      <c r="F200" s="2">
        <v>2</v>
      </c>
      <c r="G200" s="2" t="s">
        <v>125</v>
      </c>
      <c r="H200" s="2" t="s">
        <v>126</v>
      </c>
      <c r="I200" s="2" t="s">
        <v>198</v>
      </c>
      <c r="J200" s="2">
        <v>38</v>
      </c>
      <c r="K200" s="47">
        <v>45497</v>
      </c>
      <c r="L200" s="46">
        <v>0.78034722222222219</v>
      </c>
      <c r="M200" s="2">
        <v>1</v>
      </c>
      <c r="N200" s="2" t="s">
        <v>199</v>
      </c>
      <c r="O200" s="2">
        <v>3.19</v>
      </c>
      <c r="P200" s="2">
        <v>0.32200000000000001</v>
      </c>
      <c r="Q200" s="2">
        <v>534</v>
      </c>
      <c r="R200" s="2" t="s">
        <v>200</v>
      </c>
      <c r="S200" s="48">
        <f t="shared" si="29"/>
        <v>555.18258233000006</v>
      </c>
      <c r="T200" s="2" t="s">
        <v>222</v>
      </c>
      <c r="U200" s="48" t="s">
        <v>97</v>
      </c>
      <c r="V200" s="44" t="s">
        <v>97</v>
      </c>
      <c r="W200" s="44" t="s">
        <v>98</v>
      </c>
      <c r="X200" s="44" t="s">
        <v>97</v>
      </c>
      <c r="Y200" s="2" t="s">
        <v>201</v>
      </c>
      <c r="Z200" s="2"/>
      <c r="AA200" s="2"/>
      <c r="AB200" s="2"/>
      <c r="AC200" s="2"/>
      <c r="AD200" s="2"/>
      <c r="AE200" s="2"/>
      <c r="AF200" s="47">
        <v>45497</v>
      </c>
      <c r="AG200" s="2"/>
      <c r="AH200" s="2"/>
      <c r="AI200" s="2"/>
      <c r="AJ200" s="2"/>
      <c r="AK200" s="2">
        <f>1.0953*3.19^2+204.93*3.19-109.69</f>
        <v>555.18258233000006</v>
      </c>
      <c r="AL200" s="2" t="str">
        <f t="shared" si="27"/>
        <v>FALSE</v>
      </c>
      <c r="AM200" s="2" t="str">
        <f t="shared" si="27"/>
        <v>FALSE</v>
      </c>
      <c r="AN200" s="2" t="str">
        <f t="shared" si="27"/>
        <v>FALSE</v>
      </c>
      <c r="AO200" s="2" t="str">
        <f t="shared" si="28"/>
        <v>FALSE</v>
      </c>
      <c r="AP200" s="2" t="str">
        <f t="shared" si="28"/>
        <v>y=1.0953*3.19^2+204.93*3.19-109.69</v>
      </c>
      <c r="AQ200" s="2" t="b">
        <f>IF(AND(I200="TP",S200&lt;=150),VLOOKUP(AF200,[1]TPCalibEq150!$AZ$2:$BB$74,3,),IF(AND(I200="TDP",S200&lt;=150),VLOOKUP(AF200,[1]TPCalibEq150!$AZ$2:$BB$74,3,)))</f>
        <v>0</v>
      </c>
      <c r="AR200" s="2" t="b">
        <f>IF(AND(I200="TP",S200&lt;=300),VLOOKUP(AF200,[1]TPCalibEq300!$AZ$2:$BB$76,3,),IF(AND(I200="TDP",S200&lt;=300),VLOOKUP(AF200,[1]TPCalibEq300!$AZ$2:$BB$76,3,)))</f>
        <v>0</v>
      </c>
      <c r="AS200" s="2" t="b">
        <f>IF(AND(I200="TP",S200&lt;=500),VLOOKUP(AF200,[1]TPCalibEq500!$AZ$2:$BB$88,3,),IF(AND(I200="TDP",S200&lt;=500),VLOOKUP(AF200,[1]TPCalibEq500!$AZ$2:$BB$88,3,)))</f>
        <v>0</v>
      </c>
      <c r="AT200" s="2" t="b">
        <f>IF(AND(I200="TN",S200&lt;=2800),VLOOKUP(AF200,[1]TNCalibEq2500!$AZ$2:$BB$80,3,),IF(AND(I200="TDN",S200&lt;=2800),VLOOKUP(AF200,[1]TNCalibEq2500!$AZ$2:$BB$80,3,)))</f>
        <v>0</v>
      </c>
      <c r="AU200" s="2" t="str">
        <f>IF(I200="TP",VLOOKUP(AF200,[1]TPCalibEqFull!$AZ$2:$BB$164,3),IF(I200="TDP",VLOOKUP(AF200,[1]TPCalibEqFull!$AZ$2:$BB$164,3),IF(I200="TDN",VLOOKUP(AF200,[1]TNCalibEqFull!$AZ$2:$BB$116,3),IF(I200="TN",VLOOKUP(AF200,[1]TNCalibEqFull!$AZ$2:$BB$118,3),FALSE))))</f>
        <v>y=1.0953x2+204.93x-109.69</v>
      </c>
      <c r="AV200" s="2" t="str">
        <f t="shared" si="24"/>
        <v>0712 12:00:00-T2BNF-0-C-2-SW-UKN</v>
      </c>
      <c r="AW200" s="2"/>
      <c r="AX200" s="2"/>
      <c r="AY200" s="2"/>
    </row>
    <row r="201" spans="1:51" x14ac:dyDescent="0.35">
      <c r="A201" s="45">
        <v>45485</v>
      </c>
      <c r="B201" s="46">
        <v>0.5</v>
      </c>
      <c r="C201" s="2" t="s">
        <v>132</v>
      </c>
      <c r="D201" s="2">
        <v>0</v>
      </c>
      <c r="E201" s="2" t="s">
        <v>108</v>
      </c>
      <c r="F201" s="2">
        <v>1</v>
      </c>
      <c r="G201" s="2" t="s">
        <v>125</v>
      </c>
      <c r="H201" s="2" t="s">
        <v>126</v>
      </c>
      <c r="I201" s="2" t="s">
        <v>198</v>
      </c>
      <c r="J201" s="2">
        <v>39</v>
      </c>
      <c r="K201" s="47">
        <v>45497</v>
      </c>
      <c r="L201" s="46">
        <v>0.78092592592592591</v>
      </c>
      <c r="M201" s="2">
        <v>1</v>
      </c>
      <c r="N201" s="2" t="s">
        <v>199</v>
      </c>
      <c r="O201" s="2">
        <v>1.8</v>
      </c>
      <c r="P201" s="2">
        <v>0.17799999999999999</v>
      </c>
      <c r="Q201" s="2">
        <v>261</v>
      </c>
      <c r="R201" s="2" t="s">
        <v>200</v>
      </c>
      <c r="S201" s="48">
        <f t="shared" si="29"/>
        <v>262.73277200000001</v>
      </c>
      <c r="T201" s="2" t="s">
        <v>222</v>
      </c>
      <c r="U201" s="48" t="s">
        <v>97</v>
      </c>
      <c r="V201" s="44" t="s">
        <v>97</v>
      </c>
      <c r="W201" s="44" t="s">
        <v>98</v>
      </c>
      <c r="X201" s="44" t="s">
        <v>97</v>
      </c>
      <c r="Y201" s="2" t="s">
        <v>201</v>
      </c>
      <c r="Z201" s="2"/>
      <c r="AA201" s="2"/>
      <c r="AB201" s="2"/>
      <c r="AC201" s="2"/>
      <c r="AD201" s="2"/>
      <c r="AE201" s="2"/>
      <c r="AF201" s="47">
        <v>45497</v>
      </c>
      <c r="AG201" s="2"/>
      <c r="AH201" s="2">
        <f>51.002*1.8^2+72.467*1.8-44.141</f>
        <v>251.54608000000005</v>
      </c>
      <c r="AI201" s="2">
        <f>35.548*1.8^2+104.83*1.8-59.737</f>
        <v>244.13252000000003</v>
      </c>
      <c r="AJ201" s="2"/>
      <c r="AK201" s="2">
        <f>1.0953*1.8^2+204.93*1.8-109.69</f>
        <v>262.73277200000001</v>
      </c>
      <c r="AL201" s="2" t="str">
        <f t="shared" si="27"/>
        <v>FALSE</v>
      </c>
      <c r="AM201" s="2" t="str">
        <f t="shared" si="27"/>
        <v>y=51.002*1.8^2+72.467*1.8-44.141</v>
      </c>
      <c r="AN201" s="2" t="str">
        <f t="shared" si="27"/>
        <v>y=35.548*1.8^2+104.83*1.8-59.737</v>
      </c>
      <c r="AO201" s="2" t="str">
        <f t="shared" si="28"/>
        <v>FALSE</v>
      </c>
      <c r="AP201" s="2" t="str">
        <f t="shared" si="28"/>
        <v>y=1.0953*1.8^2+204.93*1.8-109.69</v>
      </c>
      <c r="AQ201" s="2" t="b">
        <f>IF(AND(I201="TP",S201&lt;=150),VLOOKUP(AF201,[1]TPCalibEq150!$AZ$2:$BB$74,3,),IF(AND(I201="TDP",S201&lt;=150),VLOOKUP(AF201,[1]TPCalibEq150!$AZ$2:$BB$74,3,)))</f>
        <v>0</v>
      </c>
      <c r="AR201" s="2" t="str">
        <f>IF(AND(I201="TP",S201&lt;=300),VLOOKUP(AF201,[1]TPCalibEq300!$AZ$2:$BB$76,3,),IF(AND(I201="TDP",S201&lt;=300),VLOOKUP(AF201,[1]TPCalibEq300!$AZ$2:$BB$76,3,)))</f>
        <v>y=51.002x2+72.467x-44.141</v>
      </c>
      <c r="AS201" s="2" t="str">
        <f>IF(AND(I201="TP",S201&lt;=500),VLOOKUP(AF201,[1]TPCalibEq500!$AZ$2:$BB$88,3,),IF(AND(I201="TDP",S201&lt;=500),VLOOKUP(AF201,[1]TPCalibEq500!$AZ$2:$BB$88,3,)))</f>
        <v>y=35.548x2+104.83x-59.737</v>
      </c>
      <c r="AT201" s="2" t="b">
        <f>IF(AND(I201="TN",S201&lt;=2800),VLOOKUP(AF201,[1]TNCalibEq2500!$AZ$2:$BB$80,3,),IF(AND(I201="TDN",S201&lt;=2800),VLOOKUP(AF201,[1]TNCalibEq2500!$AZ$2:$BB$80,3,)))</f>
        <v>0</v>
      </c>
      <c r="AU201" s="2" t="str">
        <f>IF(I201="TP",VLOOKUP(AF201,[1]TPCalibEqFull!$AZ$2:$BB$164,3),IF(I201="TDP",VLOOKUP(AF201,[1]TPCalibEqFull!$AZ$2:$BB$164,3),IF(I201="TDN",VLOOKUP(AF201,[1]TNCalibEqFull!$AZ$2:$BB$116,3),IF(I201="TN",VLOOKUP(AF201,[1]TNCalibEqFull!$AZ$2:$BB$118,3),FALSE))))</f>
        <v>y=1.0953x2+204.93x-109.69</v>
      </c>
      <c r="AV201" s="2" t="str">
        <f t="shared" si="24"/>
        <v>0712 12:00:00-C2ANF-0-C-1-SW-UKN</v>
      </c>
      <c r="AW201" s="2"/>
      <c r="AX201" s="2"/>
      <c r="AY201" s="2"/>
    </row>
    <row r="202" spans="1:51" x14ac:dyDescent="0.35">
      <c r="A202" s="45">
        <v>45485</v>
      </c>
      <c r="B202" s="46">
        <v>0.5</v>
      </c>
      <c r="C202" s="2" t="s">
        <v>133</v>
      </c>
      <c r="D202" s="2">
        <v>0</v>
      </c>
      <c r="E202" s="2" t="s">
        <v>108</v>
      </c>
      <c r="F202" s="2">
        <v>2</v>
      </c>
      <c r="G202" s="2" t="s">
        <v>125</v>
      </c>
      <c r="H202" s="2" t="s">
        <v>126</v>
      </c>
      <c r="I202" s="2" t="s">
        <v>198</v>
      </c>
      <c r="J202" s="2">
        <v>40</v>
      </c>
      <c r="K202" s="47">
        <v>45497</v>
      </c>
      <c r="L202" s="46">
        <v>0.78150462962962963</v>
      </c>
      <c r="M202" s="2">
        <v>1</v>
      </c>
      <c r="N202" s="2" t="s">
        <v>199</v>
      </c>
      <c r="O202" s="2">
        <v>1.7</v>
      </c>
      <c r="P202" s="2">
        <v>0.16800000000000001</v>
      </c>
      <c r="Q202" s="2">
        <v>240</v>
      </c>
      <c r="R202" s="2" t="s">
        <v>200</v>
      </c>
      <c r="S202" s="48">
        <f t="shared" si="29"/>
        <v>241.85641700000002</v>
      </c>
      <c r="T202" s="2" t="s">
        <v>222</v>
      </c>
      <c r="U202" s="48" t="s">
        <v>97</v>
      </c>
      <c r="V202" s="44" t="s">
        <v>97</v>
      </c>
      <c r="W202" s="44" t="s">
        <v>98</v>
      </c>
      <c r="X202" s="44" t="s">
        <v>97</v>
      </c>
      <c r="Y202" s="2" t="s">
        <v>201</v>
      </c>
      <c r="Z202" s="2"/>
      <c r="AA202" s="2"/>
      <c r="AB202" s="2"/>
      <c r="AC202" s="2"/>
      <c r="AD202" s="2"/>
      <c r="AE202" s="2"/>
      <c r="AF202" s="47">
        <v>45497</v>
      </c>
      <c r="AG202" s="2"/>
      <c r="AH202" s="2">
        <f>51.002*1.7^2+72.467*1.7-44.141</f>
        <v>226.44868</v>
      </c>
      <c r="AI202" s="2">
        <f>35.548*1.7^2+104.83*1.7-59.737</f>
        <v>221.20771999999997</v>
      </c>
      <c r="AJ202" s="2"/>
      <c r="AK202" s="2">
        <f>1.0953*1.7^2+204.93*1.7-109.69</f>
        <v>241.85641700000002</v>
      </c>
      <c r="AL202" s="2" t="str">
        <f t="shared" si="27"/>
        <v>FALSE</v>
      </c>
      <c r="AM202" s="2" t="str">
        <f t="shared" si="27"/>
        <v>y=51.002*1.7^2+72.467*1.7-44.141</v>
      </c>
      <c r="AN202" s="2" t="str">
        <f t="shared" si="27"/>
        <v>y=35.548*1.7^2+104.83*1.7-59.737</v>
      </c>
      <c r="AO202" s="2" t="str">
        <f t="shared" si="28"/>
        <v>FALSE</v>
      </c>
      <c r="AP202" s="2" t="str">
        <f t="shared" si="28"/>
        <v>y=1.0953*1.7^2+204.93*1.7-109.69</v>
      </c>
      <c r="AQ202" s="2" t="b">
        <f>IF(AND(I202="TP",S202&lt;=150),VLOOKUP(AF202,[1]TPCalibEq150!$AZ$2:$BB$74,3,),IF(AND(I202="TDP",S202&lt;=150),VLOOKUP(AF202,[1]TPCalibEq150!$AZ$2:$BB$74,3,)))</f>
        <v>0</v>
      </c>
      <c r="AR202" s="2" t="str">
        <f>IF(AND(I202="TP",S202&lt;=300),VLOOKUP(AF202,[1]TPCalibEq300!$AZ$2:$BB$76,3,),IF(AND(I202="TDP",S202&lt;=300),VLOOKUP(AF202,[1]TPCalibEq300!$AZ$2:$BB$76,3,)))</f>
        <v>y=51.002x2+72.467x-44.141</v>
      </c>
      <c r="AS202" s="2" t="str">
        <f>IF(AND(I202="TP",S202&lt;=500),VLOOKUP(AF202,[1]TPCalibEq500!$AZ$2:$BB$88,3,),IF(AND(I202="TDP",S202&lt;=500),VLOOKUP(AF202,[1]TPCalibEq500!$AZ$2:$BB$88,3,)))</f>
        <v>y=35.548x2+104.83x-59.737</v>
      </c>
      <c r="AT202" s="2" t="b">
        <f>IF(AND(I202="TN",S202&lt;=2800),VLOOKUP(AF202,[1]TNCalibEq2500!$AZ$2:$BB$80,3,),IF(AND(I202="TDN",S202&lt;=2800),VLOOKUP(AF202,[1]TNCalibEq2500!$AZ$2:$BB$80,3,)))</f>
        <v>0</v>
      </c>
      <c r="AU202" s="2" t="str">
        <f>IF(I202="TP",VLOOKUP(AF202,[1]TPCalibEqFull!$AZ$2:$BB$164,3),IF(I202="TDP",VLOOKUP(AF202,[1]TPCalibEqFull!$AZ$2:$BB$164,3),IF(I202="TDN",VLOOKUP(AF202,[1]TNCalibEqFull!$AZ$2:$BB$116,3),IF(I202="TN",VLOOKUP(AF202,[1]TNCalibEqFull!$AZ$2:$BB$118,3),FALSE))))</f>
        <v>y=1.0953x2+204.93x-109.69</v>
      </c>
      <c r="AV202" s="2" t="str">
        <f t="shared" si="24"/>
        <v>0712 12:00:00-C2BNF-0-C-2-SW-UKN</v>
      </c>
      <c r="AW202" s="2"/>
      <c r="AX202" s="2"/>
      <c r="AY202" s="2"/>
    </row>
    <row r="203" spans="1:51" x14ac:dyDescent="0.35">
      <c r="A203" s="45">
        <v>45485</v>
      </c>
      <c r="B203" s="46">
        <v>0.5</v>
      </c>
      <c r="C203" s="2" t="s">
        <v>133</v>
      </c>
      <c r="D203" s="2">
        <v>0</v>
      </c>
      <c r="E203" s="2" t="s">
        <v>108</v>
      </c>
      <c r="F203" s="2">
        <v>2</v>
      </c>
      <c r="G203" s="2" t="s">
        <v>125</v>
      </c>
      <c r="H203" s="2" t="s">
        <v>134</v>
      </c>
      <c r="I203" s="2" t="s">
        <v>198</v>
      </c>
      <c r="J203" s="2">
        <v>40</v>
      </c>
      <c r="K203" s="47">
        <v>45497</v>
      </c>
      <c r="L203" s="46">
        <v>0.78208333333333335</v>
      </c>
      <c r="M203" s="2">
        <v>1</v>
      </c>
      <c r="N203" s="2" t="s">
        <v>199</v>
      </c>
      <c r="O203" s="2">
        <v>1.69</v>
      </c>
      <c r="P203" s="2">
        <v>0.16700000000000001</v>
      </c>
      <c r="Q203" s="2">
        <v>240</v>
      </c>
      <c r="R203" s="2" t="s">
        <v>200</v>
      </c>
      <c r="S203" s="48">
        <f t="shared" si="29"/>
        <v>240</v>
      </c>
      <c r="T203" s="2" t="s">
        <v>222</v>
      </c>
      <c r="U203" s="48">
        <v>0.77052704270617678</v>
      </c>
      <c r="V203" s="44" t="s">
        <v>97</v>
      </c>
      <c r="W203" s="44" t="s">
        <v>98</v>
      </c>
      <c r="X203" s="44" t="s">
        <v>135</v>
      </c>
      <c r="Y203" s="2" t="s">
        <v>201</v>
      </c>
      <c r="Z203" s="2"/>
      <c r="AA203" s="2"/>
      <c r="AB203" s="2"/>
      <c r="AC203" s="2"/>
      <c r="AD203" s="2"/>
      <c r="AE203" s="2"/>
      <c r="AF203" s="47">
        <v>45497</v>
      </c>
      <c r="AG203" s="2"/>
      <c r="AH203" s="2">
        <f>51.002*1.69^2+72.467*1.69-44.141</f>
        <v>223.99504219999997</v>
      </c>
      <c r="AI203" s="2">
        <f>35.548*1.69^2+104.83*1.69-59.737</f>
        <v>218.95434279999998</v>
      </c>
      <c r="AJ203" s="2"/>
      <c r="AK203" s="2">
        <f>1.0953*1.69^2+204.93*1.69-109.69</f>
        <v>239.76998632999999</v>
      </c>
      <c r="AL203" s="2" t="str">
        <f t="shared" si="27"/>
        <v>FALSE</v>
      </c>
      <c r="AM203" s="2" t="str">
        <f t="shared" si="27"/>
        <v>y=51.002*1.69^2+72.467*1.69-44.141</v>
      </c>
      <c r="AN203" s="2" t="str">
        <f t="shared" si="27"/>
        <v>y=35.548*1.69^2+104.83*1.69-59.737</v>
      </c>
      <c r="AO203" s="2" t="str">
        <f t="shared" si="28"/>
        <v>FALSE</v>
      </c>
      <c r="AP203" s="2" t="str">
        <f t="shared" si="28"/>
        <v>y=1.0953*1.69^2+204.93*1.69-109.69</v>
      </c>
      <c r="AQ203" s="2" t="b">
        <f>IF(AND(I203="TP",S203&lt;=150),VLOOKUP(AF203,[1]TPCalibEq150!$AZ$2:$BB$74,3,),IF(AND(I203="TDP",S203&lt;=150),VLOOKUP(AF203,[1]TPCalibEq150!$AZ$2:$BB$74,3,)))</f>
        <v>0</v>
      </c>
      <c r="AR203" s="2" t="str">
        <f>IF(AND(I203="TP",S203&lt;=300),VLOOKUP(AF203,[1]TPCalibEq300!$AZ$2:$BB$76,3,),IF(AND(I203="TDP",S203&lt;=300),VLOOKUP(AF203,[1]TPCalibEq300!$AZ$2:$BB$76,3,)))</f>
        <v>y=51.002x2+72.467x-44.141</v>
      </c>
      <c r="AS203" s="2" t="str">
        <f>IF(AND(I203="TP",S203&lt;=500),VLOOKUP(AF203,[1]TPCalibEq500!$AZ$2:$BB$88,3,),IF(AND(I203="TDP",S203&lt;=500),VLOOKUP(AF203,[1]TPCalibEq500!$AZ$2:$BB$88,3,)))</f>
        <v>y=35.548x2+104.83x-59.737</v>
      </c>
      <c r="AT203" s="2" t="b">
        <f>IF(AND(I203="TN",S203&lt;=2800),VLOOKUP(AF203,[1]TNCalibEq2500!$AZ$2:$BB$80,3,),IF(AND(I203="TDN",S203&lt;=2800),VLOOKUP(AF203,[1]TNCalibEq2500!$AZ$2:$BB$80,3,)))</f>
        <v>0</v>
      </c>
      <c r="AU203" s="2" t="str">
        <f>IF(I203="TP",VLOOKUP(AF203,[1]TPCalibEqFull!$AZ$2:$BB$164,3),IF(I203="TDP",VLOOKUP(AF203,[1]TPCalibEqFull!$AZ$2:$BB$164,3),IF(I203="TDN",VLOOKUP(AF203,[1]TNCalibEqFull!$AZ$2:$BB$116,3),IF(I203="TN",VLOOKUP(AF203,[1]TNCalibEqFull!$AZ$2:$BB$118,3),FALSE))))</f>
        <v>y=1.0953x2+204.93x-109.69</v>
      </c>
      <c r="AV203" s="2" t="str">
        <f t="shared" si="24"/>
        <v>0712 12:00:00-C2BNF-0-C-2-SW-DUP</v>
      </c>
      <c r="AW203" s="2"/>
      <c r="AX203" s="2"/>
      <c r="AY203" s="2"/>
    </row>
    <row r="204" spans="1:51" x14ac:dyDescent="0.35">
      <c r="A204" s="45">
        <v>45485</v>
      </c>
      <c r="B204" s="46">
        <v>0.5</v>
      </c>
      <c r="C204" s="2" t="s">
        <v>133</v>
      </c>
      <c r="D204" s="2">
        <v>0</v>
      </c>
      <c r="E204" s="2" t="s">
        <v>108</v>
      </c>
      <c r="F204" s="2">
        <v>2</v>
      </c>
      <c r="G204" s="2" t="s">
        <v>125</v>
      </c>
      <c r="H204" s="2" t="s">
        <v>117</v>
      </c>
      <c r="I204" s="2" t="s">
        <v>198</v>
      </c>
      <c r="J204" s="2">
        <v>84</v>
      </c>
      <c r="K204" s="47">
        <v>45497</v>
      </c>
      <c r="L204" s="46">
        <v>0.78267361111111111</v>
      </c>
      <c r="M204" s="2">
        <v>1</v>
      </c>
      <c r="N204" s="2" t="s">
        <v>199</v>
      </c>
      <c r="O204" s="2">
        <v>6.86</v>
      </c>
      <c r="P204" s="2">
        <v>0.69699999999999995</v>
      </c>
      <c r="Q204" s="2">
        <v>1260</v>
      </c>
      <c r="R204" s="2" t="s">
        <v>200</v>
      </c>
      <c r="S204" s="48">
        <f t="shared" si="29"/>
        <v>1347.6741798800001</v>
      </c>
      <c r="T204" s="2" t="s">
        <v>222</v>
      </c>
      <c r="U204" s="48">
        <v>110.76741798800001</v>
      </c>
      <c r="V204" s="44">
        <v>1000</v>
      </c>
      <c r="W204" s="44" t="s">
        <v>98</v>
      </c>
      <c r="X204" s="44" t="s">
        <v>118</v>
      </c>
      <c r="Y204" s="2" t="s">
        <v>201</v>
      </c>
      <c r="Z204" s="2"/>
      <c r="AA204" s="2"/>
      <c r="AB204" s="2"/>
      <c r="AC204" s="2"/>
      <c r="AD204" s="2"/>
      <c r="AE204" s="2"/>
      <c r="AF204" s="47">
        <v>45497</v>
      </c>
      <c r="AG204" s="2"/>
      <c r="AH204" s="2"/>
      <c r="AI204" s="2"/>
      <c r="AJ204" s="2"/>
      <c r="AK204" s="2">
        <f>1.0953*6.86^2+204.93*6.86-109.69</f>
        <v>1347.6741798800001</v>
      </c>
      <c r="AL204" s="2" t="str">
        <f t="shared" ref="AL204:AN220" si="30">IF($O204="", "", IF(AQ204&lt;&gt;"", SUBSTITUTE(SUBSTITUTE(AQ204, "x", "*"&amp;$O204&amp;"^", 1), "x", "*"&amp;$O204, 1), ""))</f>
        <v>FALSE</v>
      </c>
      <c r="AM204" s="2" t="str">
        <f t="shared" si="30"/>
        <v>FALSE</v>
      </c>
      <c r="AN204" s="2" t="str">
        <f t="shared" si="30"/>
        <v>FALSE</v>
      </c>
      <c r="AO204" s="2" t="str">
        <f t="shared" ref="AO204:AP220" si="31">IF($O204="", "FALSE", IF(AT204&lt;&gt;"FALSE", SUBSTITUTE(SUBSTITUTE(AT204, "x", "*"&amp;$O204&amp;"^", 1), "x", "*"&amp;$O204, 1), ""))</f>
        <v>FALSE</v>
      </c>
      <c r="AP204" s="2" t="str">
        <f t="shared" si="31"/>
        <v>y=1.0953*6.86^2+204.93*6.86-109.69</v>
      </c>
      <c r="AQ204" s="2" t="b">
        <f>IF(AND(I204="TP",S204&lt;=150),VLOOKUP(AF204,[1]TPCalibEq150!$AZ$2:$BB$74,3,),IF(AND(I204="TDP",S204&lt;=150),VLOOKUP(AF204,[1]TPCalibEq150!$AZ$2:$BB$74,3,)))</f>
        <v>0</v>
      </c>
      <c r="AR204" s="2" t="b">
        <f>IF(AND(I204="TP",S204&lt;=300),VLOOKUP(AF204,[1]TPCalibEq300!$AZ$2:$BB$76,3,),IF(AND(I204="TDP",S204&lt;=300),VLOOKUP(AF204,[1]TPCalibEq300!$AZ$2:$BB$76,3,)))</f>
        <v>0</v>
      </c>
      <c r="AS204" s="2" t="b">
        <f>IF(AND(I204="TP",S204&lt;=500),VLOOKUP(AF204,[1]TPCalibEq500!$AZ$2:$BB$88,3,),IF(AND(I204="TDP",S204&lt;=500),VLOOKUP(AF204,[1]TPCalibEq500!$AZ$2:$BB$88,3,)))</f>
        <v>0</v>
      </c>
      <c r="AT204" s="2" t="b">
        <f>IF(AND(I204="TN",S204&lt;=2800),VLOOKUP(AF204,[1]TNCalibEq2500!$AZ$2:$BB$80,3,),IF(AND(I204="TDN",S204&lt;=2800),VLOOKUP(AF204,[1]TNCalibEq2500!$AZ$2:$BB$80,3,)))</f>
        <v>0</v>
      </c>
      <c r="AU204" s="2" t="str">
        <f>IF(I204="TP",VLOOKUP(AF204,[1]TPCalibEqFull!$AZ$2:$BB$164,3),IF(I204="TDP",VLOOKUP(AF204,[1]TPCalibEqFull!$AZ$2:$BB$164,3),IF(I204="TDN",VLOOKUP(AF204,[1]TNCalibEqFull!$AZ$2:$BB$116,3),IF(I204="TN",VLOOKUP(AF204,[1]TNCalibEqFull!$AZ$2:$BB$118,3),FALSE))))</f>
        <v>y=1.0953x2+204.93x-109.69</v>
      </c>
      <c r="AV204" s="2" t="str">
        <f t="shared" si="24"/>
        <v>0712 12:00:00-C2BNF-0-C-2-SW-SPK</v>
      </c>
      <c r="AW204" s="2"/>
      <c r="AX204" s="2"/>
      <c r="AY204" s="2"/>
    </row>
    <row r="205" spans="1:51" x14ac:dyDescent="0.35">
      <c r="A205" s="45">
        <v>45497</v>
      </c>
      <c r="B205" s="46">
        <v>0.375</v>
      </c>
      <c r="C205" s="2" t="s">
        <v>88</v>
      </c>
      <c r="D205" s="2" t="s">
        <v>89</v>
      </c>
      <c r="E205" s="2" t="s">
        <v>106</v>
      </c>
      <c r="F205" s="2">
        <v>1</v>
      </c>
      <c r="G205" s="2" t="s">
        <v>91</v>
      </c>
      <c r="H205" s="2" t="s">
        <v>122</v>
      </c>
      <c r="I205" s="2" t="s">
        <v>198</v>
      </c>
      <c r="J205" s="2">
        <v>200</v>
      </c>
      <c r="K205" s="47">
        <v>45497</v>
      </c>
      <c r="L205" s="46">
        <v>0.78326388888888887</v>
      </c>
      <c r="M205" s="2">
        <v>1</v>
      </c>
      <c r="N205" s="2" t="s">
        <v>199</v>
      </c>
      <c r="O205" s="2">
        <v>2.72</v>
      </c>
      <c r="P205" s="2">
        <v>0.27100000000000002</v>
      </c>
      <c r="Q205" s="2">
        <v>441</v>
      </c>
      <c r="R205" s="2" t="s">
        <v>200</v>
      </c>
      <c r="S205" s="48">
        <f t="shared" si="29"/>
        <v>488.39892320000007</v>
      </c>
      <c r="T205" s="2" t="s">
        <v>222</v>
      </c>
      <c r="U205" s="48">
        <v>97.679784640000008</v>
      </c>
      <c r="V205" s="44">
        <v>500</v>
      </c>
      <c r="W205" s="44" t="s">
        <v>98</v>
      </c>
      <c r="X205" s="44" t="s">
        <v>123</v>
      </c>
      <c r="Y205" s="2" t="s">
        <v>201</v>
      </c>
      <c r="Z205" s="2"/>
      <c r="AA205" s="2"/>
      <c r="AB205" s="2"/>
      <c r="AC205" s="2"/>
      <c r="AD205" s="2"/>
      <c r="AE205" s="2"/>
      <c r="AF205" s="47">
        <v>45497</v>
      </c>
      <c r="AG205" s="2"/>
      <c r="AH205" s="2"/>
      <c r="AI205" s="2">
        <f>35.548*2.72^2+104.83*2.72-59.737</f>
        <v>488.39892320000007</v>
      </c>
      <c r="AJ205" s="2"/>
      <c r="AK205" s="2">
        <f>1.0953*2.72^2+204.93*2.72-109.69</f>
        <v>455.82306752000005</v>
      </c>
      <c r="AL205" s="2" t="str">
        <f t="shared" si="30"/>
        <v>FALSE</v>
      </c>
      <c r="AM205" s="2" t="str">
        <f t="shared" si="30"/>
        <v>FALSE</v>
      </c>
      <c r="AN205" s="2" t="str">
        <f t="shared" si="30"/>
        <v>y=35.548*2.72^2+104.83*2.72-59.737</v>
      </c>
      <c r="AO205" s="2" t="str">
        <f t="shared" si="31"/>
        <v>FALSE</v>
      </c>
      <c r="AP205" s="2" t="str">
        <f t="shared" si="31"/>
        <v>y=1.0953*2.72^2+204.93*2.72-109.69</v>
      </c>
      <c r="AQ205" s="2" t="b">
        <f>IF(AND(I205="TP",S205&lt;=150),VLOOKUP(AF205,[1]TPCalibEq150!$AZ$2:$BB$74,3,),IF(AND(I205="TDP",S205&lt;=150),VLOOKUP(AF205,[1]TPCalibEq150!$AZ$2:$BB$74,3,)))</f>
        <v>0</v>
      </c>
      <c r="AR205" s="2" t="b">
        <f>IF(AND(I205="TP",S205&lt;=300),VLOOKUP(AF205,[1]TPCalibEq300!$AZ$2:$BB$76,3,),IF(AND(I205="TDP",S205&lt;=300),VLOOKUP(AF205,[1]TPCalibEq300!$AZ$2:$BB$76,3,)))</f>
        <v>0</v>
      </c>
      <c r="AS205" s="2" t="str">
        <f>IF(AND(I205="TP",S205&lt;=500),VLOOKUP(AF205,[1]TPCalibEq500!$AZ$2:$BB$88,3,),IF(AND(I205="TDP",S205&lt;=500),VLOOKUP(AF205,[1]TPCalibEq500!$AZ$2:$BB$88,3,)))</f>
        <v>y=35.548x2+104.83x-59.737</v>
      </c>
      <c r="AT205" s="2" t="b">
        <f>IF(AND(I205="TN",S205&lt;=2800),VLOOKUP(AF205,[1]TNCalibEq2500!$AZ$2:$BB$80,3,),IF(AND(I205="TDN",S205&lt;=2800),VLOOKUP(AF205,[1]TNCalibEq2500!$AZ$2:$BB$80,3,)))</f>
        <v>0</v>
      </c>
      <c r="AU205" s="2" t="str">
        <f>IF(I205="TP",VLOOKUP(AF205,[1]TPCalibEqFull!$AZ$2:$BB$164,3),IF(I205="TDP",VLOOKUP(AF205,[1]TPCalibEqFull!$AZ$2:$BB$164,3),IF(I205="TDN",VLOOKUP(AF205,[1]TNCalibEqFull!$AZ$2:$BB$116,3),IF(I205="TN",VLOOKUP(AF205,[1]TNCalibEqFull!$AZ$2:$BB$118,3),FALSE))))</f>
        <v>y=1.0953x2+204.93x-109.69</v>
      </c>
      <c r="AV205" s="2" t="str">
        <f t="shared" si="24"/>
        <v>0724 09:00:00-QAC-STD-D-1-DI-CHK</v>
      </c>
      <c r="AW205" s="2"/>
      <c r="AX205" s="2"/>
      <c r="AY205" s="2"/>
    </row>
    <row r="206" spans="1:51" x14ac:dyDescent="0.35">
      <c r="A206" s="45">
        <v>45497</v>
      </c>
      <c r="B206" s="46">
        <v>0.375</v>
      </c>
      <c r="C206" s="2" t="s">
        <v>88</v>
      </c>
      <c r="D206" s="2" t="s">
        <v>89</v>
      </c>
      <c r="E206" s="2" t="s">
        <v>106</v>
      </c>
      <c r="F206" s="2">
        <v>1</v>
      </c>
      <c r="G206" s="2" t="s">
        <v>91</v>
      </c>
      <c r="H206" s="2" t="s">
        <v>122</v>
      </c>
      <c r="I206" s="2" t="s">
        <v>198</v>
      </c>
      <c r="J206" s="2">
        <v>202</v>
      </c>
      <c r="K206" s="47">
        <v>45497</v>
      </c>
      <c r="L206" s="46">
        <v>0.80834490740740739</v>
      </c>
      <c r="M206" s="2">
        <v>1</v>
      </c>
      <c r="N206" s="2" t="s">
        <v>199</v>
      </c>
      <c r="O206" s="2">
        <v>2.76</v>
      </c>
      <c r="P206" s="2">
        <v>0.28399999999999997</v>
      </c>
      <c r="Q206" s="2">
        <v>450</v>
      </c>
      <c r="R206" s="2" t="s">
        <v>200</v>
      </c>
      <c r="S206" s="48">
        <f t="shared" si="29"/>
        <v>500.38424479999986</v>
      </c>
      <c r="T206" s="2" t="s">
        <v>222</v>
      </c>
      <c r="U206" s="48">
        <v>100.07684895999998</v>
      </c>
      <c r="V206" s="44">
        <v>500</v>
      </c>
      <c r="W206" s="44" t="s">
        <v>98</v>
      </c>
      <c r="X206" s="44" t="s">
        <v>123</v>
      </c>
      <c r="Y206" s="2" t="s">
        <v>201</v>
      </c>
      <c r="Z206" s="2"/>
      <c r="AA206" s="2"/>
      <c r="AB206" s="2"/>
      <c r="AC206" s="2"/>
      <c r="AD206" s="2"/>
      <c r="AE206" s="2"/>
      <c r="AF206" s="47">
        <v>45497</v>
      </c>
      <c r="AG206" s="2"/>
      <c r="AH206" s="2"/>
      <c r="AI206" s="2">
        <f>35.548*2.76^2+104.83*2.76-59.737</f>
        <v>500.38424479999986</v>
      </c>
      <c r="AJ206" s="2"/>
      <c r="AK206" s="2">
        <f>1.0953*2.76^2+204.93*2.76-109.69</f>
        <v>464.26035728000005</v>
      </c>
      <c r="AL206" s="2" t="str">
        <f t="shared" si="30"/>
        <v>FALSE</v>
      </c>
      <c r="AM206" s="2" t="str">
        <f t="shared" si="30"/>
        <v>FALSE</v>
      </c>
      <c r="AN206" s="2" t="str">
        <f t="shared" si="30"/>
        <v>FALSE</v>
      </c>
      <c r="AO206" s="2" t="str">
        <f t="shared" si="31"/>
        <v>FALSE</v>
      </c>
      <c r="AP206" s="2" t="str">
        <f t="shared" si="31"/>
        <v>y=1.0953*2.76^2+204.93*2.76-109.69</v>
      </c>
      <c r="AQ206" s="2" t="b">
        <f>IF(AND(I206="TP",S206&lt;=150),VLOOKUP(AF206,[1]TPCalibEq150!$AZ$2:$BB$74,3,),IF(AND(I206="TDP",S206&lt;=150),VLOOKUP(AF206,[1]TPCalibEq150!$AZ$2:$BB$74,3,)))</f>
        <v>0</v>
      </c>
      <c r="AR206" s="2" t="b">
        <f>IF(AND(I206="TP",S206&lt;=300),VLOOKUP(AF206,[1]TPCalibEq300!$AZ$2:$BB$76,3,),IF(AND(I206="TDP",S206&lt;=300),VLOOKUP(AF206,[1]TPCalibEq300!$AZ$2:$BB$76,3,)))</f>
        <v>0</v>
      </c>
      <c r="AS206" s="2" t="b">
        <f>IF(AND(I206="TP",S206&lt;=500),VLOOKUP(AF206,[1]TPCalibEq500!$AZ$2:$BB$88,3,),IF(AND(I206="TDP",S206&lt;=500),VLOOKUP(AF206,[1]TPCalibEq500!$AZ$2:$BB$88,3,)))</f>
        <v>0</v>
      </c>
      <c r="AT206" s="2" t="b">
        <f>IF(AND(I206="TN",S206&lt;=2800),VLOOKUP(AF206,[1]TNCalibEq2500!$AZ$2:$BB$80,3,),IF(AND(I206="TDN",S206&lt;=2800),VLOOKUP(AF206,[1]TNCalibEq2500!$AZ$2:$BB$80,3,)))</f>
        <v>0</v>
      </c>
      <c r="AU206" s="2" t="str">
        <f>IF(I206="TP",VLOOKUP(AF206,[1]TPCalibEqFull!$AZ$2:$BB$164,3),IF(I206="TDP",VLOOKUP(AF206,[1]TPCalibEqFull!$AZ$2:$BB$164,3),IF(I206="TDN",VLOOKUP(AF206,[1]TNCalibEqFull!$AZ$2:$BB$116,3),IF(I206="TN",VLOOKUP(AF206,[1]TNCalibEqFull!$AZ$2:$BB$118,3),FALSE))))</f>
        <v>y=1.0953x2+204.93x-109.69</v>
      </c>
      <c r="AV206" s="2" t="str">
        <f t="shared" si="24"/>
        <v>0724 09:00:00-QAC-STD-D-1-DI-CHK</v>
      </c>
      <c r="AW206" s="2"/>
      <c r="AX206" s="2"/>
      <c r="AY206" s="2"/>
    </row>
    <row r="207" spans="1:51" x14ac:dyDescent="0.35">
      <c r="A207" s="45">
        <v>45485</v>
      </c>
      <c r="B207" s="46">
        <v>0.5</v>
      </c>
      <c r="C207" s="2" t="s">
        <v>136</v>
      </c>
      <c r="D207" s="2">
        <v>0</v>
      </c>
      <c r="E207" s="2" t="s">
        <v>137</v>
      </c>
      <c r="F207" s="2">
        <v>1</v>
      </c>
      <c r="G207" s="2" t="s">
        <v>125</v>
      </c>
      <c r="H207" s="2" t="s">
        <v>126</v>
      </c>
      <c r="I207" s="2" t="s">
        <v>223</v>
      </c>
      <c r="J207" s="2">
        <v>73</v>
      </c>
      <c r="K207" s="47">
        <v>45497</v>
      </c>
      <c r="L207" s="46">
        <v>0.80951388888888898</v>
      </c>
      <c r="M207" s="2">
        <v>1</v>
      </c>
      <c r="N207" s="2" t="s">
        <v>199</v>
      </c>
      <c r="O207" s="2">
        <v>0.60399999999999998</v>
      </c>
      <c r="P207" s="2">
        <v>5.7000000000000002E-2</v>
      </c>
      <c r="Q207" s="2">
        <v>25</v>
      </c>
      <c r="R207" s="2" t="s">
        <v>200</v>
      </c>
      <c r="S207" s="48">
        <f t="shared" si="29"/>
        <v>25</v>
      </c>
      <c r="T207" s="2" t="s">
        <v>222</v>
      </c>
      <c r="U207" s="48" t="s">
        <v>97</v>
      </c>
      <c r="V207" s="44" t="s">
        <v>97</v>
      </c>
      <c r="W207" s="44" t="s">
        <v>98</v>
      </c>
      <c r="X207" s="44" t="s">
        <v>97</v>
      </c>
      <c r="Y207" s="2" t="s">
        <v>201</v>
      </c>
      <c r="Z207" s="2"/>
      <c r="AA207" s="2"/>
      <c r="AB207" s="2"/>
      <c r="AC207" s="2"/>
      <c r="AD207" s="2"/>
      <c r="AE207" s="2"/>
      <c r="AF207" s="47">
        <v>45497</v>
      </c>
      <c r="AG207" s="2">
        <f>-48.316*0.604^2+258.18*0.604-118.22</f>
        <v>20.094270144000006</v>
      </c>
      <c r="AH207" s="2">
        <f>51.002*0.604^2+72.467*0.604-44.141</f>
        <v>18.235413631999997</v>
      </c>
      <c r="AI207" s="2">
        <f>35.548*0.604^2+104.83*0.604-59.737</f>
        <v>16.548799167999995</v>
      </c>
      <c r="AJ207" s="2"/>
      <c r="AK207" s="2">
        <f>1.0953*0.604^2+204.93*0.604-109.69</f>
        <v>14.487302964800008</v>
      </c>
      <c r="AL207" s="2" t="str">
        <f t="shared" si="30"/>
        <v>y=-48.316*0.604^2+258.18*0.604-118.22</v>
      </c>
      <c r="AM207" s="2" t="str">
        <f t="shared" si="30"/>
        <v>y=51.002*0.604^2+72.467*0.604-44.141</v>
      </c>
      <c r="AN207" s="2" t="str">
        <f t="shared" si="30"/>
        <v>y=35.548*0.604^2+104.83*0.604-59.737</v>
      </c>
      <c r="AO207" s="2" t="str">
        <f t="shared" si="31"/>
        <v>FALSE</v>
      </c>
      <c r="AP207" s="2" t="str">
        <f t="shared" si="31"/>
        <v>y=1.0953*0.604^2+204.93*0.604-109.69</v>
      </c>
      <c r="AQ207" s="2" t="str">
        <f>IF(AND(I207="TP",S207&lt;=150),VLOOKUP(AF207,[1]TPCalibEq150!$AZ$2:$BB$74,3,),IF(AND(I207="TDP",S207&lt;=150),VLOOKUP(AF207,[1]TPCalibEq150!$AZ$2:$BB$74,3,)))</f>
        <v>y=-48.316x2+258.18x-118.22</v>
      </c>
      <c r="AR207" s="2" t="str">
        <f>IF(AND(I207="TP",S207&lt;=300),VLOOKUP(AF207,[1]TPCalibEq300!$AZ$2:$BB$76,3,),IF(AND(I207="TDP",S207&lt;=300),VLOOKUP(AF207,[1]TPCalibEq300!$AZ$2:$BB$76,3,)))</f>
        <v>y=51.002x2+72.467x-44.141</v>
      </c>
      <c r="AS207" s="2" t="str">
        <f>IF(AND(I207="TP",S207&lt;=500),VLOOKUP(AF207,[1]TPCalibEq500!$AZ$2:$BB$88,3,),IF(AND(I207="TDP",S207&lt;=500),VLOOKUP(AF207,[1]TPCalibEq500!$AZ$2:$BB$88,3,)))</f>
        <v>y=35.548x2+104.83x-59.737</v>
      </c>
      <c r="AT207" s="2" t="b">
        <f>IF(AND(I207="TN",S207&lt;=2800),VLOOKUP(AF207,[1]TNCalibEq2500!$AZ$2:$BB$80,3,),IF(AND(I207="TDN",S207&lt;=2800),VLOOKUP(AF207,[1]TNCalibEq2500!$AZ$2:$BB$80,3,)))</f>
        <v>0</v>
      </c>
      <c r="AU207" s="2" t="str">
        <f>IF(I207="TP",VLOOKUP(AF207,[1]TPCalibEqFull!$AZ$2:$BB$164,3),IF(I207="TDP",VLOOKUP(AF207,[1]TPCalibEqFull!$AZ$2:$BB$164,3),IF(I207="TDN",VLOOKUP(AF207,[1]TNCalibEqFull!$AZ$2:$BB$116,3),IF(I207="TN",VLOOKUP(AF207,[1]TNCalibEqFull!$AZ$2:$BB$118,3),FALSE))))</f>
        <v>y=1.0953x2+204.93x-109.69</v>
      </c>
      <c r="AV207" s="2" t="str">
        <f t="shared" si="24"/>
        <v>0712 12:00:00-T1AF-0-FIL-1-SW-UKN</v>
      </c>
      <c r="AW207" s="2"/>
      <c r="AX207" s="2"/>
      <c r="AY207" s="2"/>
    </row>
    <row r="208" spans="1:51" x14ac:dyDescent="0.35">
      <c r="A208" s="45">
        <v>45474</v>
      </c>
      <c r="B208" s="46">
        <v>0.5</v>
      </c>
      <c r="C208" s="2" t="s">
        <v>139</v>
      </c>
      <c r="D208" s="2">
        <v>0</v>
      </c>
      <c r="E208" s="2" t="s">
        <v>137</v>
      </c>
      <c r="F208" s="2">
        <v>2</v>
      </c>
      <c r="G208" s="2" t="s">
        <v>125</v>
      </c>
      <c r="H208" s="2" t="s">
        <v>126</v>
      </c>
      <c r="I208" s="2" t="s">
        <v>223</v>
      </c>
      <c r="J208" s="2">
        <v>74</v>
      </c>
      <c r="K208" s="47">
        <v>45497</v>
      </c>
      <c r="L208" s="46">
        <v>0.81008101851851855</v>
      </c>
      <c r="M208" s="2">
        <v>1</v>
      </c>
      <c r="N208" s="2" t="s">
        <v>199</v>
      </c>
      <c r="O208" s="2">
        <v>0.67200000000000004</v>
      </c>
      <c r="P208" s="2">
        <v>6.3899999999999998E-2</v>
      </c>
      <c r="Q208" s="2">
        <v>38.4</v>
      </c>
      <c r="R208" s="2" t="s">
        <v>200</v>
      </c>
      <c r="S208" s="48">
        <f t="shared" si="29"/>
        <v>38.4</v>
      </c>
      <c r="T208" s="2" t="s">
        <v>222</v>
      </c>
      <c r="U208" s="48" t="s">
        <v>97</v>
      </c>
      <c r="V208" s="44" t="s">
        <v>97</v>
      </c>
      <c r="W208" s="44" t="s">
        <v>98</v>
      </c>
      <c r="X208" s="44" t="s">
        <v>97</v>
      </c>
      <c r="Y208" s="2" t="s">
        <v>201</v>
      </c>
      <c r="Z208" s="2"/>
      <c r="AA208" s="2"/>
      <c r="AB208" s="2"/>
      <c r="AC208" s="2"/>
      <c r="AD208" s="2"/>
      <c r="AE208" s="2"/>
      <c r="AF208" s="47">
        <v>45497</v>
      </c>
      <c r="AG208" s="2">
        <f>-48.316*0.672^2+258.18*0.672-118.22</f>
        <v>33.458227456000003</v>
      </c>
      <c r="AH208" s="2">
        <f>51.002*0.672^2+72.467*0.672-44.141</f>
        <v>27.588511168000018</v>
      </c>
      <c r="AI208" s="2">
        <f>35.548*0.672^2+104.83*0.672-59.737</f>
        <v>26.76166803200001</v>
      </c>
      <c r="AJ208" s="2"/>
      <c r="AK208" s="2">
        <f>1.0953*0.672^2+204.93*0.672-109.69</f>
        <v>28.517579955200006</v>
      </c>
      <c r="AL208" s="2" t="str">
        <f t="shared" si="30"/>
        <v>y=-48.316*0.672^2+258.18*0.672-118.22</v>
      </c>
      <c r="AM208" s="2" t="str">
        <f t="shared" si="30"/>
        <v>y=51.002*0.672^2+72.467*0.672-44.141</v>
      </c>
      <c r="AN208" s="2" t="str">
        <f t="shared" si="30"/>
        <v>y=35.548*0.672^2+104.83*0.672-59.737</v>
      </c>
      <c r="AO208" s="2" t="str">
        <f t="shared" si="31"/>
        <v>FALSE</v>
      </c>
      <c r="AP208" s="2" t="str">
        <f t="shared" si="31"/>
        <v>y=1.0953*0.672^2+204.93*0.672-109.69</v>
      </c>
      <c r="AQ208" s="2" t="str">
        <f>IF(AND(I208="TP",S208&lt;=150),VLOOKUP(AF208,[1]TPCalibEq150!$AZ$2:$BB$74,3,),IF(AND(I208="TDP",S208&lt;=150),VLOOKUP(AF208,[1]TPCalibEq150!$AZ$2:$BB$74,3,)))</f>
        <v>y=-48.316x2+258.18x-118.22</v>
      </c>
      <c r="AR208" s="2" t="str">
        <f>IF(AND(I208="TP",S208&lt;=300),VLOOKUP(AF208,[1]TPCalibEq300!$AZ$2:$BB$76,3,),IF(AND(I208="TDP",S208&lt;=300),VLOOKUP(AF208,[1]TPCalibEq300!$AZ$2:$BB$76,3,)))</f>
        <v>y=51.002x2+72.467x-44.141</v>
      </c>
      <c r="AS208" s="2" t="str">
        <f>IF(AND(I208="TP",S208&lt;=500),VLOOKUP(AF208,[1]TPCalibEq500!$AZ$2:$BB$88,3,),IF(AND(I208="TDP",S208&lt;=500),VLOOKUP(AF208,[1]TPCalibEq500!$AZ$2:$BB$88,3,)))</f>
        <v>y=35.548x2+104.83x-59.737</v>
      </c>
      <c r="AT208" s="2" t="b">
        <f>IF(AND(I208="TN",S208&lt;=2800),VLOOKUP(AF208,[1]TNCalibEq2500!$AZ$2:$BB$80,3,),IF(AND(I208="TDN",S208&lt;=2800),VLOOKUP(AF208,[1]TNCalibEq2500!$AZ$2:$BB$80,3,)))</f>
        <v>0</v>
      </c>
      <c r="AU208" s="2" t="str">
        <f>IF(I208="TP",VLOOKUP(AF208,[1]TPCalibEqFull!$AZ$2:$BB$164,3),IF(I208="TDP",VLOOKUP(AF208,[1]TPCalibEqFull!$AZ$2:$BB$164,3),IF(I208="TDN",VLOOKUP(AF208,[1]TNCalibEqFull!$AZ$2:$BB$116,3),IF(I208="TN",VLOOKUP(AF208,[1]TNCalibEqFull!$AZ$2:$BB$118,3),FALSE))))</f>
        <v>y=1.0953x2+204.93x-109.69</v>
      </c>
      <c r="AV208" s="2" t="str">
        <f t="shared" si="24"/>
        <v>0701 12:00:00-T1BF-0-FIL-2-SW-UKN</v>
      </c>
      <c r="AW208" s="2"/>
      <c r="AX208" s="2"/>
      <c r="AY208" s="2"/>
    </row>
    <row r="209" spans="1:51" x14ac:dyDescent="0.35">
      <c r="A209" s="45">
        <v>45485</v>
      </c>
      <c r="B209" s="46">
        <v>0.5</v>
      </c>
      <c r="C209" s="2" t="s">
        <v>140</v>
      </c>
      <c r="D209" s="2">
        <v>0</v>
      </c>
      <c r="E209" s="2" t="s">
        <v>137</v>
      </c>
      <c r="F209" s="2">
        <v>1</v>
      </c>
      <c r="G209" s="2" t="s">
        <v>125</v>
      </c>
      <c r="H209" s="2" t="s">
        <v>126</v>
      </c>
      <c r="I209" s="2" t="s">
        <v>223</v>
      </c>
      <c r="J209" s="2">
        <v>75</v>
      </c>
      <c r="K209" s="47">
        <v>45497</v>
      </c>
      <c r="L209" s="46">
        <v>0.8106712962962962</v>
      </c>
      <c r="M209" s="2">
        <v>1</v>
      </c>
      <c r="N209" s="2" t="s">
        <v>199</v>
      </c>
      <c r="O209" s="2">
        <v>0.52</v>
      </c>
      <c r="P209" s="2">
        <v>4.99E-2</v>
      </c>
      <c r="Q209" s="2">
        <v>8.4</v>
      </c>
      <c r="R209" s="2" t="s">
        <v>200</v>
      </c>
      <c r="S209" s="48">
        <f t="shared" si="29"/>
        <v>8.4</v>
      </c>
      <c r="T209" s="2" t="s">
        <v>222</v>
      </c>
      <c r="U209" s="48" t="s">
        <v>97</v>
      </c>
      <c r="V209" s="44" t="s">
        <v>97</v>
      </c>
      <c r="W209" s="44" t="s">
        <v>98</v>
      </c>
      <c r="X209" s="44" t="s">
        <v>97</v>
      </c>
      <c r="Y209" s="2" t="s">
        <v>201</v>
      </c>
      <c r="Z209" s="2"/>
      <c r="AA209" s="2"/>
      <c r="AB209" s="2"/>
      <c r="AC209" s="2"/>
      <c r="AD209" s="2"/>
      <c r="AE209" s="2"/>
      <c r="AF209" s="47">
        <v>45497</v>
      </c>
      <c r="AG209" s="2">
        <f>-48.316*0.52^2+258.18*0.52-118.22</f>
        <v>2.9689536000000061</v>
      </c>
      <c r="AH209" s="2">
        <f>51.002*0.52^2+72.467*0.52-44.141</f>
        <v>7.3327808000000019</v>
      </c>
      <c r="AI209" s="2">
        <f>35.548*0.52^2+104.83*0.52-59.737</f>
        <v>4.3867791999999994</v>
      </c>
      <c r="AJ209" s="2"/>
      <c r="AK209" s="2">
        <f>1.0953*0.52^2+204.93*0.52-109.69</f>
        <v>-2.8302308799999878</v>
      </c>
      <c r="AL209" s="2" t="str">
        <f t="shared" si="30"/>
        <v>y=-48.316*0.52^2+258.18*0.52-118.22</v>
      </c>
      <c r="AM209" s="2" t="str">
        <f t="shared" si="30"/>
        <v>y=51.002*0.52^2+72.467*0.52-44.141</v>
      </c>
      <c r="AN209" s="2" t="str">
        <f t="shared" si="30"/>
        <v>y=35.548*0.52^2+104.83*0.52-59.737</v>
      </c>
      <c r="AO209" s="2" t="str">
        <f t="shared" si="31"/>
        <v>FALSE</v>
      </c>
      <c r="AP209" s="2" t="str">
        <f t="shared" si="31"/>
        <v>y=1.0953*0.52^2+204.93*0.52-109.69</v>
      </c>
      <c r="AQ209" s="2" t="str">
        <f>IF(AND(I209="TP",S209&lt;=150),VLOOKUP(AF209,[1]TPCalibEq150!$AZ$2:$BB$74,3,),IF(AND(I209="TDP",S209&lt;=150),VLOOKUP(AF209,[1]TPCalibEq150!$AZ$2:$BB$74,3,)))</f>
        <v>y=-48.316x2+258.18x-118.22</v>
      </c>
      <c r="AR209" s="2" t="str">
        <f>IF(AND(I209="TP",S209&lt;=300),VLOOKUP(AF209,[1]TPCalibEq300!$AZ$2:$BB$76,3,),IF(AND(I209="TDP",S209&lt;=300),VLOOKUP(AF209,[1]TPCalibEq300!$AZ$2:$BB$76,3,)))</f>
        <v>y=51.002x2+72.467x-44.141</v>
      </c>
      <c r="AS209" s="2" t="str">
        <f>IF(AND(I209="TP",S209&lt;=500),VLOOKUP(AF209,[1]TPCalibEq500!$AZ$2:$BB$88,3,),IF(AND(I209="TDP",S209&lt;=500),VLOOKUP(AF209,[1]TPCalibEq500!$AZ$2:$BB$88,3,)))</f>
        <v>y=35.548x2+104.83x-59.737</v>
      </c>
      <c r="AT209" s="2" t="b">
        <f>IF(AND(I209="TN",S209&lt;=2800),VLOOKUP(AF209,[1]TNCalibEq2500!$AZ$2:$BB$80,3,),IF(AND(I209="TDN",S209&lt;=2800),VLOOKUP(AF209,[1]TNCalibEq2500!$AZ$2:$BB$80,3,)))</f>
        <v>0</v>
      </c>
      <c r="AU209" s="2" t="str">
        <f>IF(I209="TP",VLOOKUP(AF209,[1]TPCalibEqFull!$AZ$2:$BB$164,3),IF(I209="TDP",VLOOKUP(AF209,[1]TPCalibEqFull!$AZ$2:$BB$164,3),IF(I209="TDN",VLOOKUP(AF209,[1]TNCalibEqFull!$AZ$2:$BB$116,3),IF(I209="TN",VLOOKUP(AF209,[1]TNCalibEqFull!$AZ$2:$BB$118,3),FALSE))))</f>
        <v>y=1.0953x2+204.93x-109.69</v>
      </c>
      <c r="AV209" s="2" t="str">
        <f t="shared" si="24"/>
        <v>0712 12:00:00-C1AF-0-FIL-1-SW-UKN</v>
      </c>
      <c r="AW209" s="2"/>
      <c r="AX209" s="2"/>
      <c r="AY209" s="2"/>
    </row>
    <row r="210" spans="1:51" x14ac:dyDescent="0.35">
      <c r="A210" s="45">
        <v>45485</v>
      </c>
      <c r="B210" s="46">
        <v>0.5</v>
      </c>
      <c r="C210" s="2" t="s">
        <v>141</v>
      </c>
      <c r="D210" s="2">
        <v>0</v>
      </c>
      <c r="E210" s="2" t="s">
        <v>137</v>
      </c>
      <c r="F210" s="2">
        <v>2</v>
      </c>
      <c r="G210" s="2" t="s">
        <v>125</v>
      </c>
      <c r="H210" s="2" t="s">
        <v>126</v>
      </c>
      <c r="I210" s="2" t="s">
        <v>223</v>
      </c>
      <c r="J210" s="2">
        <v>76</v>
      </c>
      <c r="K210" s="47">
        <v>45497</v>
      </c>
      <c r="L210" s="46">
        <v>0.81126157407407407</v>
      </c>
      <c r="M210" s="2">
        <v>1</v>
      </c>
      <c r="N210" s="2" t="s">
        <v>199</v>
      </c>
      <c r="O210" s="2">
        <v>0.59099999999999997</v>
      </c>
      <c r="P210" s="2">
        <v>5.5800000000000002E-2</v>
      </c>
      <c r="Q210" s="2">
        <v>22.4</v>
      </c>
      <c r="R210" s="2" t="s">
        <v>200</v>
      </c>
      <c r="S210" s="48">
        <f t="shared" si="29"/>
        <v>22.4</v>
      </c>
      <c r="T210" s="2" t="s">
        <v>222</v>
      </c>
      <c r="U210" s="48" t="s">
        <v>97</v>
      </c>
      <c r="V210" s="44" t="s">
        <v>97</v>
      </c>
      <c r="W210" s="44" t="s">
        <v>98</v>
      </c>
      <c r="X210" s="44" t="s">
        <v>97</v>
      </c>
      <c r="Y210" s="2" t="s">
        <v>201</v>
      </c>
      <c r="Z210" s="2"/>
      <c r="AA210" s="2"/>
      <c r="AB210" s="2"/>
      <c r="AC210" s="2"/>
      <c r="AD210" s="2"/>
      <c r="AE210" s="2"/>
      <c r="AF210" s="47">
        <v>45497</v>
      </c>
      <c r="AG210" s="2">
        <f>-48.316*0.591^2+258.18*0.591-118.22</f>
        <v>17.488519204000028</v>
      </c>
      <c r="AH210" s="2">
        <f>51.002*0.591^2+72.467*0.591-44.141</f>
        <v>16.501026562</v>
      </c>
      <c r="AI210" s="2">
        <f>35.548*0.591^2+104.83*0.591-59.737</f>
        <v>14.633770988000002</v>
      </c>
      <c r="AJ210" s="2"/>
      <c r="AK210" s="2">
        <f>1.0953*0.591^2+204.93*0.591-109.69</f>
        <v>11.806197479299996</v>
      </c>
      <c r="AL210" s="2" t="str">
        <f t="shared" si="30"/>
        <v>y=-48.316*0.591^2+258.18*0.591-118.22</v>
      </c>
      <c r="AM210" s="2" t="str">
        <f t="shared" si="30"/>
        <v>y=51.002*0.591^2+72.467*0.591-44.141</v>
      </c>
      <c r="AN210" s="2" t="str">
        <f t="shared" si="30"/>
        <v>y=35.548*0.591^2+104.83*0.591-59.737</v>
      </c>
      <c r="AO210" s="2" t="str">
        <f t="shared" si="31"/>
        <v>FALSE</v>
      </c>
      <c r="AP210" s="2" t="str">
        <f t="shared" si="31"/>
        <v>y=1.0953*0.591^2+204.93*0.591-109.69</v>
      </c>
      <c r="AQ210" s="2" t="str">
        <f>IF(AND(I210="TP",S210&lt;=150),VLOOKUP(AF210,[1]TPCalibEq150!$AZ$2:$BB$74,3,),IF(AND(I210="TDP",S210&lt;=150),VLOOKUP(AF210,[1]TPCalibEq150!$AZ$2:$BB$74,3,)))</f>
        <v>y=-48.316x2+258.18x-118.22</v>
      </c>
      <c r="AR210" s="2" t="str">
        <f>IF(AND(I210="TP",S210&lt;=300),VLOOKUP(AF210,[1]TPCalibEq300!$AZ$2:$BB$76,3,),IF(AND(I210="TDP",S210&lt;=300),VLOOKUP(AF210,[1]TPCalibEq300!$AZ$2:$BB$76,3,)))</f>
        <v>y=51.002x2+72.467x-44.141</v>
      </c>
      <c r="AS210" s="2" t="str">
        <f>IF(AND(I210="TP",S210&lt;=500),VLOOKUP(AF210,[1]TPCalibEq500!$AZ$2:$BB$88,3,),IF(AND(I210="TDP",S210&lt;=500),VLOOKUP(AF210,[1]TPCalibEq500!$AZ$2:$BB$88,3,)))</f>
        <v>y=35.548x2+104.83x-59.737</v>
      </c>
      <c r="AT210" s="2" t="b">
        <f>IF(AND(I210="TN",S210&lt;=2800),VLOOKUP(AF210,[1]TNCalibEq2500!$AZ$2:$BB$80,3,),IF(AND(I210="TDN",S210&lt;=2800),VLOOKUP(AF210,[1]TNCalibEq2500!$AZ$2:$BB$80,3,)))</f>
        <v>0</v>
      </c>
      <c r="AU210" s="2" t="str">
        <f>IF(I210="TP",VLOOKUP(AF210,[1]TPCalibEqFull!$AZ$2:$BB$164,3),IF(I210="TDP",VLOOKUP(AF210,[1]TPCalibEqFull!$AZ$2:$BB$164,3),IF(I210="TDN",VLOOKUP(AF210,[1]TNCalibEqFull!$AZ$2:$BB$116,3),IF(I210="TN",VLOOKUP(AF210,[1]TNCalibEqFull!$AZ$2:$BB$118,3),FALSE))))</f>
        <v>y=1.0953x2+204.93x-109.69</v>
      </c>
      <c r="AV210" s="2" t="str">
        <f t="shared" si="24"/>
        <v>0712 12:00:00-C1BF-0-FIL-2-SW-UKN</v>
      </c>
      <c r="AW210" s="2"/>
      <c r="AX210" s="2"/>
      <c r="AY210" s="2"/>
    </row>
    <row r="211" spans="1:51" x14ac:dyDescent="0.35">
      <c r="A211" s="45">
        <v>45485</v>
      </c>
      <c r="B211" s="46">
        <v>0.5</v>
      </c>
      <c r="C211" s="2" t="s">
        <v>142</v>
      </c>
      <c r="D211" s="2">
        <v>0</v>
      </c>
      <c r="E211" s="2" t="s">
        <v>137</v>
      </c>
      <c r="F211" s="2">
        <v>1</v>
      </c>
      <c r="G211" s="2" t="s">
        <v>125</v>
      </c>
      <c r="H211" s="2" t="s">
        <v>126</v>
      </c>
      <c r="I211" s="2" t="s">
        <v>223</v>
      </c>
      <c r="J211" s="2">
        <v>77</v>
      </c>
      <c r="K211" s="47">
        <v>45497</v>
      </c>
      <c r="L211" s="46">
        <v>0.81184027777777779</v>
      </c>
      <c r="M211" s="2">
        <v>1</v>
      </c>
      <c r="N211" s="2" t="s">
        <v>199</v>
      </c>
      <c r="O211" s="2">
        <v>0.77300000000000002</v>
      </c>
      <c r="P211" s="2">
        <v>7.3599999999999999E-2</v>
      </c>
      <c r="Q211" s="2">
        <v>58.3</v>
      </c>
      <c r="R211" s="2" t="s">
        <v>200</v>
      </c>
      <c r="S211" s="48">
        <f t="shared" si="29"/>
        <v>58.3</v>
      </c>
      <c r="T211" s="2" t="s">
        <v>222</v>
      </c>
      <c r="U211" s="48" t="s">
        <v>97</v>
      </c>
      <c r="V211" s="44" t="s">
        <v>97</v>
      </c>
      <c r="W211" s="44" t="s">
        <v>98</v>
      </c>
      <c r="X211" s="44" t="s">
        <v>97</v>
      </c>
      <c r="Y211" s="2" t="s">
        <v>201</v>
      </c>
      <c r="Z211" s="2"/>
      <c r="AA211" s="2"/>
      <c r="AB211" s="2"/>
      <c r="AC211" s="2"/>
      <c r="AD211" s="2"/>
      <c r="AE211" s="2"/>
      <c r="AF211" s="47">
        <v>45497</v>
      </c>
      <c r="AG211" s="2">
        <f>-48.316*0.773^2+258.18*0.773-118.22</f>
        <v>52.482928836000013</v>
      </c>
      <c r="AH211" s="2">
        <f>51.002*0.773^2+72.467*0.773-44.141</f>
        <v>42.351165057999999</v>
      </c>
      <c r="AI211" s="2">
        <f>35.548*0.773^2+104.83*0.773-59.737</f>
        <v>42.537550892000006</v>
      </c>
      <c r="AJ211" s="2"/>
      <c r="AK211" s="2">
        <f>1.0953*0.773^2+204.93*0.773-109.69</f>
        <v>49.375363513700023</v>
      </c>
      <c r="AL211" s="2" t="str">
        <f t="shared" si="30"/>
        <v>y=-48.316*0.773^2+258.18*0.773-118.22</v>
      </c>
      <c r="AM211" s="2" t="str">
        <f t="shared" si="30"/>
        <v>y=51.002*0.773^2+72.467*0.773-44.141</v>
      </c>
      <c r="AN211" s="2" t="str">
        <f t="shared" si="30"/>
        <v>y=35.548*0.773^2+104.83*0.773-59.737</v>
      </c>
      <c r="AO211" s="2" t="str">
        <f t="shared" si="31"/>
        <v>FALSE</v>
      </c>
      <c r="AP211" s="2" t="str">
        <f t="shared" si="31"/>
        <v>y=1.0953*0.773^2+204.93*0.773-109.69</v>
      </c>
      <c r="AQ211" s="2" t="str">
        <f>IF(AND(I211="TP",S211&lt;=150),VLOOKUP(AF211,[1]TPCalibEq150!$AZ$2:$BB$74,3,),IF(AND(I211="TDP",S211&lt;=150),VLOOKUP(AF211,[1]TPCalibEq150!$AZ$2:$BB$74,3,)))</f>
        <v>y=-48.316x2+258.18x-118.22</v>
      </c>
      <c r="AR211" s="2" t="str">
        <f>IF(AND(I211="TP",S211&lt;=300),VLOOKUP(AF211,[1]TPCalibEq300!$AZ$2:$BB$76,3,),IF(AND(I211="TDP",S211&lt;=300),VLOOKUP(AF211,[1]TPCalibEq300!$AZ$2:$BB$76,3,)))</f>
        <v>y=51.002x2+72.467x-44.141</v>
      </c>
      <c r="AS211" s="2" t="str">
        <f>IF(AND(I211="TP",S211&lt;=500),VLOOKUP(AF211,[1]TPCalibEq500!$AZ$2:$BB$88,3,),IF(AND(I211="TDP",S211&lt;=500),VLOOKUP(AF211,[1]TPCalibEq500!$AZ$2:$BB$88,3,)))</f>
        <v>y=35.548x2+104.83x-59.737</v>
      </c>
      <c r="AT211" s="2" t="b">
        <f>IF(AND(I211="TN",S211&lt;=2800),VLOOKUP(AF211,[1]TNCalibEq2500!$AZ$2:$BB$80,3,),IF(AND(I211="TDN",S211&lt;=2800),VLOOKUP(AF211,[1]TNCalibEq2500!$AZ$2:$BB$80,3,)))</f>
        <v>0</v>
      </c>
      <c r="AU211" s="2" t="str">
        <f>IF(I211="TP",VLOOKUP(AF211,[1]TPCalibEqFull!$AZ$2:$BB$164,3),IF(I211="TDP",VLOOKUP(AF211,[1]TPCalibEqFull!$AZ$2:$BB$164,3),IF(I211="TDN",VLOOKUP(AF211,[1]TNCalibEqFull!$AZ$2:$BB$116,3),IF(I211="TN",VLOOKUP(AF211,[1]TNCalibEqFull!$AZ$2:$BB$118,3),FALSE))))</f>
        <v>y=1.0953x2+204.93x-109.69</v>
      </c>
      <c r="AV211" s="2" t="str">
        <f t="shared" si="24"/>
        <v>0712 12:00:00-T2AF-0-FIL-1-SW-UKN</v>
      </c>
      <c r="AW211" s="2"/>
      <c r="AX211" s="2"/>
      <c r="AY211" s="2"/>
    </row>
    <row r="212" spans="1:51" x14ac:dyDescent="0.35">
      <c r="A212" s="45">
        <v>45485</v>
      </c>
      <c r="B212" s="46">
        <v>0.5</v>
      </c>
      <c r="C212" s="2" t="s">
        <v>143</v>
      </c>
      <c r="D212" s="2">
        <v>0</v>
      </c>
      <c r="E212" s="2" t="s">
        <v>137</v>
      </c>
      <c r="F212" s="2">
        <v>2</v>
      </c>
      <c r="G212" s="2" t="s">
        <v>125</v>
      </c>
      <c r="H212" s="2" t="s">
        <v>126</v>
      </c>
      <c r="I212" s="2" t="s">
        <v>223</v>
      </c>
      <c r="J212" s="2">
        <v>78</v>
      </c>
      <c r="K212" s="47">
        <v>45497</v>
      </c>
      <c r="L212" s="46">
        <v>0.81243055555555566</v>
      </c>
      <c r="M212" s="2">
        <v>1</v>
      </c>
      <c r="N212" s="2" t="s">
        <v>199</v>
      </c>
      <c r="O212" s="2">
        <v>0.65100000000000002</v>
      </c>
      <c r="P212" s="2">
        <v>6.1600000000000002E-2</v>
      </c>
      <c r="Q212" s="2">
        <v>34.299999999999997</v>
      </c>
      <c r="R212" s="2" t="s">
        <v>200</v>
      </c>
      <c r="S212" s="48">
        <f t="shared" si="29"/>
        <v>34.299999999999997</v>
      </c>
      <c r="T212" s="2" t="s">
        <v>222</v>
      </c>
      <c r="U212" s="48" t="s">
        <v>97</v>
      </c>
      <c r="V212" s="44" t="s">
        <v>97</v>
      </c>
      <c r="W212" s="44" t="s">
        <v>98</v>
      </c>
      <c r="X212" s="44" t="s">
        <v>97</v>
      </c>
      <c r="Y212" s="2" t="s">
        <v>201</v>
      </c>
      <c r="Z212" s="2"/>
      <c r="AA212" s="2"/>
      <c r="AB212" s="2"/>
      <c r="AC212" s="2"/>
      <c r="AD212" s="2"/>
      <c r="AE212" s="2"/>
      <c r="AF212" s="47">
        <v>45497</v>
      </c>
      <c r="AG212" s="2">
        <f>-48.316*0.651^2+258.18*0.651-118.22</f>
        <v>29.378810884000018</v>
      </c>
      <c r="AH212" s="2">
        <f>51.002*0.651^2+72.467*0.651-44.141</f>
        <v>24.649715602000008</v>
      </c>
      <c r="AI212" s="2">
        <f>35.548*0.651^2+104.83*0.651-59.737</f>
        <v>23.572607948000005</v>
      </c>
      <c r="AJ212" s="2"/>
      <c r="AK212" s="2">
        <f>1.0953*0.651^2+204.93*0.651-109.69</f>
        <v>24.183619235300029</v>
      </c>
      <c r="AL212" s="2" t="str">
        <f t="shared" si="30"/>
        <v>y=-48.316*0.651^2+258.18*0.651-118.22</v>
      </c>
      <c r="AM212" s="2" t="str">
        <f t="shared" si="30"/>
        <v>y=51.002*0.651^2+72.467*0.651-44.141</v>
      </c>
      <c r="AN212" s="2" t="str">
        <f t="shared" si="30"/>
        <v>y=35.548*0.651^2+104.83*0.651-59.737</v>
      </c>
      <c r="AO212" s="2" t="str">
        <f t="shared" si="31"/>
        <v>FALSE</v>
      </c>
      <c r="AP212" s="2" t="str">
        <f t="shared" si="31"/>
        <v>y=1.0953*0.651^2+204.93*0.651-109.69</v>
      </c>
      <c r="AQ212" s="2" t="str">
        <f>IF(AND(I212="TP",S212&lt;=150),VLOOKUP(AF212,[1]TPCalibEq150!$AZ$2:$BB$74,3,),IF(AND(I212="TDP",S212&lt;=150),VLOOKUP(AF212,[1]TPCalibEq150!$AZ$2:$BB$74,3,)))</f>
        <v>y=-48.316x2+258.18x-118.22</v>
      </c>
      <c r="AR212" s="2" t="str">
        <f>IF(AND(I212="TP",S212&lt;=300),VLOOKUP(AF212,[1]TPCalibEq300!$AZ$2:$BB$76,3,),IF(AND(I212="TDP",S212&lt;=300),VLOOKUP(AF212,[1]TPCalibEq300!$AZ$2:$BB$76,3,)))</f>
        <v>y=51.002x2+72.467x-44.141</v>
      </c>
      <c r="AS212" s="2" t="str">
        <f>IF(AND(I212="TP",S212&lt;=500),VLOOKUP(AF212,[1]TPCalibEq500!$AZ$2:$BB$88,3,),IF(AND(I212="TDP",S212&lt;=500),VLOOKUP(AF212,[1]TPCalibEq500!$AZ$2:$BB$88,3,)))</f>
        <v>y=35.548x2+104.83x-59.737</v>
      </c>
      <c r="AT212" s="2" t="b">
        <f>IF(AND(I212="TN",S212&lt;=2800),VLOOKUP(AF212,[1]TNCalibEq2500!$AZ$2:$BB$80,3,),IF(AND(I212="TDN",S212&lt;=2800),VLOOKUP(AF212,[1]TNCalibEq2500!$AZ$2:$BB$80,3,)))</f>
        <v>0</v>
      </c>
      <c r="AU212" s="2" t="str">
        <f>IF(I212="TP",VLOOKUP(AF212,[1]TPCalibEqFull!$AZ$2:$BB$164,3),IF(I212="TDP",VLOOKUP(AF212,[1]TPCalibEqFull!$AZ$2:$BB$164,3),IF(I212="TDN",VLOOKUP(AF212,[1]TNCalibEqFull!$AZ$2:$BB$116,3),IF(I212="TN",VLOOKUP(AF212,[1]TNCalibEqFull!$AZ$2:$BB$118,3),FALSE))))</f>
        <v>y=1.0953x2+204.93x-109.69</v>
      </c>
      <c r="AV212" s="2" t="str">
        <f t="shared" si="24"/>
        <v>0712 12:00:00-T2BF-0-FIL-2-SW-UKN</v>
      </c>
      <c r="AW212" s="2"/>
      <c r="AX212" s="2"/>
      <c r="AY212" s="2"/>
    </row>
    <row r="213" spans="1:51" x14ac:dyDescent="0.35">
      <c r="A213" s="45">
        <v>45485</v>
      </c>
      <c r="B213" s="46">
        <v>0.5</v>
      </c>
      <c r="C213" s="2" t="s">
        <v>144</v>
      </c>
      <c r="D213" s="2">
        <v>0</v>
      </c>
      <c r="E213" s="2" t="s">
        <v>137</v>
      </c>
      <c r="F213" s="2">
        <v>1</v>
      </c>
      <c r="G213" s="2" t="s">
        <v>125</v>
      </c>
      <c r="H213" s="2" t="s">
        <v>126</v>
      </c>
      <c r="I213" s="2" t="s">
        <v>223</v>
      </c>
      <c r="J213" s="2">
        <v>79</v>
      </c>
      <c r="K213" s="47">
        <v>45497</v>
      </c>
      <c r="L213" s="46">
        <v>0.8130208333333333</v>
      </c>
      <c r="M213" s="2">
        <v>1</v>
      </c>
      <c r="N213" s="2" t="s">
        <v>199</v>
      </c>
      <c r="O213" s="2">
        <v>0.72799999999999998</v>
      </c>
      <c r="P213" s="2">
        <v>6.9099999999999995E-2</v>
      </c>
      <c r="Q213" s="2">
        <v>49.3</v>
      </c>
      <c r="R213" s="2" t="s">
        <v>200</v>
      </c>
      <c r="S213" s="48">
        <f t="shared" si="29"/>
        <v>49.3</v>
      </c>
      <c r="T213" s="2" t="s">
        <v>222</v>
      </c>
      <c r="U213" s="48" t="s">
        <v>97</v>
      </c>
      <c r="V213" s="44" t="s">
        <v>97</v>
      </c>
      <c r="W213" s="44" t="s">
        <v>98</v>
      </c>
      <c r="X213" s="44" t="s">
        <v>97</v>
      </c>
      <c r="Y213" s="2" t="s">
        <v>201</v>
      </c>
      <c r="Z213" s="2"/>
      <c r="AA213" s="2"/>
      <c r="AB213" s="2"/>
      <c r="AC213" s="2"/>
      <c r="AD213" s="2"/>
      <c r="AE213" s="2"/>
      <c r="AF213" s="47">
        <v>45497</v>
      </c>
      <c r="AG213" s="2">
        <f>-48.316*0.728^2+258.18*0.728-118.22</f>
        <v>44.128333056000002</v>
      </c>
      <c r="AH213" s="2">
        <f>51.002*0.728^2+72.467*0.728-44.141</f>
        <v>35.645219967999999</v>
      </c>
      <c r="AI213" s="2">
        <f>35.548*0.728^2+104.83*0.728-59.737</f>
        <v>35.419111231999999</v>
      </c>
      <c r="AJ213" s="2"/>
      <c r="AK213" s="2">
        <f>1.0953*0.728^2+204.93*0.728-109.69</f>
        <v>40.079531475200014</v>
      </c>
      <c r="AL213" s="2" t="str">
        <f t="shared" si="30"/>
        <v>y=-48.316*0.728^2+258.18*0.728-118.22</v>
      </c>
      <c r="AM213" s="2" t="str">
        <f t="shared" si="30"/>
        <v>y=51.002*0.728^2+72.467*0.728-44.141</v>
      </c>
      <c r="AN213" s="2" t="str">
        <f t="shared" si="30"/>
        <v>y=35.548*0.728^2+104.83*0.728-59.737</v>
      </c>
      <c r="AO213" s="2" t="str">
        <f t="shared" si="31"/>
        <v>FALSE</v>
      </c>
      <c r="AP213" s="2" t="str">
        <f t="shared" si="31"/>
        <v>y=1.0953*0.728^2+204.93*0.728-109.69</v>
      </c>
      <c r="AQ213" s="2" t="str">
        <f>IF(AND(I213="TP",S213&lt;=150),VLOOKUP(AF213,[1]TPCalibEq150!$AZ$2:$BB$74,3,),IF(AND(I213="TDP",S213&lt;=150),VLOOKUP(AF213,[1]TPCalibEq150!$AZ$2:$BB$74,3,)))</f>
        <v>y=-48.316x2+258.18x-118.22</v>
      </c>
      <c r="AR213" s="2" t="str">
        <f>IF(AND(I213="TP",S213&lt;=300),VLOOKUP(AF213,[1]TPCalibEq300!$AZ$2:$BB$76,3,),IF(AND(I213="TDP",S213&lt;=300),VLOOKUP(AF213,[1]TPCalibEq300!$AZ$2:$BB$76,3,)))</f>
        <v>y=51.002x2+72.467x-44.141</v>
      </c>
      <c r="AS213" s="2" t="str">
        <f>IF(AND(I213="TP",S213&lt;=500),VLOOKUP(AF213,[1]TPCalibEq500!$AZ$2:$BB$88,3,),IF(AND(I213="TDP",S213&lt;=500),VLOOKUP(AF213,[1]TPCalibEq500!$AZ$2:$BB$88,3,)))</f>
        <v>y=35.548x2+104.83x-59.737</v>
      </c>
      <c r="AT213" s="2" t="b">
        <f>IF(AND(I213="TN",S213&lt;=2800),VLOOKUP(AF213,[1]TNCalibEq2500!$AZ$2:$BB$80,3,),IF(AND(I213="TDN",S213&lt;=2800),VLOOKUP(AF213,[1]TNCalibEq2500!$AZ$2:$BB$80,3,)))</f>
        <v>0</v>
      </c>
      <c r="AU213" s="2" t="str">
        <f>IF(I213="TP",VLOOKUP(AF213,[1]TPCalibEqFull!$AZ$2:$BB$164,3),IF(I213="TDP",VLOOKUP(AF213,[1]TPCalibEqFull!$AZ$2:$BB$164,3),IF(I213="TDN",VLOOKUP(AF213,[1]TNCalibEqFull!$AZ$2:$BB$116,3),IF(I213="TN",VLOOKUP(AF213,[1]TNCalibEqFull!$AZ$2:$BB$118,3),FALSE))))</f>
        <v>y=1.0953x2+204.93x-109.69</v>
      </c>
      <c r="AV213" s="2" t="str">
        <f t="shared" si="24"/>
        <v>0712 12:00:00-C2AF-0-FIL-1-SW-UKN</v>
      </c>
      <c r="AW213" s="2"/>
      <c r="AX213" s="2"/>
      <c r="AY213" s="2"/>
    </row>
    <row r="214" spans="1:51" x14ac:dyDescent="0.35">
      <c r="A214" s="45">
        <v>45485</v>
      </c>
      <c r="B214" s="46">
        <v>0.5</v>
      </c>
      <c r="C214" s="2" t="s">
        <v>145</v>
      </c>
      <c r="D214" s="2">
        <v>0</v>
      </c>
      <c r="E214" s="2" t="s">
        <v>137</v>
      </c>
      <c r="F214" s="2">
        <v>2</v>
      </c>
      <c r="G214" s="2" t="s">
        <v>125</v>
      </c>
      <c r="H214" s="2" t="s">
        <v>126</v>
      </c>
      <c r="I214" s="2" t="s">
        <v>223</v>
      </c>
      <c r="J214" s="2">
        <v>80</v>
      </c>
      <c r="K214" s="47">
        <v>45497</v>
      </c>
      <c r="L214" s="46">
        <v>0.81359953703703702</v>
      </c>
      <c r="M214" s="2">
        <v>1</v>
      </c>
      <c r="N214" s="2" t="s">
        <v>199</v>
      </c>
      <c r="O214" s="2">
        <v>0.52300000000000002</v>
      </c>
      <c r="P214" s="2">
        <v>4.9000000000000002E-2</v>
      </c>
      <c r="Q214" s="2">
        <v>9</v>
      </c>
      <c r="R214" s="2" t="s">
        <v>200</v>
      </c>
      <c r="S214" s="48">
        <f t="shared" si="29"/>
        <v>9</v>
      </c>
      <c r="T214" s="2" t="s">
        <v>222</v>
      </c>
      <c r="U214" s="48" t="s">
        <v>97</v>
      </c>
      <c r="V214" s="44" t="s">
        <v>97</v>
      </c>
      <c r="W214" s="44" t="s">
        <v>98</v>
      </c>
      <c r="X214" s="44" t="s">
        <v>97</v>
      </c>
      <c r="Y214" s="2" t="s">
        <v>201</v>
      </c>
      <c r="Z214" s="2"/>
      <c r="AA214" s="2"/>
      <c r="AB214" s="2"/>
      <c r="AC214" s="2"/>
      <c r="AD214" s="2"/>
      <c r="AE214" s="2"/>
      <c r="AF214" s="47">
        <v>45497</v>
      </c>
      <c r="AG214" s="2">
        <f>-48.316*0.523^2+258.18*0.523-118.22</f>
        <v>3.5923128360000049</v>
      </c>
      <c r="AH214" s="2">
        <f>51.002*0.523^2+72.467*0.523-44.141</f>
        <v>7.7097670580000042</v>
      </c>
      <c r="AI214" s="2">
        <f>35.548*0.523^2+104.83*0.523-59.737</f>
        <v>4.8124988920000007</v>
      </c>
      <c r="AJ214" s="2"/>
      <c r="AK214" s="2">
        <f>1.0953*0.523^2+204.93*0.523-109.69</f>
        <v>-2.2120136862999971</v>
      </c>
      <c r="AL214" s="2" t="str">
        <f t="shared" si="30"/>
        <v>y=-48.316*0.523^2+258.18*0.523-118.22</v>
      </c>
      <c r="AM214" s="2" t="str">
        <f t="shared" si="30"/>
        <v>y=51.002*0.523^2+72.467*0.523-44.141</v>
      </c>
      <c r="AN214" s="2" t="str">
        <f t="shared" si="30"/>
        <v>y=35.548*0.523^2+104.83*0.523-59.737</v>
      </c>
      <c r="AO214" s="2" t="str">
        <f t="shared" si="31"/>
        <v>FALSE</v>
      </c>
      <c r="AP214" s="2" t="str">
        <f t="shared" si="31"/>
        <v>y=1.0953*0.523^2+204.93*0.523-109.69</v>
      </c>
      <c r="AQ214" s="2" t="str">
        <f>IF(AND(I214="TP",S214&lt;=150),VLOOKUP(AF214,[1]TPCalibEq150!$AZ$2:$BB$74,3,),IF(AND(I214="TDP",S214&lt;=150),VLOOKUP(AF214,[1]TPCalibEq150!$AZ$2:$BB$74,3,)))</f>
        <v>y=-48.316x2+258.18x-118.22</v>
      </c>
      <c r="AR214" s="2" t="str">
        <f>IF(AND(I214="TP",S214&lt;=300),VLOOKUP(AF214,[1]TPCalibEq300!$AZ$2:$BB$76,3,),IF(AND(I214="TDP",S214&lt;=300),VLOOKUP(AF214,[1]TPCalibEq300!$AZ$2:$BB$76,3,)))</f>
        <v>y=51.002x2+72.467x-44.141</v>
      </c>
      <c r="AS214" s="2" t="str">
        <f>IF(AND(I214="TP",S214&lt;=500),VLOOKUP(AF214,[1]TPCalibEq500!$AZ$2:$BB$88,3,),IF(AND(I214="TDP",S214&lt;=500),VLOOKUP(AF214,[1]TPCalibEq500!$AZ$2:$BB$88,3,)))</f>
        <v>y=35.548x2+104.83x-59.737</v>
      </c>
      <c r="AT214" s="2" t="b">
        <f>IF(AND(I214="TN",S214&lt;=2800),VLOOKUP(AF214,[1]TNCalibEq2500!$AZ$2:$BB$80,3,),IF(AND(I214="TDN",S214&lt;=2800),VLOOKUP(AF214,[1]TNCalibEq2500!$AZ$2:$BB$80,3,)))</f>
        <v>0</v>
      </c>
      <c r="AU214" s="2" t="str">
        <f>IF(I214="TP",VLOOKUP(AF214,[1]TPCalibEqFull!$AZ$2:$BB$164,3),IF(I214="TDP",VLOOKUP(AF214,[1]TPCalibEqFull!$AZ$2:$BB$164,3),IF(I214="TDN",VLOOKUP(AF214,[1]TNCalibEqFull!$AZ$2:$BB$116,3),IF(I214="TN",VLOOKUP(AF214,[1]TNCalibEqFull!$AZ$2:$BB$118,3),FALSE))))</f>
        <v>y=1.0953x2+204.93x-109.69</v>
      </c>
      <c r="AV214" s="2" t="str">
        <f t="shared" si="24"/>
        <v>0712 12:00:00-C2BF-0-FIL-2-SW-UKN</v>
      </c>
      <c r="AW214" s="2"/>
      <c r="AX214" s="2"/>
      <c r="AY214" s="2"/>
    </row>
    <row r="215" spans="1:51" x14ac:dyDescent="0.35">
      <c r="A215" s="45">
        <v>45485</v>
      </c>
      <c r="B215" s="46">
        <v>0.5</v>
      </c>
      <c r="C215" s="2" t="s">
        <v>145</v>
      </c>
      <c r="D215" s="2">
        <v>0</v>
      </c>
      <c r="E215" s="2" t="s">
        <v>137</v>
      </c>
      <c r="F215" s="2">
        <v>2</v>
      </c>
      <c r="G215" s="2" t="s">
        <v>125</v>
      </c>
      <c r="H215" s="2" t="s">
        <v>134</v>
      </c>
      <c r="I215" s="2" t="s">
        <v>223</v>
      </c>
      <c r="J215" s="2">
        <v>80</v>
      </c>
      <c r="K215" s="47">
        <v>45497</v>
      </c>
      <c r="L215" s="46">
        <v>0.81418981481481489</v>
      </c>
      <c r="M215" s="2">
        <v>1</v>
      </c>
      <c r="N215" s="2" t="s">
        <v>199</v>
      </c>
      <c r="O215" s="2">
        <v>0.52300000000000002</v>
      </c>
      <c r="P215" s="2">
        <v>4.9000000000000002E-2</v>
      </c>
      <c r="Q215" s="2">
        <v>9.06</v>
      </c>
      <c r="R215" s="2" t="s">
        <v>200</v>
      </c>
      <c r="S215" s="48">
        <f t="shared" si="29"/>
        <v>9.06</v>
      </c>
      <c r="T215" s="2" t="s">
        <v>222</v>
      </c>
      <c r="U215" s="48">
        <v>0.66445182724253027</v>
      </c>
      <c r="V215" s="44" t="s">
        <v>97</v>
      </c>
      <c r="W215" s="44" t="s">
        <v>98</v>
      </c>
      <c r="X215" s="44" t="s">
        <v>135</v>
      </c>
      <c r="Y215" s="2" t="s">
        <v>201</v>
      </c>
      <c r="Z215" s="2"/>
      <c r="AA215" s="2"/>
      <c r="AB215" s="2"/>
      <c r="AC215" s="2"/>
      <c r="AD215" s="2"/>
      <c r="AE215" s="2"/>
      <c r="AF215" s="47">
        <v>45497</v>
      </c>
      <c r="AG215" s="2">
        <f>-48.316*0.523^2+258.18*0.523-118.22</f>
        <v>3.5923128360000049</v>
      </c>
      <c r="AH215" s="2">
        <f>51.002*0.523^2+72.467*0.523-44.141</f>
        <v>7.7097670580000042</v>
      </c>
      <c r="AI215" s="2">
        <f>35.548*0.523^2+104.83*0.523-59.737</f>
        <v>4.8124988920000007</v>
      </c>
      <c r="AJ215" s="2"/>
      <c r="AK215" s="2">
        <f>1.0953*0.523^2+204.93*0.523-109.69</f>
        <v>-2.2120136862999971</v>
      </c>
      <c r="AL215" s="2" t="str">
        <f t="shared" si="30"/>
        <v>y=-48.316*0.523^2+258.18*0.523-118.22</v>
      </c>
      <c r="AM215" s="2" t="str">
        <f t="shared" si="30"/>
        <v>y=51.002*0.523^2+72.467*0.523-44.141</v>
      </c>
      <c r="AN215" s="2" t="str">
        <f t="shared" si="30"/>
        <v>y=35.548*0.523^2+104.83*0.523-59.737</v>
      </c>
      <c r="AO215" s="2" t="str">
        <f t="shared" si="31"/>
        <v>FALSE</v>
      </c>
      <c r="AP215" s="2" t="str">
        <f t="shared" si="31"/>
        <v>y=1.0953*0.523^2+204.93*0.523-109.69</v>
      </c>
      <c r="AQ215" s="2" t="str">
        <f>IF(AND(I215="TP",S215&lt;=150),VLOOKUP(AF215,[1]TPCalibEq150!$AZ$2:$BB$74,3,),IF(AND(I215="TDP",S215&lt;=150),VLOOKUP(AF215,[1]TPCalibEq150!$AZ$2:$BB$74,3,)))</f>
        <v>y=-48.316x2+258.18x-118.22</v>
      </c>
      <c r="AR215" s="2" t="str">
        <f>IF(AND(I215="TP",S215&lt;=300),VLOOKUP(AF215,[1]TPCalibEq300!$AZ$2:$BB$76,3,),IF(AND(I215="TDP",S215&lt;=300),VLOOKUP(AF215,[1]TPCalibEq300!$AZ$2:$BB$76,3,)))</f>
        <v>y=51.002x2+72.467x-44.141</v>
      </c>
      <c r="AS215" s="2" t="str">
        <f>IF(AND(I215="TP",S215&lt;=500),VLOOKUP(AF215,[1]TPCalibEq500!$AZ$2:$BB$88,3,),IF(AND(I215="TDP",S215&lt;=500),VLOOKUP(AF215,[1]TPCalibEq500!$AZ$2:$BB$88,3,)))</f>
        <v>y=35.548x2+104.83x-59.737</v>
      </c>
      <c r="AT215" s="2" t="b">
        <f>IF(AND(I215="TN",S215&lt;=2800),VLOOKUP(AF215,[1]TNCalibEq2500!$AZ$2:$BB$80,3,),IF(AND(I215="TDN",S215&lt;=2800),VLOOKUP(AF215,[1]TNCalibEq2500!$AZ$2:$BB$80,3,)))</f>
        <v>0</v>
      </c>
      <c r="AU215" s="2" t="str">
        <f>IF(I215="TP",VLOOKUP(AF215,[1]TPCalibEqFull!$AZ$2:$BB$164,3),IF(I215="TDP",VLOOKUP(AF215,[1]TPCalibEqFull!$AZ$2:$BB$164,3),IF(I215="TDN",VLOOKUP(AF215,[1]TNCalibEqFull!$AZ$2:$BB$116,3),IF(I215="TN",VLOOKUP(AF215,[1]TNCalibEqFull!$AZ$2:$BB$118,3),FALSE))))</f>
        <v>y=1.0953x2+204.93x-109.69</v>
      </c>
      <c r="AV215" s="2" t="str">
        <f t="shared" si="24"/>
        <v>0712 12:00:00-C2BF-0-FIL-2-SW-DUP</v>
      </c>
      <c r="AW215" s="2"/>
      <c r="AX215" s="2"/>
      <c r="AY215" s="2"/>
    </row>
    <row r="216" spans="1:51" x14ac:dyDescent="0.35">
      <c r="A216" s="45">
        <v>45485</v>
      </c>
      <c r="B216" s="46">
        <v>0.5</v>
      </c>
      <c r="C216" s="2" t="s">
        <v>145</v>
      </c>
      <c r="D216" s="2">
        <v>0</v>
      </c>
      <c r="E216" s="2" t="s">
        <v>137</v>
      </c>
      <c r="F216" s="2">
        <v>2</v>
      </c>
      <c r="G216" s="2" t="s">
        <v>125</v>
      </c>
      <c r="H216" s="2" t="s">
        <v>117</v>
      </c>
      <c r="I216" s="2" t="s">
        <v>223</v>
      </c>
      <c r="J216" s="2">
        <v>88</v>
      </c>
      <c r="K216" s="47">
        <v>45497</v>
      </c>
      <c r="L216" s="46">
        <v>0.81475694444444446</v>
      </c>
      <c r="M216" s="2">
        <v>1</v>
      </c>
      <c r="N216" s="2" t="s">
        <v>199</v>
      </c>
      <c r="O216" s="2">
        <v>5.32</v>
      </c>
      <c r="P216" s="2">
        <v>0.53500000000000003</v>
      </c>
      <c r="Q216" s="2">
        <v>953</v>
      </c>
      <c r="R216" s="2" t="s">
        <v>200</v>
      </c>
      <c r="S216" s="48">
        <f t="shared" si="29"/>
        <v>1011.5372187200001</v>
      </c>
      <c r="T216" s="2" t="s">
        <v>222</v>
      </c>
      <c r="U216" s="48">
        <v>100.24772187200001</v>
      </c>
      <c r="V216" s="44">
        <v>1000</v>
      </c>
      <c r="W216" s="44" t="s">
        <v>98</v>
      </c>
      <c r="X216" s="44" t="s">
        <v>118</v>
      </c>
      <c r="Y216" s="2" t="s">
        <v>201</v>
      </c>
      <c r="Z216" s="2"/>
      <c r="AA216" s="2"/>
      <c r="AB216" s="2"/>
      <c r="AC216" s="2"/>
      <c r="AD216" s="2"/>
      <c r="AE216" s="2"/>
      <c r="AF216" s="47">
        <v>45497</v>
      </c>
      <c r="AG216" s="2"/>
      <c r="AH216" s="2"/>
      <c r="AI216" s="2"/>
      <c r="AJ216" s="2"/>
      <c r="AK216" s="2">
        <f>1.0953*5.32^2+204.93*5.32-109.69</f>
        <v>1011.5372187200001</v>
      </c>
      <c r="AL216" s="2" t="str">
        <f t="shared" si="30"/>
        <v>FALSE</v>
      </c>
      <c r="AM216" s="2" t="str">
        <f t="shared" si="30"/>
        <v>FALSE</v>
      </c>
      <c r="AN216" s="2" t="str">
        <f t="shared" si="30"/>
        <v>FALSE</v>
      </c>
      <c r="AO216" s="2" t="str">
        <f t="shared" si="31"/>
        <v>FALSE</v>
      </c>
      <c r="AP216" s="2" t="str">
        <f t="shared" si="31"/>
        <v>y=1.0953*5.32^2+204.93*5.32-109.69</v>
      </c>
      <c r="AQ216" s="2" t="b">
        <f>IF(AND(I216="TP",S216&lt;=150),VLOOKUP(AF216,[1]TPCalibEq150!$AZ$2:$BB$74,3,),IF(AND(I216="TDP",S216&lt;=150),VLOOKUP(AF216,[1]TPCalibEq150!$AZ$2:$BB$74,3,)))</f>
        <v>0</v>
      </c>
      <c r="AR216" s="2" t="b">
        <f>IF(AND(I216="TP",S216&lt;=300),VLOOKUP(AF216,[1]TPCalibEq300!$AZ$2:$BB$76,3,),IF(AND(I216="TDP",S216&lt;=300),VLOOKUP(AF216,[1]TPCalibEq300!$AZ$2:$BB$76,3,)))</f>
        <v>0</v>
      </c>
      <c r="AS216" s="2" t="b">
        <f>IF(AND(I216="TP",S216&lt;=500),VLOOKUP(AF216,[1]TPCalibEq500!$AZ$2:$BB$88,3,),IF(AND(I216="TDP",S216&lt;=500),VLOOKUP(AF216,[1]TPCalibEq500!$AZ$2:$BB$88,3,)))</f>
        <v>0</v>
      </c>
      <c r="AT216" s="2" t="b">
        <f>IF(AND(I216="TN",S216&lt;=2800),VLOOKUP(AF216,[1]TNCalibEq2500!$AZ$2:$BB$80,3,),IF(AND(I216="TDN",S216&lt;=2800),VLOOKUP(AF216,[1]TNCalibEq2500!$AZ$2:$BB$80,3,)))</f>
        <v>0</v>
      </c>
      <c r="AU216" s="2" t="str">
        <f>IF(I216="TP",VLOOKUP(AF216,[1]TPCalibEqFull!$AZ$2:$BB$164,3),IF(I216="TDP",VLOOKUP(AF216,[1]TPCalibEqFull!$AZ$2:$BB$164,3),IF(I216="TDN",VLOOKUP(AF216,[1]TNCalibEqFull!$AZ$2:$BB$116,3),IF(I216="TN",VLOOKUP(AF216,[1]TNCalibEqFull!$AZ$2:$BB$118,3),FALSE))))</f>
        <v>y=1.0953x2+204.93x-109.69</v>
      </c>
      <c r="AV216" s="2" t="str">
        <f t="shared" si="24"/>
        <v>0712 12:00:00-C2BF-0-FIL-2-SW-SPK</v>
      </c>
      <c r="AW216" s="2"/>
      <c r="AX216" s="2"/>
      <c r="AY216" s="2"/>
    </row>
    <row r="217" spans="1:51" x14ac:dyDescent="0.35">
      <c r="A217" s="45">
        <v>45497</v>
      </c>
      <c r="B217" s="46">
        <v>0.375</v>
      </c>
      <c r="C217" s="2" t="s">
        <v>88</v>
      </c>
      <c r="D217" s="2" t="s">
        <v>89</v>
      </c>
      <c r="E217" s="2" t="s">
        <v>106</v>
      </c>
      <c r="F217" s="2">
        <v>1</v>
      </c>
      <c r="G217" s="2" t="s">
        <v>91</v>
      </c>
      <c r="H217" s="2" t="s">
        <v>122</v>
      </c>
      <c r="I217" s="2" t="s">
        <v>198</v>
      </c>
      <c r="J217" s="2">
        <v>202</v>
      </c>
      <c r="K217" s="47">
        <v>45497</v>
      </c>
      <c r="L217" s="46">
        <v>0.81535879629629626</v>
      </c>
      <c r="M217" s="2">
        <v>1</v>
      </c>
      <c r="N217" s="2" t="s">
        <v>199</v>
      </c>
      <c r="O217" s="2">
        <v>2.77</v>
      </c>
      <c r="P217" s="2">
        <v>0.27300000000000002</v>
      </c>
      <c r="Q217" s="2">
        <v>452</v>
      </c>
      <c r="R217" s="2" t="s">
        <v>200</v>
      </c>
      <c r="S217" s="48">
        <f t="shared" si="29"/>
        <v>503.39834920000004</v>
      </c>
      <c r="T217" s="2" t="s">
        <v>222</v>
      </c>
      <c r="U217" s="48">
        <v>100.67966984</v>
      </c>
      <c r="V217" s="44">
        <v>500</v>
      </c>
      <c r="W217" s="44" t="s">
        <v>98</v>
      </c>
      <c r="X217" s="44" t="s">
        <v>123</v>
      </c>
      <c r="Y217" s="2" t="s">
        <v>201</v>
      </c>
      <c r="Z217" s="2"/>
      <c r="AA217" s="2"/>
      <c r="AB217" s="2"/>
      <c r="AC217" s="2"/>
      <c r="AD217" s="2"/>
      <c r="AE217" s="2"/>
      <c r="AF217" s="47">
        <v>45497</v>
      </c>
      <c r="AG217" s="2"/>
      <c r="AH217" s="2"/>
      <c r="AI217" s="2">
        <f>35.548*2.77^2+104.83*2.77-59.737</f>
        <v>503.39834920000004</v>
      </c>
      <c r="AJ217" s="2"/>
      <c r="AK217" s="2">
        <f>1.0953*2.77^2+204.93*2.77-109.69</f>
        <v>466.37022737000001</v>
      </c>
      <c r="AL217" s="2" t="str">
        <f t="shared" si="30"/>
        <v>FALSE</v>
      </c>
      <c r="AM217" s="2" t="str">
        <f t="shared" si="30"/>
        <v>FALSE</v>
      </c>
      <c r="AN217" s="2" t="str">
        <f t="shared" si="30"/>
        <v>FALSE</v>
      </c>
      <c r="AO217" s="2" t="str">
        <f t="shared" si="31"/>
        <v>FALSE</v>
      </c>
      <c r="AP217" s="2" t="str">
        <f t="shared" si="31"/>
        <v>y=1.0953*2.77^2+204.93*2.77-109.69</v>
      </c>
      <c r="AQ217" s="2" t="b">
        <f>IF(AND(I217="TP",S217&lt;=150),VLOOKUP(AF217,[1]TPCalibEq150!$AZ$2:$BB$74,3,),IF(AND(I217="TDP",S217&lt;=150),VLOOKUP(AF217,[1]TPCalibEq150!$AZ$2:$BB$74,3,)))</f>
        <v>0</v>
      </c>
      <c r="AR217" s="2" t="b">
        <f>IF(AND(I217="TP",S217&lt;=300),VLOOKUP(AF217,[1]TPCalibEq300!$AZ$2:$BB$76,3,),IF(AND(I217="TDP",S217&lt;=300),VLOOKUP(AF217,[1]TPCalibEq300!$AZ$2:$BB$76,3,)))</f>
        <v>0</v>
      </c>
      <c r="AS217" s="2" t="b">
        <f>IF(AND(I217="TP",S217&lt;=500),VLOOKUP(AF217,[1]TPCalibEq500!$AZ$2:$BB$88,3,),IF(AND(I217="TDP",S217&lt;=500),VLOOKUP(AF217,[1]TPCalibEq500!$AZ$2:$BB$88,3,)))</f>
        <v>0</v>
      </c>
      <c r="AT217" s="2" t="b">
        <f>IF(AND(I217="TN",S217&lt;=2800),VLOOKUP(AF217,[1]TNCalibEq2500!$AZ$2:$BB$80,3,),IF(AND(I217="TDN",S217&lt;=2800),VLOOKUP(AF217,[1]TNCalibEq2500!$AZ$2:$BB$80,3,)))</f>
        <v>0</v>
      </c>
      <c r="AU217" s="2" t="str">
        <f>IF(I217="TP",VLOOKUP(AF217,[1]TPCalibEqFull!$AZ$2:$BB$164,3),IF(I217="TDP",VLOOKUP(AF217,[1]TPCalibEqFull!$AZ$2:$BB$164,3),IF(I217="TDN",VLOOKUP(AF217,[1]TNCalibEqFull!$AZ$2:$BB$116,3),IF(I217="TN",VLOOKUP(AF217,[1]TNCalibEqFull!$AZ$2:$BB$118,3),FALSE))))</f>
        <v>y=1.0953x2+204.93x-109.69</v>
      </c>
      <c r="AV217" s="2" t="str">
        <f t="shared" si="24"/>
        <v>0724 09:00:00-QAC-STD-D-1-DI-CHK</v>
      </c>
      <c r="AW217" s="2"/>
      <c r="AX217" s="2"/>
      <c r="AY217" s="2"/>
    </row>
    <row r="218" spans="1:51" x14ac:dyDescent="0.35">
      <c r="A218" s="45">
        <v>45496</v>
      </c>
      <c r="B218" s="46">
        <v>0.20208333333333331</v>
      </c>
      <c r="C218" s="2" t="s">
        <v>88</v>
      </c>
      <c r="D218" s="2" t="s">
        <v>114</v>
      </c>
      <c r="E218" s="2" t="s">
        <v>112</v>
      </c>
      <c r="F218" s="2">
        <v>1</v>
      </c>
      <c r="G218" s="2" t="s">
        <v>91</v>
      </c>
      <c r="H218" s="2" t="s">
        <v>146</v>
      </c>
      <c r="I218" s="2" t="s">
        <v>198</v>
      </c>
      <c r="J218" s="2">
        <v>135</v>
      </c>
      <c r="K218" s="47">
        <v>45497</v>
      </c>
      <c r="L218" s="46">
        <v>0.81593749999999998</v>
      </c>
      <c r="M218" s="2">
        <v>1</v>
      </c>
      <c r="N218" s="2" t="s">
        <v>199</v>
      </c>
      <c r="O218" s="2">
        <v>0.40699999999999997</v>
      </c>
      <c r="P218" s="2">
        <v>3.78E-2</v>
      </c>
      <c r="Q218" s="2">
        <v>-13.8</v>
      </c>
      <c r="R218" s="2" t="s">
        <v>200</v>
      </c>
      <c r="S218" s="48">
        <f t="shared" si="29"/>
        <v>-6.198500702000004</v>
      </c>
      <c r="T218" s="2" t="s">
        <v>222</v>
      </c>
      <c r="U218" s="48">
        <v>-6.198500702000004</v>
      </c>
      <c r="V218" s="44" t="s">
        <v>97</v>
      </c>
      <c r="W218" s="44" t="s">
        <v>98</v>
      </c>
      <c r="X218" s="44" t="s">
        <v>116</v>
      </c>
      <c r="Y218" s="2" t="s">
        <v>201</v>
      </c>
      <c r="Z218" s="2"/>
      <c r="AA218" s="2"/>
      <c r="AB218" s="2"/>
      <c r="AC218" s="2"/>
      <c r="AD218" s="2"/>
      <c r="AE218" s="2"/>
      <c r="AF218" s="47">
        <v>45497</v>
      </c>
      <c r="AG218" s="2">
        <f>-48.316*0.407^2+258.18*0.407-118.22</f>
        <v>-21.144237084000011</v>
      </c>
      <c r="AH218" s="2">
        <f>51.002*0.407^2+72.467*0.407-44.141</f>
        <v>-6.198500702000004</v>
      </c>
      <c r="AI218" s="2">
        <f>35.548*0.407^2+104.83*0.407-59.737</f>
        <v>-11.182699348000007</v>
      </c>
      <c r="AJ218" s="2"/>
      <c r="AK218" s="2">
        <f>1.0953*0.407^2+204.93*0.407-109.69</f>
        <v>-26.102054650300005</v>
      </c>
      <c r="AL218" s="2" t="str">
        <f t="shared" si="30"/>
        <v>y=-48.316*0.407^2+258.18*0.407-118.22</v>
      </c>
      <c r="AM218" s="2" t="str">
        <f t="shared" si="30"/>
        <v>y=51.002*0.407^2+72.467*0.407-44.141</v>
      </c>
      <c r="AN218" s="2" t="str">
        <f t="shared" si="30"/>
        <v>y=35.548*0.407^2+104.83*0.407-59.737</v>
      </c>
      <c r="AO218" s="2" t="str">
        <f t="shared" si="31"/>
        <v>FALSE</v>
      </c>
      <c r="AP218" s="2" t="str">
        <f t="shared" si="31"/>
        <v>y=1.0953*0.407^2+204.93*0.407-109.69</v>
      </c>
      <c r="AQ218" s="2" t="str">
        <f>IF(AND(I218="TP",S218&lt;=150),VLOOKUP(AF218,[1]TPCalibEq150!$AZ$2:$BB$74,3,),IF(AND(I218="TDP",S218&lt;=150),VLOOKUP(AF218,[1]TPCalibEq150!$AZ$2:$BB$74,3,)))</f>
        <v>y=-48.316x2+258.18x-118.22</v>
      </c>
      <c r="AR218" s="2" t="str">
        <f>IF(AND(I218="TP",S218&lt;=300),VLOOKUP(AF218,[1]TPCalibEq300!$AZ$2:$BB$76,3,),IF(AND(I218="TDP",S218&lt;=300),VLOOKUP(AF218,[1]TPCalibEq300!$AZ$2:$BB$76,3,)))</f>
        <v>y=51.002x2+72.467x-44.141</v>
      </c>
      <c r="AS218" s="2" t="str">
        <f>IF(AND(I218="TP",S218&lt;=500),VLOOKUP(AF218,[1]TPCalibEq500!$AZ$2:$BB$88,3,),IF(AND(I218="TDP",S218&lt;=500),VLOOKUP(AF218,[1]TPCalibEq500!$AZ$2:$BB$88,3,)))</f>
        <v>y=35.548x2+104.83x-59.737</v>
      </c>
      <c r="AT218" s="2" t="b">
        <f>IF(AND(I218="TN",S218&lt;=2800),VLOOKUP(AF218,[1]TNCalibEq2500!$AZ$2:$BB$80,3,),IF(AND(I218="TDN",S218&lt;=2800),VLOOKUP(AF218,[1]TNCalibEq2500!$AZ$2:$BB$80,3,)))</f>
        <v>0</v>
      </c>
      <c r="AU218" s="2" t="str">
        <f>IF(I218="TP",VLOOKUP(AF218,[1]TPCalibEqFull!$AZ$2:$BB$164,3),IF(I218="TDP",VLOOKUP(AF218,[1]TPCalibEqFull!$AZ$2:$BB$164,3),IF(I218="TDN",VLOOKUP(AF218,[1]TNCalibEqFull!$AZ$2:$BB$116,3),IF(I218="TN",VLOOKUP(AF218,[1]TNCalibEqFull!$AZ$2:$BB$118,3),FALSE))))</f>
        <v>y=1.0953x2+204.93x-109.69</v>
      </c>
      <c r="AV218" s="2" t="str">
        <f t="shared" si="24"/>
        <v>0723 04:51:00-QAC-BLK-A-1-DI-FLD</v>
      </c>
      <c r="AW218" s="2"/>
      <c r="AX218" s="2"/>
      <c r="AY218" s="2"/>
    </row>
    <row r="219" spans="1:51" x14ac:dyDescent="0.35">
      <c r="A219" s="45">
        <v>45496</v>
      </c>
      <c r="B219" s="46">
        <v>0.20208333333333331</v>
      </c>
      <c r="C219" s="2" t="s">
        <v>88</v>
      </c>
      <c r="D219" s="2" t="s">
        <v>114</v>
      </c>
      <c r="E219" s="2" t="s">
        <v>137</v>
      </c>
      <c r="F219" s="2">
        <v>1</v>
      </c>
      <c r="G219" s="2" t="s">
        <v>91</v>
      </c>
      <c r="H219" s="2" t="s">
        <v>146</v>
      </c>
      <c r="I219" s="2" t="s">
        <v>223</v>
      </c>
      <c r="J219" s="2">
        <v>136</v>
      </c>
      <c r="K219" s="47">
        <v>45497</v>
      </c>
      <c r="L219" s="46">
        <v>0.81652777777777785</v>
      </c>
      <c r="M219" s="2">
        <v>1</v>
      </c>
      <c r="N219" s="2" t="s">
        <v>199</v>
      </c>
      <c r="O219" s="2">
        <v>0.41799999999999998</v>
      </c>
      <c r="P219" s="2">
        <v>3.8300000000000001E-2</v>
      </c>
      <c r="Q219" s="2">
        <v>-11.6</v>
      </c>
      <c r="R219" s="2" t="s">
        <v>200</v>
      </c>
      <c r="S219" s="48">
        <f t="shared" si="29"/>
        <v>-4.938520552</v>
      </c>
      <c r="T219" s="2" t="s">
        <v>222</v>
      </c>
      <c r="U219" s="48">
        <v>-4.938520552</v>
      </c>
      <c r="V219" s="44" t="s">
        <v>97</v>
      </c>
      <c r="W219" s="44" t="s">
        <v>98</v>
      </c>
      <c r="X219" s="44" t="s">
        <v>116</v>
      </c>
      <c r="Y219" s="2" t="s">
        <v>201</v>
      </c>
      <c r="Z219" s="2"/>
      <c r="AA219" s="2"/>
      <c r="AB219" s="2"/>
      <c r="AC219" s="2"/>
      <c r="AD219" s="2"/>
      <c r="AE219" s="2"/>
      <c r="AF219" s="47">
        <v>45497</v>
      </c>
      <c r="AG219" s="2">
        <f>-48.316*0.418^2+258.18*0.418-118.22</f>
        <v>-18.742724783999989</v>
      </c>
      <c r="AH219" s="2">
        <f>51.002*0.418^2+72.467*0.418-44.141</f>
        <v>-4.938520552</v>
      </c>
      <c r="AI219" s="2">
        <f>35.548*0.418^2+104.83*0.418-59.737</f>
        <v>-9.7069712480000021</v>
      </c>
      <c r="AJ219" s="2"/>
      <c r="AK219" s="2">
        <f>1.0953*0.418^2+204.93*0.418-109.69</f>
        <v>-23.837884802799991</v>
      </c>
      <c r="AL219" s="2" t="str">
        <f t="shared" si="30"/>
        <v>y=-48.316*0.418^2+258.18*0.418-118.22</v>
      </c>
      <c r="AM219" s="2" t="str">
        <f t="shared" si="30"/>
        <v>y=51.002*0.418^2+72.467*0.418-44.141</v>
      </c>
      <c r="AN219" s="2" t="str">
        <f t="shared" si="30"/>
        <v>y=35.548*0.418^2+104.83*0.418-59.737</v>
      </c>
      <c r="AO219" s="2" t="str">
        <f t="shared" si="31"/>
        <v>FALSE</v>
      </c>
      <c r="AP219" s="2" t="str">
        <f t="shared" si="31"/>
        <v>y=1.0953*0.418^2+204.93*0.418-109.69</v>
      </c>
      <c r="AQ219" s="2" t="str">
        <f>IF(AND(I219="TP",S219&lt;=150),VLOOKUP(AF219,[1]TPCalibEq150!$AZ$2:$BB$74,3,),IF(AND(I219="TDP",S219&lt;=150),VLOOKUP(AF219,[1]TPCalibEq150!$AZ$2:$BB$74,3,)))</f>
        <v>y=-48.316x2+258.18x-118.22</v>
      </c>
      <c r="AR219" s="2" t="str">
        <f>IF(AND(I219="TP",S219&lt;=300),VLOOKUP(AF219,[1]TPCalibEq300!$AZ$2:$BB$76,3,),IF(AND(I219="TDP",S219&lt;=300),VLOOKUP(AF219,[1]TPCalibEq300!$AZ$2:$BB$76,3,)))</f>
        <v>y=51.002x2+72.467x-44.141</v>
      </c>
      <c r="AS219" s="2" t="str">
        <f>IF(AND(I219="TP",S219&lt;=500),VLOOKUP(AF219,[1]TPCalibEq500!$AZ$2:$BB$88,3,),IF(AND(I219="TDP",S219&lt;=500),VLOOKUP(AF219,[1]TPCalibEq500!$AZ$2:$BB$88,3,)))</f>
        <v>y=35.548x2+104.83x-59.737</v>
      </c>
      <c r="AT219" s="2" t="b">
        <f>IF(AND(I219="TN",S219&lt;=2800),VLOOKUP(AF219,[1]TNCalibEq2500!$AZ$2:$BB$80,3,),IF(AND(I219="TDN",S219&lt;=2800),VLOOKUP(AF219,[1]TNCalibEq2500!$AZ$2:$BB$80,3,)))</f>
        <v>0</v>
      </c>
      <c r="AU219" s="2" t="str">
        <f>IF(I219="TP",VLOOKUP(AF219,[1]TPCalibEqFull!$AZ$2:$BB$164,3),IF(I219="TDP",VLOOKUP(AF219,[1]TPCalibEqFull!$AZ$2:$BB$164,3),IF(I219="TDN",VLOOKUP(AF219,[1]TNCalibEqFull!$AZ$2:$BB$116,3),IF(I219="TN",VLOOKUP(AF219,[1]TNCalibEqFull!$AZ$2:$BB$118,3),FALSE))))</f>
        <v>y=1.0953x2+204.93x-109.69</v>
      </c>
      <c r="AV219" s="2" t="str">
        <f t="shared" si="24"/>
        <v>0723 04:51:00-QAC-BLK-FIL-1-DI-FLD</v>
      </c>
      <c r="AW219" s="2"/>
      <c r="AX219" s="2"/>
      <c r="AY219" s="2"/>
    </row>
    <row r="220" spans="1:51" x14ac:dyDescent="0.35">
      <c r="A220" s="45">
        <v>45497</v>
      </c>
      <c r="B220" s="46">
        <v>0.375</v>
      </c>
      <c r="C220" s="2" t="s">
        <v>88</v>
      </c>
      <c r="D220" s="2" t="s">
        <v>89</v>
      </c>
      <c r="E220" s="2" t="s">
        <v>106</v>
      </c>
      <c r="F220" s="2">
        <v>1</v>
      </c>
      <c r="G220" s="2" t="s">
        <v>91</v>
      </c>
      <c r="H220" s="2" t="s">
        <v>122</v>
      </c>
      <c r="I220" s="2" t="s">
        <v>198</v>
      </c>
      <c r="J220" s="2">
        <v>216</v>
      </c>
      <c r="K220" s="47">
        <v>45497</v>
      </c>
      <c r="L220" s="46">
        <v>0.84762731481481479</v>
      </c>
      <c r="M220" s="2">
        <v>1</v>
      </c>
      <c r="N220" s="2" t="s">
        <v>199</v>
      </c>
      <c r="O220" s="2">
        <v>2.9</v>
      </c>
      <c r="P220" s="2">
        <v>0.28599999999999998</v>
      </c>
      <c r="Q220" s="2">
        <v>476</v>
      </c>
      <c r="R220" s="2" t="s">
        <v>200</v>
      </c>
      <c r="S220" s="48">
        <f t="shared" si="29"/>
        <v>543.22868000000005</v>
      </c>
      <c r="T220" s="2" t="s">
        <v>222</v>
      </c>
      <c r="U220" s="48">
        <v>108.645736</v>
      </c>
      <c r="V220" s="44">
        <v>500</v>
      </c>
      <c r="W220" s="44" t="s">
        <v>98</v>
      </c>
      <c r="X220" s="44" t="s">
        <v>123</v>
      </c>
      <c r="Y220" s="2" t="s">
        <v>201</v>
      </c>
      <c r="Z220" s="2"/>
      <c r="AA220" s="2"/>
      <c r="AB220" s="2"/>
      <c r="AC220" s="2"/>
      <c r="AD220" s="2"/>
      <c r="AE220" s="2"/>
      <c r="AF220" s="47">
        <v>45497</v>
      </c>
      <c r="AG220" s="2"/>
      <c r="AH220" s="2"/>
      <c r="AI220" s="2">
        <f>35.548*2.9^2+104.83*2.9-59.737</f>
        <v>543.22868000000005</v>
      </c>
      <c r="AJ220" s="2"/>
      <c r="AK220" s="2">
        <f>1.0953*2.9^2+204.93*2.9-109.69</f>
        <v>493.81847299999998</v>
      </c>
      <c r="AL220" s="2" t="str">
        <f t="shared" si="30"/>
        <v>FALSE</v>
      </c>
      <c r="AM220" s="2" t="str">
        <f t="shared" si="30"/>
        <v>FALSE</v>
      </c>
      <c r="AN220" s="2" t="str">
        <f t="shared" si="30"/>
        <v>FALSE</v>
      </c>
      <c r="AO220" s="2" t="str">
        <f t="shared" si="31"/>
        <v>FALSE</v>
      </c>
      <c r="AP220" s="2" t="str">
        <f t="shared" si="31"/>
        <v>y=1.0953*2.9^2+204.93*2.9-109.69</v>
      </c>
      <c r="AQ220" s="2" t="b">
        <f>IF(AND(I220="TP",S220&lt;=150),VLOOKUP(AF220,[1]TPCalibEq150!$AZ$2:$BB$74,3,),IF(AND(I220="TDP",S220&lt;=150),VLOOKUP(AF220,[1]TPCalibEq150!$AZ$2:$BB$74,3,)))</f>
        <v>0</v>
      </c>
      <c r="AR220" s="2" t="b">
        <f>IF(AND(I220="TP",S220&lt;=300),VLOOKUP(AF220,[1]TPCalibEq300!$AZ$2:$BB$76,3,),IF(AND(I220="TDP",S220&lt;=300),VLOOKUP(AF220,[1]TPCalibEq300!$AZ$2:$BB$76,3,)))</f>
        <v>0</v>
      </c>
      <c r="AS220" s="2" t="b">
        <f>IF(AND(I220="TP",S220&lt;=500),VLOOKUP(AF220,[1]TPCalibEq500!$AZ$2:$BB$88,3,),IF(AND(I220="TDP",S220&lt;=500),VLOOKUP(AF220,[1]TPCalibEq500!$AZ$2:$BB$88,3,)))</f>
        <v>0</v>
      </c>
      <c r="AT220" s="2" t="b">
        <f>IF(AND(I220="TN",S220&lt;=2800),VLOOKUP(AF220,[1]TNCalibEq2500!$AZ$2:$BB$80,3,),IF(AND(I220="TDN",S220&lt;=2800),VLOOKUP(AF220,[1]TNCalibEq2500!$AZ$2:$BB$80,3,)))</f>
        <v>0</v>
      </c>
      <c r="AU220" s="2" t="str">
        <f>IF(I220="TP",VLOOKUP(AF220,[1]TPCalibEqFull!$AZ$2:$BB$164,3),IF(I220="TDP",VLOOKUP(AF220,[1]TPCalibEqFull!$AZ$2:$BB$164,3),IF(I220="TDN",VLOOKUP(AF220,[1]TNCalibEqFull!$AZ$2:$BB$116,3),IF(I220="TN",VLOOKUP(AF220,[1]TNCalibEqFull!$AZ$2:$BB$118,3),FALSE))))</f>
        <v>y=1.0953x2+204.93x-109.69</v>
      </c>
      <c r="AV220" s="2" t="str">
        <f t="shared" si="24"/>
        <v>0724 09:00:00-QAC-STD-D-1-DI-CHK</v>
      </c>
      <c r="AW220" s="2"/>
      <c r="AX220" s="2"/>
      <c r="AY220" s="2"/>
    </row>
  </sheetData>
  <conditionalFormatting sqref="AF1:AU1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A98-9FFD-4DCC-9E5D-D798082EEE7C}">
  <dimension ref="A1:P100"/>
  <sheetViews>
    <sheetView topLeftCell="A6" workbookViewId="0">
      <selection activeCell="S8" sqref="S8"/>
    </sheetView>
  </sheetViews>
  <sheetFormatPr defaultRowHeight="14.5" x14ac:dyDescent="0.35"/>
  <cols>
    <col min="1" max="1" width="21.7265625" customWidth="1"/>
    <col min="2" max="2" width="15.6328125" customWidth="1"/>
    <col min="16" max="16" width="11.6328125" customWidth="1"/>
  </cols>
  <sheetData>
    <row r="1" spans="1:16" ht="58" x14ac:dyDescent="0.35">
      <c r="A1" s="29" t="s">
        <v>41</v>
      </c>
      <c r="B1" s="31" t="s">
        <v>43</v>
      </c>
      <c r="C1" s="31" t="s">
        <v>44</v>
      </c>
      <c r="D1" s="31" t="s">
        <v>45</v>
      </c>
      <c r="E1" s="31" t="s">
        <v>46</v>
      </c>
      <c r="F1" s="31" t="s">
        <v>47</v>
      </c>
      <c r="G1" s="31" t="s">
        <v>48</v>
      </c>
      <c r="H1" s="31" t="s">
        <v>49</v>
      </c>
      <c r="I1" s="31" t="s">
        <v>50</v>
      </c>
      <c r="J1" s="34" t="s">
        <v>53</v>
      </c>
      <c r="K1" s="31" t="s">
        <v>54</v>
      </c>
      <c r="L1" s="35" t="s">
        <v>55</v>
      </c>
      <c r="M1" s="35" t="s">
        <v>56</v>
      </c>
      <c r="N1" s="36" t="s">
        <v>57</v>
      </c>
      <c r="O1" s="31" t="s">
        <v>58</v>
      </c>
      <c r="P1" s="31"/>
    </row>
    <row r="2" spans="1:16" x14ac:dyDescent="0.35">
      <c r="A2" s="45">
        <v>45485</v>
      </c>
      <c r="B2" s="2" t="s">
        <v>124</v>
      </c>
      <c r="C2" s="2">
        <v>0</v>
      </c>
      <c r="D2" s="2" t="s">
        <v>108</v>
      </c>
      <c r="E2" s="2">
        <v>1</v>
      </c>
      <c r="F2" s="2" t="s">
        <v>125</v>
      </c>
      <c r="G2" s="2" t="s">
        <v>126</v>
      </c>
      <c r="H2" s="49" t="s">
        <v>93</v>
      </c>
      <c r="I2" s="2">
        <v>33</v>
      </c>
      <c r="J2" s="2">
        <v>1</v>
      </c>
      <c r="K2" s="2" t="s">
        <v>94</v>
      </c>
      <c r="L2" s="2">
        <v>2.38</v>
      </c>
      <c r="M2" s="2">
        <v>0.19400000000000001</v>
      </c>
      <c r="N2" s="2">
        <v>125</v>
      </c>
      <c r="O2" s="2" t="s">
        <v>95</v>
      </c>
      <c r="P2" s="2"/>
    </row>
    <row r="3" spans="1:16" x14ac:dyDescent="0.35">
      <c r="A3" s="45">
        <v>45474</v>
      </c>
      <c r="B3" s="2" t="s">
        <v>127</v>
      </c>
      <c r="C3" s="2">
        <v>0</v>
      </c>
      <c r="D3" s="2" t="s">
        <v>108</v>
      </c>
      <c r="E3" s="2">
        <v>2</v>
      </c>
      <c r="F3" s="2" t="s">
        <v>125</v>
      </c>
      <c r="G3" s="2" t="s">
        <v>126</v>
      </c>
      <c r="H3" s="49" t="s">
        <v>93</v>
      </c>
      <c r="I3" s="2">
        <v>34</v>
      </c>
      <c r="J3" s="2">
        <v>1</v>
      </c>
      <c r="K3" s="2" t="s">
        <v>94</v>
      </c>
      <c r="L3" s="2">
        <v>2.08</v>
      </c>
      <c r="M3" s="2">
        <v>0.16400000000000001</v>
      </c>
      <c r="N3" s="2">
        <v>109</v>
      </c>
      <c r="O3" s="2" t="s">
        <v>95</v>
      </c>
      <c r="P3" s="2"/>
    </row>
    <row r="4" spans="1:16" x14ac:dyDescent="0.35">
      <c r="A4" s="45">
        <v>45485</v>
      </c>
      <c r="B4" s="2" t="s">
        <v>128</v>
      </c>
      <c r="C4" s="2">
        <v>0</v>
      </c>
      <c r="D4" s="2" t="s">
        <v>108</v>
      </c>
      <c r="E4" s="2">
        <v>1</v>
      </c>
      <c r="F4" s="2" t="s">
        <v>125</v>
      </c>
      <c r="G4" s="2" t="s">
        <v>126</v>
      </c>
      <c r="H4" s="49" t="s">
        <v>93</v>
      </c>
      <c r="I4" s="2">
        <v>35</v>
      </c>
      <c r="J4" s="2">
        <v>1</v>
      </c>
      <c r="K4" s="2" t="s">
        <v>94</v>
      </c>
      <c r="L4" s="2">
        <v>2.0699999999999998</v>
      </c>
      <c r="M4" s="2">
        <v>0.151</v>
      </c>
      <c r="N4" s="2">
        <v>108</v>
      </c>
      <c r="O4" s="2" t="s">
        <v>95</v>
      </c>
      <c r="P4" s="2"/>
    </row>
    <row r="5" spans="1:16" x14ac:dyDescent="0.35">
      <c r="A5" s="45">
        <v>45485</v>
      </c>
      <c r="B5" s="2" t="s">
        <v>129</v>
      </c>
      <c r="C5" s="2">
        <v>0</v>
      </c>
      <c r="D5" s="2" t="s">
        <v>108</v>
      </c>
      <c r="E5" s="2">
        <v>2</v>
      </c>
      <c r="F5" s="2" t="s">
        <v>125</v>
      </c>
      <c r="G5" s="2" t="s">
        <v>126</v>
      </c>
      <c r="H5" s="49" t="s">
        <v>93</v>
      </c>
      <c r="I5" s="2">
        <v>36</v>
      </c>
      <c r="J5" s="2">
        <v>1</v>
      </c>
      <c r="K5" s="2" t="s">
        <v>94</v>
      </c>
      <c r="L5" s="2">
        <v>2.2200000000000002</v>
      </c>
      <c r="M5" s="2">
        <v>0.159</v>
      </c>
      <c r="N5" s="2">
        <v>117</v>
      </c>
      <c r="O5" s="2" t="s">
        <v>95</v>
      </c>
      <c r="P5" s="2"/>
    </row>
    <row r="6" spans="1:16" x14ac:dyDescent="0.35">
      <c r="A6" s="45">
        <v>45485</v>
      </c>
      <c r="B6" s="2" t="s">
        <v>130</v>
      </c>
      <c r="C6" s="2">
        <v>0</v>
      </c>
      <c r="D6" s="2" t="s">
        <v>108</v>
      </c>
      <c r="E6" s="2">
        <v>1</v>
      </c>
      <c r="F6" s="2" t="s">
        <v>125</v>
      </c>
      <c r="G6" s="2" t="s">
        <v>126</v>
      </c>
      <c r="H6" s="49" t="s">
        <v>93</v>
      </c>
      <c r="I6" s="2">
        <v>37</v>
      </c>
      <c r="J6" s="2">
        <v>1</v>
      </c>
      <c r="K6" s="2" t="s">
        <v>94</v>
      </c>
      <c r="L6" s="2">
        <v>2.71</v>
      </c>
      <c r="M6" s="2">
        <v>0.2</v>
      </c>
      <c r="N6" s="2">
        <v>142</v>
      </c>
      <c r="O6" s="2" t="s">
        <v>95</v>
      </c>
      <c r="P6" s="2"/>
    </row>
    <row r="7" spans="1:16" x14ac:dyDescent="0.35">
      <c r="A7" s="45">
        <v>45485</v>
      </c>
      <c r="B7" s="2" t="s">
        <v>131</v>
      </c>
      <c r="C7" s="2">
        <v>0</v>
      </c>
      <c r="D7" s="2" t="s">
        <v>108</v>
      </c>
      <c r="E7" s="2">
        <v>2</v>
      </c>
      <c r="F7" s="2" t="s">
        <v>125</v>
      </c>
      <c r="G7" s="2" t="s">
        <v>126</v>
      </c>
      <c r="H7" s="49" t="s">
        <v>93</v>
      </c>
      <c r="I7" s="2">
        <v>38</v>
      </c>
      <c r="J7" s="2">
        <v>1</v>
      </c>
      <c r="K7" s="2" t="s">
        <v>94</v>
      </c>
      <c r="L7" s="2">
        <v>2.59</v>
      </c>
      <c r="M7" s="2">
        <v>0.191</v>
      </c>
      <c r="N7" s="2">
        <v>136</v>
      </c>
      <c r="O7" s="2" t="s">
        <v>95</v>
      </c>
      <c r="P7" s="2"/>
    </row>
    <row r="8" spans="1:16" x14ac:dyDescent="0.35">
      <c r="A8" s="45">
        <v>45485</v>
      </c>
      <c r="B8" s="2" t="s">
        <v>132</v>
      </c>
      <c r="C8" s="2">
        <v>0</v>
      </c>
      <c r="D8" s="2" t="s">
        <v>108</v>
      </c>
      <c r="E8" s="2">
        <v>1</v>
      </c>
      <c r="F8" s="2" t="s">
        <v>125</v>
      </c>
      <c r="G8" s="2" t="s">
        <v>126</v>
      </c>
      <c r="H8" s="49" t="s">
        <v>93</v>
      </c>
      <c r="I8" s="2">
        <v>39</v>
      </c>
      <c r="J8" s="2">
        <v>1</v>
      </c>
      <c r="K8" s="2" t="s">
        <v>94</v>
      </c>
      <c r="L8" s="2">
        <v>2.09</v>
      </c>
      <c r="M8" s="2">
        <v>0.14799999999999999</v>
      </c>
      <c r="N8" s="2">
        <v>109</v>
      </c>
      <c r="O8" s="2" t="s">
        <v>95</v>
      </c>
      <c r="P8" s="2"/>
    </row>
    <row r="9" spans="1:16" x14ac:dyDescent="0.35">
      <c r="A9" s="45">
        <v>45485</v>
      </c>
      <c r="B9" s="2" t="s">
        <v>133</v>
      </c>
      <c r="C9" s="2">
        <v>0</v>
      </c>
      <c r="D9" s="2" t="s">
        <v>108</v>
      </c>
      <c r="E9" s="2">
        <v>2</v>
      </c>
      <c r="F9" s="2" t="s">
        <v>125</v>
      </c>
      <c r="G9" s="2" t="s">
        <v>126</v>
      </c>
      <c r="H9" s="49" t="s">
        <v>93</v>
      </c>
      <c r="I9" s="2">
        <v>40</v>
      </c>
      <c r="J9" s="2">
        <v>1</v>
      </c>
      <c r="K9" s="2" t="s">
        <v>94</v>
      </c>
      <c r="L9" s="2">
        <v>2.06</v>
      </c>
      <c r="M9" s="2">
        <v>0.14799999999999999</v>
      </c>
      <c r="N9" s="2">
        <v>108</v>
      </c>
      <c r="O9" s="2" t="s">
        <v>95</v>
      </c>
      <c r="P9" s="2"/>
    </row>
    <row r="10" spans="1:16" x14ac:dyDescent="0.35">
      <c r="A10" s="45"/>
      <c r="B10" s="2"/>
      <c r="C10" s="2"/>
      <c r="D10" s="2"/>
      <c r="E10" s="2"/>
      <c r="F10" s="2"/>
      <c r="G10" s="2"/>
      <c r="H10" s="49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45"/>
      <c r="B11" s="2"/>
      <c r="C11" s="2"/>
      <c r="D11" s="2"/>
      <c r="E11" s="2"/>
      <c r="F11" s="2"/>
      <c r="G11" s="2"/>
      <c r="H11" s="49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45">
        <v>45485</v>
      </c>
      <c r="B12" s="2" t="s">
        <v>136</v>
      </c>
      <c r="C12" s="2">
        <v>0</v>
      </c>
      <c r="D12" s="2" t="s">
        <v>137</v>
      </c>
      <c r="E12" s="2">
        <v>1</v>
      </c>
      <c r="F12" s="2" t="s">
        <v>125</v>
      </c>
      <c r="G12" s="2" t="s">
        <v>126</v>
      </c>
      <c r="H12" s="49" t="s">
        <v>138</v>
      </c>
      <c r="I12" s="2">
        <v>73</v>
      </c>
      <c r="J12" s="2">
        <v>1</v>
      </c>
      <c r="K12" s="2" t="s">
        <v>94</v>
      </c>
      <c r="L12" s="2">
        <v>0.25</v>
      </c>
      <c r="M12" s="2">
        <v>2.0299999999999999E-2</v>
      </c>
      <c r="N12" s="2">
        <v>13.1</v>
      </c>
      <c r="O12" s="2" t="s">
        <v>95</v>
      </c>
      <c r="P12" s="2"/>
    </row>
    <row r="13" spans="1:16" x14ac:dyDescent="0.35">
      <c r="A13" s="45">
        <v>45474</v>
      </c>
      <c r="B13" s="2" t="s">
        <v>139</v>
      </c>
      <c r="C13" s="2">
        <v>0</v>
      </c>
      <c r="D13" s="2" t="s">
        <v>137</v>
      </c>
      <c r="E13" s="2">
        <v>2</v>
      </c>
      <c r="F13" s="2" t="s">
        <v>125</v>
      </c>
      <c r="G13" s="2" t="s">
        <v>126</v>
      </c>
      <c r="H13" s="49" t="s">
        <v>138</v>
      </c>
      <c r="I13" s="2">
        <v>74</v>
      </c>
      <c r="J13" s="2">
        <v>1</v>
      </c>
      <c r="K13" s="2" t="s">
        <v>94</v>
      </c>
      <c r="L13" s="2">
        <v>0.25600000000000001</v>
      </c>
      <c r="M13" s="2">
        <v>1.9800000000000002E-2</v>
      </c>
      <c r="N13" s="2">
        <v>13.4</v>
      </c>
      <c r="O13" s="2" t="s">
        <v>95</v>
      </c>
      <c r="P13" s="2"/>
    </row>
    <row r="14" spans="1:16" x14ac:dyDescent="0.35">
      <c r="A14" s="45">
        <v>45485</v>
      </c>
      <c r="B14" s="2" t="s">
        <v>140</v>
      </c>
      <c r="C14" s="2">
        <v>0</v>
      </c>
      <c r="D14" s="2" t="s">
        <v>137</v>
      </c>
      <c r="E14" s="2">
        <v>1</v>
      </c>
      <c r="F14" s="2" t="s">
        <v>125</v>
      </c>
      <c r="G14" s="2" t="s">
        <v>126</v>
      </c>
      <c r="H14" s="49" t="s">
        <v>138</v>
      </c>
      <c r="I14" s="2">
        <v>75</v>
      </c>
      <c r="J14" s="2">
        <v>1</v>
      </c>
      <c r="K14" s="2" t="s">
        <v>94</v>
      </c>
      <c r="L14" s="2">
        <v>0.28699999999999998</v>
      </c>
      <c r="M14" s="2">
        <v>2.2800000000000001E-2</v>
      </c>
      <c r="N14" s="2">
        <v>15</v>
      </c>
      <c r="O14" s="2" t="s">
        <v>95</v>
      </c>
      <c r="P14" s="2"/>
    </row>
    <row r="15" spans="1:16" x14ac:dyDescent="0.35">
      <c r="A15" s="45">
        <v>45485</v>
      </c>
      <c r="B15" s="2" t="s">
        <v>141</v>
      </c>
      <c r="C15" s="2">
        <v>0</v>
      </c>
      <c r="D15" s="2" t="s">
        <v>137</v>
      </c>
      <c r="E15" s="2">
        <v>2</v>
      </c>
      <c r="F15" s="2" t="s">
        <v>125</v>
      </c>
      <c r="G15" s="2" t="s">
        <v>126</v>
      </c>
      <c r="H15" s="49" t="s">
        <v>138</v>
      </c>
      <c r="I15" s="2">
        <v>76</v>
      </c>
      <c r="J15" s="2">
        <v>1</v>
      </c>
      <c r="K15" s="2" t="s">
        <v>94</v>
      </c>
      <c r="L15" s="2">
        <v>0.25900000000000001</v>
      </c>
      <c r="M15" s="2">
        <v>2.0400000000000001E-2</v>
      </c>
      <c r="N15" s="2">
        <v>13.5</v>
      </c>
      <c r="O15" s="2" t="s">
        <v>95</v>
      </c>
      <c r="P15" s="2"/>
    </row>
    <row r="16" spans="1:16" x14ac:dyDescent="0.35">
      <c r="A16" s="45">
        <v>45485</v>
      </c>
      <c r="B16" s="2" t="s">
        <v>142</v>
      </c>
      <c r="C16" s="2">
        <v>0</v>
      </c>
      <c r="D16" s="2" t="s">
        <v>137</v>
      </c>
      <c r="E16" s="2">
        <v>1</v>
      </c>
      <c r="F16" s="2" t="s">
        <v>125</v>
      </c>
      <c r="G16" s="2" t="s">
        <v>126</v>
      </c>
      <c r="H16" s="49" t="s">
        <v>138</v>
      </c>
      <c r="I16" s="2">
        <v>77</v>
      </c>
      <c r="J16" s="2">
        <v>1</v>
      </c>
      <c r="K16" s="2" t="s">
        <v>94</v>
      </c>
      <c r="L16" s="2">
        <v>0.26</v>
      </c>
      <c r="M16" s="2">
        <v>2.0899999999999998E-2</v>
      </c>
      <c r="N16" s="2">
        <v>13.6</v>
      </c>
      <c r="O16" s="2" t="s">
        <v>95</v>
      </c>
      <c r="P16" s="2"/>
    </row>
    <row r="17" spans="1:16" x14ac:dyDescent="0.35">
      <c r="A17" s="45">
        <v>45485</v>
      </c>
      <c r="B17" s="2" t="s">
        <v>143</v>
      </c>
      <c r="C17" s="2">
        <v>0</v>
      </c>
      <c r="D17" s="2" t="s">
        <v>137</v>
      </c>
      <c r="E17" s="2">
        <v>2</v>
      </c>
      <c r="F17" s="2" t="s">
        <v>125</v>
      </c>
      <c r="G17" s="2" t="s">
        <v>126</v>
      </c>
      <c r="H17" s="49" t="s">
        <v>138</v>
      </c>
      <c r="I17" s="2">
        <v>78</v>
      </c>
      <c r="J17" s="2">
        <v>1</v>
      </c>
      <c r="K17" s="2" t="s">
        <v>94</v>
      </c>
      <c r="L17" s="2">
        <v>0.27400000000000002</v>
      </c>
      <c r="M17" s="2">
        <v>2.2200000000000001E-2</v>
      </c>
      <c r="N17" s="2">
        <v>14.3</v>
      </c>
      <c r="O17" s="2" t="s">
        <v>95</v>
      </c>
      <c r="P17" s="2"/>
    </row>
    <row r="18" spans="1:16" x14ac:dyDescent="0.35">
      <c r="A18" s="45">
        <v>45485</v>
      </c>
      <c r="B18" s="2" t="s">
        <v>144</v>
      </c>
      <c r="C18" s="2">
        <v>0</v>
      </c>
      <c r="D18" s="2" t="s">
        <v>137</v>
      </c>
      <c r="E18" s="2">
        <v>1</v>
      </c>
      <c r="F18" s="2" t="s">
        <v>125</v>
      </c>
      <c r="G18" s="2" t="s">
        <v>126</v>
      </c>
      <c r="H18" s="49" t="s">
        <v>138</v>
      </c>
      <c r="I18" s="2">
        <v>79</v>
      </c>
      <c r="J18" s="2">
        <v>1</v>
      </c>
      <c r="K18" s="2" t="s">
        <v>94</v>
      </c>
      <c r="L18" s="2">
        <v>0.34200000000000003</v>
      </c>
      <c r="M18" s="2">
        <v>2.7099999999999999E-2</v>
      </c>
      <c r="N18" s="2">
        <v>17.899999999999999</v>
      </c>
      <c r="O18" s="2" t="s">
        <v>95</v>
      </c>
      <c r="P18" s="2"/>
    </row>
    <row r="19" spans="1:16" x14ac:dyDescent="0.35">
      <c r="A19" s="45">
        <v>45485</v>
      </c>
      <c r="B19" s="2" t="s">
        <v>145</v>
      </c>
      <c r="C19" s="2">
        <v>0</v>
      </c>
      <c r="D19" s="2" t="s">
        <v>137</v>
      </c>
      <c r="E19" s="2">
        <v>2</v>
      </c>
      <c r="F19" s="2" t="s">
        <v>125</v>
      </c>
      <c r="G19" s="2" t="s">
        <v>126</v>
      </c>
      <c r="H19" s="49" t="s">
        <v>138</v>
      </c>
      <c r="I19" s="2">
        <v>80</v>
      </c>
      <c r="J19" s="2">
        <v>1</v>
      </c>
      <c r="K19" s="2" t="s">
        <v>94</v>
      </c>
      <c r="L19" s="2">
        <v>0.33500000000000002</v>
      </c>
      <c r="M19" s="2">
        <v>2.69E-2</v>
      </c>
      <c r="N19" s="2">
        <v>17.5</v>
      </c>
      <c r="O19" s="2" t="s">
        <v>95</v>
      </c>
      <c r="P19" s="2"/>
    </row>
    <row r="20" spans="1:16" x14ac:dyDescent="0.35">
      <c r="H20" s="24"/>
    </row>
    <row r="21" spans="1:16" x14ac:dyDescent="0.35">
      <c r="H21" s="24"/>
    </row>
    <row r="22" spans="1:16" x14ac:dyDescent="0.35">
      <c r="H22" s="24"/>
    </row>
    <row r="23" spans="1:16" x14ac:dyDescent="0.35">
      <c r="A23" s="45">
        <v>45485</v>
      </c>
      <c r="B23" s="2" t="s">
        <v>124</v>
      </c>
      <c r="C23" s="2">
        <v>0</v>
      </c>
      <c r="D23" s="2" t="s">
        <v>108</v>
      </c>
      <c r="E23" s="2">
        <v>1</v>
      </c>
      <c r="F23" s="2" t="s">
        <v>125</v>
      </c>
      <c r="G23" s="2" t="s">
        <v>126</v>
      </c>
      <c r="H23" s="49" t="s">
        <v>148</v>
      </c>
      <c r="I23" s="2">
        <v>33</v>
      </c>
      <c r="J23" s="2">
        <v>1</v>
      </c>
      <c r="K23" s="2" t="s">
        <v>149</v>
      </c>
      <c r="L23" s="2">
        <v>1.41</v>
      </c>
      <c r="M23" s="2">
        <v>0.184</v>
      </c>
      <c r="N23" s="2">
        <v>251</v>
      </c>
      <c r="O23" s="2" t="s">
        <v>150</v>
      </c>
      <c r="P23" s="2"/>
    </row>
    <row r="24" spans="1:16" x14ac:dyDescent="0.35">
      <c r="A24" s="45">
        <v>45474</v>
      </c>
      <c r="B24" s="2" t="s">
        <v>127</v>
      </c>
      <c r="C24" s="2">
        <v>0</v>
      </c>
      <c r="D24" s="2" t="s">
        <v>108</v>
      </c>
      <c r="E24" s="2">
        <v>2</v>
      </c>
      <c r="F24" s="2" t="s">
        <v>125</v>
      </c>
      <c r="G24" s="2" t="s">
        <v>126</v>
      </c>
      <c r="H24" s="49" t="s">
        <v>148</v>
      </c>
      <c r="I24" s="2">
        <v>34</v>
      </c>
      <c r="J24" s="2">
        <v>1</v>
      </c>
      <c r="K24" s="2" t="s">
        <v>149</v>
      </c>
      <c r="L24" s="2">
        <v>1.35</v>
      </c>
      <c r="M24" s="2">
        <v>0.17</v>
      </c>
      <c r="N24" s="2">
        <v>239</v>
      </c>
      <c r="O24" s="2" t="s">
        <v>150</v>
      </c>
      <c r="P24" s="2"/>
    </row>
    <row r="25" spans="1:16" x14ac:dyDescent="0.35">
      <c r="A25" s="45">
        <v>45485</v>
      </c>
      <c r="B25" s="2" t="s">
        <v>128</v>
      </c>
      <c r="C25" s="2">
        <v>0</v>
      </c>
      <c r="D25" s="2" t="s">
        <v>108</v>
      </c>
      <c r="E25" s="2">
        <v>1</v>
      </c>
      <c r="F25" s="2" t="s">
        <v>125</v>
      </c>
      <c r="G25" s="2" t="s">
        <v>126</v>
      </c>
      <c r="H25" s="49" t="s">
        <v>148</v>
      </c>
      <c r="I25" s="2">
        <v>35</v>
      </c>
      <c r="J25" s="2">
        <v>1</v>
      </c>
      <c r="K25" s="2" t="s">
        <v>149</v>
      </c>
      <c r="L25" s="2">
        <v>1.4</v>
      </c>
      <c r="M25" s="2">
        <v>0.161</v>
      </c>
      <c r="N25" s="2">
        <v>248</v>
      </c>
      <c r="O25" s="2" t="s">
        <v>150</v>
      </c>
      <c r="P25" s="2"/>
    </row>
    <row r="26" spans="1:16" x14ac:dyDescent="0.35">
      <c r="A26" s="45">
        <v>45485</v>
      </c>
      <c r="B26" s="2" t="s">
        <v>129</v>
      </c>
      <c r="C26" s="2">
        <v>0</v>
      </c>
      <c r="D26" s="2" t="s">
        <v>108</v>
      </c>
      <c r="E26" s="2">
        <v>2</v>
      </c>
      <c r="F26" s="2" t="s">
        <v>125</v>
      </c>
      <c r="G26" s="2" t="s">
        <v>126</v>
      </c>
      <c r="H26" s="49" t="s">
        <v>148</v>
      </c>
      <c r="I26" s="2">
        <v>36</v>
      </c>
      <c r="J26" s="2">
        <v>1</v>
      </c>
      <c r="K26" s="2" t="s">
        <v>149</v>
      </c>
      <c r="L26" s="2">
        <v>1.43</v>
      </c>
      <c r="M26" s="2">
        <v>0.17100000000000001</v>
      </c>
      <c r="N26" s="2">
        <v>254</v>
      </c>
      <c r="O26" s="2" t="s">
        <v>150</v>
      </c>
      <c r="P26" s="2"/>
    </row>
    <row r="27" spans="1:16" x14ac:dyDescent="0.35">
      <c r="A27" s="45">
        <v>45485</v>
      </c>
      <c r="B27" s="2" t="s">
        <v>130</v>
      </c>
      <c r="C27" s="2">
        <v>0</v>
      </c>
      <c r="D27" s="2" t="s">
        <v>108</v>
      </c>
      <c r="E27" s="2">
        <v>1</v>
      </c>
      <c r="F27" s="2" t="s">
        <v>125</v>
      </c>
      <c r="G27" s="2" t="s">
        <v>126</v>
      </c>
      <c r="H27" s="49" t="s">
        <v>148</v>
      </c>
      <c r="I27" s="2">
        <v>37</v>
      </c>
      <c r="J27" s="2">
        <v>1</v>
      </c>
      <c r="K27" s="2" t="s">
        <v>149</v>
      </c>
      <c r="L27" s="2">
        <v>1.99</v>
      </c>
      <c r="M27" s="2">
        <v>0.214</v>
      </c>
      <c r="N27" s="2">
        <v>354</v>
      </c>
      <c r="O27" s="2" t="s">
        <v>150</v>
      </c>
      <c r="P27" s="2"/>
    </row>
    <row r="28" spans="1:16" x14ac:dyDescent="0.35">
      <c r="A28" s="45">
        <v>45485</v>
      </c>
      <c r="B28" s="2" t="s">
        <v>131</v>
      </c>
      <c r="C28" s="2">
        <v>0</v>
      </c>
      <c r="D28" s="2" t="s">
        <v>108</v>
      </c>
      <c r="E28" s="2">
        <v>2</v>
      </c>
      <c r="F28" s="2" t="s">
        <v>125</v>
      </c>
      <c r="G28" s="2" t="s">
        <v>126</v>
      </c>
      <c r="H28" s="49" t="s">
        <v>148</v>
      </c>
      <c r="I28" s="2">
        <v>38</v>
      </c>
      <c r="J28" s="2">
        <v>1</v>
      </c>
      <c r="K28" s="2" t="s">
        <v>149</v>
      </c>
      <c r="L28" s="2">
        <v>1.97</v>
      </c>
      <c r="M28" s="2">
        <v>0.21099999999999999</v>
      </c>
      <c r="N28" s="2">
        <v>350</v>
      </c>
      <c r="O28" s="2" t="s">
        <v>150</v>
      </c>
      <c r="P28" s="2"/>
    </row>
    <row r="29" spans="1:16" x14ac:dyDescent="0.35">
      <c r="A29" s="45">
        <v>45485</v>
      </c>
      <c r="B29" s="2" t="s">
        <v>132</v>
      </c>
      <c r="C29" s="2">
        <v>0</v>
      </c>
      <c r="D29" s="2" t="s">
        <v>108</v>
      </c>
      <c r="E29" s="2">
        <v>1</v>
      </c>
      <c r="F29" s="2" t="s">
        <v>125</v>
      </c>
      <c r="G29" s="2" t="s">
        <v>126</v>
      </c>
      <c r="H29" s="49" t="s">
        <v>148</v>
      </c>
      <c r="I29" s="2">
        <v>39</v>
      </c>
      <c r="J29" s="2">
        <v>1</v>
      </c>
      <c r="K29" s="2" t="s">
        <v>149</v>
      </c>
      <c r="L29" s="2">
        <v>1.19</v>
      </c>
      <c r="M29" s="2">
        <v>0.13500000000000001</v>
      </c>
      <c r="N29" s="2">
        <v>212</v>
      </c>
      <c r="O29" s="2" t="s">
        <v>150</v>
      </c>
      <c r="P29" s="2"/>
    </row>
    <row r="30" spans="1:16" x14ac:dyDescent="0.35">
      <c r="A30" s="45">
        <v>45485</v>
      </c>
      <c r="B30" s="2" t="s">
        <v>133</v>
      </c>
      <c r="C30" s="2">
        <v>0</v>
      </c>
      <c r="D30" s="2" t="s">
        <v>108</v>
      </c>
      <c r="E30" s="2">
        <v>2</v>
      </c>
      <c r="F30" s="2" t="s">
        <v>125</v>
      </c>
      <c r="G30" s="2" t="s">
        <v>126</v>
      </c>
      <c r="H30" s="49" t="s">
        <v>148</v>
      </c>
      <c r="I30" s="2">
        <v>40</v>
      </c>
      <c r="J30" s="2">
        <v>1</v>
      </c>
      <c r="K30" s="2" t="s">
        <v>149</v>
      </c>
      <c r="L30" s="2">
        <v>1.17</v>
      </c>
      <c r="M30" s="2">
        <v>0.13400000000000001</v>
      </c>
      <c r="N30" s="2">
        <v>208</v>
      </c>
      <c r="O30" s="2" t="s">
        <v>150</v>
      </c>
      <c r="P30" s="2"/>
    </row>
    <row r="31" spans="1:16" x14ac:dyDescent="0.35">
      <c r="H31" s="24"/>
    </row>
    <row r="32" spans="1:16" x14ac:dyDescent="0.35">
      <c r="H32" s="24"/>
    </row>
    <row r="33" spans="1:16" x14ac:dyDescent="0.35">
      <c r="A33" s="45">
        <v>45485</v>
      </c>
      <c r="B33" s="2" t="s">
        <v>136</v>
      </c>
      <c r="C33" s="2">
        <v>0</v>
      </c>
      <c r="D33" s="2" t="s">
        <v>137</v>
      </c>
      <c r="E33" s="2">
        <v>1</v>
      </c>
      <c r="F33" s="2" t="s">
        <v>125</v>
      </c>
      <c r="G33" s="2" t="s">
        <v>126</v>
      </c>
      <c r="H33" s="49" t="s">
        <v>162</v>
      </c>
      <c r="I33" s="2">
        <v>73</v>
      </c>
      <c r="J33" s="2">
        <v>1</v>
      </c>
      <c r="K33" s="2" t="s">
        <v>149</v>
      </c>
      <c r="L33" s="2">
        <v>2.76E-2</v>
      </c>
      <c r="M33" s="2">
        <v>1.9499999999999999E-3</v>
      </c>
      <c r="N33" s="2">
        <v>4.9000000000000004</v>
      </c>
      <c r="O33" s="2" t="s">
        <v>150</v>
      </c>
      <c r="P33" s="2"/>
    </row>
    <row r="34" spans="1:16" x14ac:dyDescent="0.35">
      <c r="A34" s="45">
        <v>45474</v>
      </c>
      <c r="B34" s="2" t="s">
        <v>139</v>
      </c>
      <c r="C34" s="2">
        <v>0</v>
      </c>
      <c r="D34" s="2" t="s">
        <v>137</v>
      </c>
      <c r="E34" s="2">
        <v>2</v>
      </c>
      <c r="F34" s="2" t="s">
        <v>125</v>
      </c>
      <c r="G34" s="2" t="s">
        <v>126</v>
      </c>
      <c r="H34" s="49" t="s">
        <v>162</v>
      </c>
      <c r="I34" s="2">
        <v>74</v>
      </c>
      <c r="J34" s="2">
        <v>1</v>
      </c>
      <c r="K34" s="2" t="s">
        <v>149</v>
      </c>
      <c r="L34" s="2">
        <v>2.3E-2</v>
      </c>
      <c r="M34" s="2">
        <v>1.48E-3</v>
      </c>
      <c r="N34" s="2">
        <v>4.09</v>
      </c>
      <c r="O34" s="2" t="s">
        <v>150</v>
      </c>
      <c r="P34" s="2"/>
    </row>
    <row r="35" spans="1:16" x14ac:dyDescent="0.35">
      <c r="A35" s="45">
        <v>45485</v>
      </c>
      <c r="B35" s="2" t="s">
        <v>140</v>
      </c>
      <c r="C35" s="2">
        <v>0</v>
      </c>
      <c r="D35" s="2" t="s">
        <v>137</v>
      </c>
      <c r="E35" s="2">
        <v>1</v>
      </c>
      <c r="F35" s="2" t="s">
        <v>125</v>
      </c>
      <c r="G35" s="2" t="s">
        <v>126</v>
      </c>
      <c r="H35" s="49" t="s">
        <v>162</v>
      </c>
      <c r="I35" s="2">
        <v>75</v>
      </c>
      <c r="J35" s="2">
        <v>1</v>
      </c>
      <c r="K35" s="2" t="s">
        <v>149</v>
      </c>
      <c r="L35" s="2">
        <v>2.0899999999999998E-2</v>
      </c>
      <c r="M35" s="2">
        <v>1.6199999999999999E-3</v>
      </c>
      <c r="N35" s="2">
        <v>3.72</v>
      </c>
      <c r="O35" s="2" t="s">
        <v>150</v>
      </c>
      <c r="P35" s="2"/>
    </row>
    <row r="36" spans="1:16" x14ac:dyDescent="0.35">
      <c r="A36" s="45">
        <v>45485</v>
      </c>
      <c r="B36" s="2" t="s">
        <v>141</v>
      </c>
      <c r="C36" s="2">
        <v>0</v>
      </c>
      <c r="D36" s="2" t="s">
        <v>137</v>
      </c>
      <c r="E36" s="2">
        <v>2</v>
      </c>
      <c r="F36" s="2" t="s">
        <v>125</v>
      </c>
      <c r="G36" s="2" t="s">
        <v>126</v>
      </c>
      <c r="H36" s="49" t="s">
        <v>162</v>
      </c>
      <c r="I36" s="2">
        <v>76</v>
      </c>
      <c r="J36" s="2">
        <v>1</v>
      </c>
      <c r="K36" s="2" t="s">
        <v>149</v>
      </c>
      <c r="L36" s="2">
        <v>2.4E-2</v>
      </c>
      <c r="M36" s="2">
        <v>1.4499999999999999E-3</v>
      </c>
      <c r="N36" s="2">
        <v>4.26</v>
      </c>
      <c r="O36" s="2" t="s">
        <v>150</v>
      </c>
      <c r="P36" s="2"/>
    </row>
    <row r="37" spans="1:16" x14ac:dyDescent="0.35">
      <c r="A37" s="45">
        <v>45485</v>
      </c>
      <c r="B37" s="2" t="s">
        <v>142</v>
      </c>
      <c r="C37" s="2">
        <v>0</v>
      </c>
      <c r="D37" s="2" t="s">
        <v>137</v>
      </c>
      <c r="E37" s="2">
        <v>1</v>
      </c>
      <c r="F37" s="2" t="s">
        <v>125</v>
      </c>
      <c r="G37" s="2" t="s">
        <v>126</v>
      </c>
      <c r="H37" s="49" t="s">
        <v>162</v>
      </c>
      <c r="I37" s="2">
        <v>77</v>
      </c>
      <c r="J37" s="2">
        <v>1</v>
      </c>
      <c r="K37" s="2" t="s">
        <v>149</v>
      </c>
      <c r="L37" s="2">
        <v>2.6499999999999999E-2</v>
      </c>
      <c r="M37" s="2">
        <v>1.83E-3</v>
      </c>
      <c r="N37" s="2">
        <v>4.71</v>
      </c>
      <c r="O37" s="2" t="s">
        <v>150</v>
      </c>
      <c r="P37" s="2"/>
    </row>
    <row r="38" spans="1:16" x14ac:dyDescent="0.35">
      <c r="A38" s="45">
        <v>45485</v>
      </c>
      <c r="B38" s="2" t="s">
        <v>143</v>
      </c>
      <c r="C38" s="2">
        <v>0</v>
      </c>
      <c r="D38" s="2" t="s">
        <v>137</v>
      </c>
      <c r="E38" s="2">
        <v>2</v>
      </c>
      <c r="F38" s="2" t="s">
        <v>125</v>
      </c>
      <c r="G38" s="2" t="s">
        <v>126</v>
      </c>
      <c r="H38" s="49" t="s">
        <v>162</v>
      </c>
      <c r="I38" s="2">
        <v>78</v>
      </c>
      <c r="J38" s="2">
        <v>1</v>
      </c>
      <c r="K38" s="2" t="s">
        <v>149</v>
      </c>
      <c r="L38" s="2">
        <v>2.8500000000000001E-2</v>
      </c>
      <c r="M38" s="2">
        <v>2.0600000000000002E-3</v>
      </c>
      <c r="N38" s="2">
        <v>5.07</v>
      </c>
      <c r="O38" s="2" t="s">
        <v>150</v>
      </c>
      <c r="P38" s="2"/>
    </row>
    <row r="39" spans="1:16" x14ac:dyDescent="0.35">
      <c r="A39" s="45">
        <v>45485</v>
      </c>
      <c r="B39" s="2" t="s">
        <v>144</v>
      </c>
      <c r="C39" s="2">
        <v>0</v>
      </c>
      <c r="D39" s="2" t="s">
        <v>137</v>
      </c>
      <c r="E39" s="2">
        <v>1</v>
      </c>
      <c r="F39" s="2" t="s">
        <v>125</v>
      </c>
      <c r="G39" s="2" t="s">
        <v>126</v>
      </c>
      <c r="H39" s="49" t="s">
        <v>162</v>
      </c>
      <c r="I39" s="2">
        <v>79</v>
      </c>
      <c r="J39" s="2">
        <v>1</v>
      </c>
      <c r="K39" s="2" t="s">
        <v>149</v>
      </c>
      <c r="L39" s="2">
        <v>2.7400000000000001E-2</v>
      </c>
      <c r="M39" s="2">
        <v>1.4499999999999999E-3</v>
      </c>
      <c r="N39" s="2">
        <v>4.87</v>
      </c>
      <c r="O39" s="2" t="s">
        <v>150</v>
      </c>
      <c r="P39" s="2"/>
    </row>
    <row r="40" spans="1:16" x14ac:dyDescent="0.35">
      <c r="A40" s="45">
        <v>45485</v>
      </c>
      <c r="B40" s="2" t="s">
        <v>145</v>
      </c>
      <c r="C40" s="2">
        <v>0</v>
      </c>
      <c r="D40" s="2" t="s">
        <v>137</v>
      </c>
      <c r="E40" s="2">
        <v>2</v>
      </c>
      <c r="F40" s="2" t="s">
        <v>125</v>
      </c>
      <c r="G40" s="2" t="s">
        <v>126</v>
      </c>
      <c r="H40" s="49" t="s">
        <v>162</v>
      </c>
      <c r="I40" s="2">
        <v>80</v>
      </c>
      <c r="J40" s="2">
        <v>1</v>
      </c>
      <c r="K40" s="2" t="s">
        <v>149</v>
      </c>
      <c r="L40" s="2">
        <v>2.3099999999999999E-2</v>
      </c>
      <c r="M40" s="2">
        <v>1.2999999999999999E-3</v>
      </c>
      <c r="N40" s="2">
        <v>4.0999999999999996</v>
      </c>
      <c r="O40" s="2" t="s">
        <v>150</v>
      </c>
      <c r="P40" s="2"/>
    </row>
    <row r="41" spans="1:16" x14ac:dyDescent="0.35">
      <c r="H41" s="24"/>
    </row>
    <row r="42" spans="1:16" x14ac:dyDescent="0.35">
      <c r="H42" s="24"/>
    </row>
    <row r="43" spans="1:16" x14ac:dyDescent="0.35">
      <c r="A43" s="45">
        <v>45485</v>
      </c>
      <c r="B43" s="2" t="s">
        <v>124</v>
      </c>
      <c r="C43" s="2">
        <v>0</v>
      </c>
      <c r="D43" s="2" t="s">
        <v>108</v>
      </c>
      <c r="E43" s="2">
        <v>1</v>
      </c>
      <c r="F43" s="2" t="s">
        <v>125</v>
      </c>
      <c r="G43" s="2" t="s">
        <v>126</v>
      </c>
      <c r="H43" s="49" t="s">
        <v>163</v>
      </c>
      <c r="I43" s="2">
        <v>33</v>
      </c>
      <c r="J43" s="2">
        <v>1</v>
      </c>
      <c r="K43" s="2" t="s">
        <v>164</v>
      </c>
      <c r="L43" s="2">
        <v>0.41899999999999998</v>
      </c>
      <c r="M43" s="2">
        <v>2.35E-2</v>
      </c>
      <c r="N43" s="2">
        <v>50.1</v>
      </c>
      <c r="O43" s="2" t="s">
        <v>95</v>
      </c>
      <c r="P43" s="2"/>
    </row>
    <row r="44" spans="1:16" x14ac:dyDescent="0.35">
      <c r="A44" s="45">
        <v>45474</v>
      </c>
      <c r="B44" s="2" t="s">
        <v>127</v>
      </c>
      <c r="C44" s="2">
        <v>0</v>
      </c>
      <c r="D44" s="2" t="s">
        <v>108</v>
      </c>
      <c r="E44" s="2">
        <v>2</v>
      </c>
      <c r="F44" s="2" t="s">
        <v>125</v>
      </c>
      <c r="G44" s="2" t="s">
        <v>126</v>
      </c>
      <c r="H44" s="49" t="s">
        <v>163</v>
      </c>
      <c r="I44" s="2">
        <v>34</v>
      </c>
      <c r="J44" s="2">
        <v>1</v>
      </c>
      <c r="K44" s="2" t="s">
        <v>164</v>
      </c>
      <c r="L44" s="2">
        <v>0.41599999999999998</v>
      </c>
      <c r="M44" s="2">
        <v>2.3400000000000001E-2</v>
      </c>
      <c r="N44" s="2">
        <v>49.8</v>
      </c>
      <c r="O44" s="2" t="s">
        <v>95</v>
      </c>
      <c r="P44" s="2"/>
    </row>
    <row r="45" spans="1:16" x14ac:dyDescent="0.35">
      <c r="A45" s="45">
        <v>45485</v>
      </c>
      <c r="B45" s="2" t="s">
        <v>128</v>
      </c>
      <c r="C45" s="2">
        <v>0</v>
      </c>
      <c r="D45" s="2" t="s">
        <v>108</v>
      </c>
      <c r="E45" s="2">
        <v>1</v>
      </c>
      <c r="F45" s="2" t="s">
        <v>125</v>
      </c>
      <c r="G45" s="2" t="s">
        <v>126</v>
      </c>
      <c r="H45" s="49" t="s">
        <v>163</v>
      </c>
      <c r="I45" s="2">
        <v>35</v>
      </c>
      <c r="J45" s="2">
        <v>1</v>
      </c>
      <c r="K45" s="2" t="s">
        <v>164</v>
      </c>
      <c r="L45" s="2">
        <v>0.19800000000000001</v>
      </c>
      <c r="M45" s="2">
        <v>1.0699999999999999E-2</v>
      </c>
      <c r="N45" s="2">
        <v>24.6</v>
      </c>
      <c r="O45" s="2" t="s">
        <v>95</v>
      </c>
      <c r="P45" s="2"/>
    </row>
    <row r="46" spans="1:16" x14ac:dyDescent="0.35">
      <c r="A46" s="45">
        <v>45485</v>
      </c>
      <c r="B46" s="2" t="s">
        <v>129</v>
      </c>
      <c r="C46" s="2">
        <v>0</v>
      </c>
      <c r="D46" s="2" t="s">
        <v>108</v>
      </c>
      <c r="E46" s="2">
        <v>2</v>
      </c>
      <c r="F46" s="2" t="s">
        <v>125</v>
      </c>
      <c r="G46" s="2" t="s">
        <v>126</v>
      </c>
      <c r="H46" s="49" t="s">
        <v>163</v>
      </c>
      <c r="I46" s="2">
        <v>36</v>
      </c>
      <c r="J46" s="2">
        <v>1</v>
      </c>
      <c r="K46" s="2" t="s">
        <v>164</v>
      </c>
      <c r="L46" s="2">
        <v>0.255</v>
      </c>
      <c r="M46" s="2">
        <v>1.35E-2</v>
      </c>
      <c r="N46" s="2">
        <v>31.1</v>
      </c>
      <c r="O46" s="2" t="s">
        <v>95</v>
      </c>
      <c r="P46" s="2"/>
    </row>
    <row r="47" spans="1:16" x14ac:dyDescent="0.35">
      <c r="A47" s="45">
        <v>45485</v>
      </c>
      <c r="B47" s="2" t="s">
        <v>130</v>
      </c>
      <c r="C47" s="2">
        <v>0</v>
      </c>
      <c r="D47" s="2" t="s">
        <v>108</v>
      </c>
      <c r="E47" s="2">
        <v>1</v>
      </c>
      <c r="F47" s="2" t="s">
        <v>125</v>
      </c>
      <c r="G47" s="2" t="s">
        <v>126</v>
      </c>
      <c r="H47" s="49" t="s">
        <v>163</v>
      </c>
      <c r="I47" s="2">
        <v>37</v>
      </c>
      <c r="J47" s="2">
        <v>1</v>
      </c>
      <c r="K47" s="2" t="s">
        <v>164</v>
      </c>
      <c r="L47" s="2">
        <v>0.20699999999999999</v>
      </c>
      <c r="M47" s="2">
        <v>1.15E-2</v>
      </c>
      <c r="N47" s="2">
        <v>25.7</v>
      </c>
      <c r="O47" s="2" t="s">
        <v>95</v>
      </c>
      <c r="P47" s="2"/>
    </row>
    <row r="48" spans="1:16" x14ac:dyDescent="0.35">
      <c r="A48" s="45">
        <v>45485</v>
      </c>
      <c r="B48" s="2" t="s">
        <v>131</v>
      </c>
      <c r="C48" s="2">
        <v>0</v>
      </c>
      <c r="D48" s="2" t="s">
        <v>108</v>
      </c>
      <c r="E48" s="2">
        <v>2</v>
      </c>
      <c r="F48" s="2" t="s">
        <v>125</v>
      </c>
      <c r="G48" s="2" t="s">
        <v>126</v>
      </c>
      <c r="H48" s="49" t="s">
        <v>163</v>
      </c>
      <c r="I48" s="2">
        <v>38</v>
      </c>
      <c r="J48" s="2">
        <v>1</v>
      </c>
      <c r="K48" s="2" t="s">
        <v>164</v>
      </c>
      <c r="L48" s="2">
        <v>0.222</v>
      </c>
      <c r="M48" s="2">
        <v>1.1900000000000001E-2</v>
      </c>
      <c r="N48" s="2">
        <v>27.4</v>
      </c>
      <c r="O48" s="2" t="s">
        <v>95</v>
      </c>
      <c r="P48" s="2"/>
    </row>
    <row r="49" spans="1:16" x14ac:dyDescent="0.35">
      <c r="A49" s="45">
        <v>45485</v>
      </c>
      <c r="B49" s="2" t="s">
        <v>132</v>
      </c>
      <c r="C49" s="2">
        <v>0</v>
      </c>
      <c r="D49" s="2" t="s">
        <v>108</v>
      </c>
      <c r="E49" s="2">
        <v>1</v>
      </c>
      <c r="F49" s="2" t="s">
        <v>125</v>
      </c>
      <c r="G49" s="2" t="s">
        <v>126</v>
      </c>
      <c r="H49" s="49" t="s">
        <v>163</v>
      </c>
      <c r="I49" s="2">
        <v>39</v>
      </c>
      <c r="J49" s="2">
        <v>1</v>
      </c>
      <c r="K49" s="2" t="s">
        <v>164</v>
      </c>
      <c r="L49" s="2">
        <v>0.35099999999999998</v>
      </c>
      <c r="M49" s="2">
        <v>1.9300000000000001E-2</v>
      </c>
      <c r="N49" s="2">
        <v>42.3</v>
      </c>
      <c r="O49" s="2" t="s">
        <v>95</v>
      </c>
      <c r="P49" s="2"/>
    </row>
    <row r="50" spans="1:16" x14ac:dyDescent="0.35">
      <c r="A50" s="45">
        <v>45485</v>
      </c>
      <c r="B50" s="2" t="s">
        <v>133</v>
      </c>
      <c r="C50" s="2">
        <v>0</v>
      </c>
      <c r="D50" s="2" t="s">
        <v>108</v>
      </c>
      <c r="E50" s="2">
        <v>2</v>
      </c>
      <c r="F50" s="2" t="s">
        <v>125</v>
      </c>
      <c r="G50" s="2" t="s">
        <v>126</v>
      </c>
      <c r="H50" s="49" t="s">
        <v>163</v>
      </c>
      <c r="I50" s="2">
        <v>40</v>
      </c>
      <c r="J50" s="2">
        <v>1</v>
      </c>
      <c r="K50" s="2" t="s">
        <v>164</v>
      </c>
      <c r="L50" s="2">
        <v>0.35299999999999998</v>
      </c>
      <c r="M50" s="2">
        <v>1.9900000000000001E-2</v>
      </c>
      <c r="N50" s="2">
        <v>42.5</v>
      </c>
      <c r="O50" s="2" t="s">
        <v>95</v>
      </c>
      <c r="P50" s="2"/>
    </row>
    <row r="51" spans="1:16" x14ac:dyDescent="0.35">
      <c r="A51" s="45"/>
      <c r="B51" s="2"/>
      <c r="C51" s="2"/>
      <c r="D51" s="2"/>
      <c r="E51" s="2"/>
      <c r="F51" s="2"/>
      <c r="G51" s="2"/>
      <c r="H51" s="49"/>
      <c r="I51" s="2"/>
      <c r="J51" s="2"/>
      <c r="K51" s="2"/>
      <c r="L51" s="2"/>
      <c r="M51" s="2"/>
      <c r="N51" s="2"/>
      <c r="O51" s="2"/>
      <c r="P51" s="2"/>
    </row>
    <row r="52" spans="1:16" x14ac:dyDescent="0.35">
      <c r="A52" s="45"/>
      <c r="B52" s="2"/>
      <c r="C52" s="2"/>
      <c r="D52" s="2"/>
      <c r="E52" s="2"/>
      <c r="F52" s="2"/>
      <c r="G52" s="2"/>
      <c r="H52" s="49"/>
      <c r="I52" s="2"/>
      <c r="J52" s="2"/>
      <c r="K52" s="2"/>
      <c r="L52" s="2"/>
      <c r="M52" s="2"/>
      <c r="N52" s="2"/>
      <c r="O52" s="2"/>
      <c r="P52" s="2"/>
    </row>
    <row r="53" spans="1:16" x14ac:dyDescent="0.35">
      <c r="A53" s="45">
        <v>45485</v>
      </c>
      <c r="B53" s="2" t="s">
        <v>136</v>
      </c>
      <c r="C53" s="2">
        <v>0</v>
      </c>
      <c r="D53" s="2" t="s">
        <v>137</v>
      </c>
      <c r="E53" s="2">
        <v>1</v>
      </c>
      <c r="F53" s="2" t="s">
        <v>125</v>
      </c>
      <c r="G53" s="2" t="s">
        <v>126</v>
      </c>
      <c r="H53" s="49" t="s">
        <v>173</v>
      </c>
      <c r="I53" s="2">
        <v>73</v>
      </c>
      <c r="J53" s="2">
        <v>1</v>
      </c>
      <c r="K53" s="2" t="s">
        <v>164</v>
      </c>
      <c r="L53" s="2">
        <v>3.3399999999999999E-2</v>
      </c>
      <c r="M53" s="2">
        <v>1.6000000000000001E-3</v>
      </c>
      <c r="N53" s="2">
        <v>5.6</v>
      </c>
      <c r="O53" s="2" t="s">
        <v>95</v>
      </c>
      <c r="P53" s="2"/>
    </row>
    <row r="54" spans="1:16" x14ac:dyDescent="0.35">
      <c r="A54" s="45">
        <v>45474</v>
      </c>
      <c r="B54" s="2" t="s">
        <v>139</v>
      </c>
      <c r="C54" s="2">
        <v>0</v>
      </c>
      <c r="D54" s="2" t="s">
        <v>137</v>
      </c>
      <c r="E54" s="2">
        <v>2</v>
      </c>
      <c r="F54" s="2" t="s">
        <v>125</v>
      </c>
      <c r="G54" s="2" t="s">
        <v>126</v>
      </c>
      <c r="H54" s="49" t="s">
        <v>173</v>
      </c>
      <c r="I54" s="2">
        <v>74</v>
      </c>
      <c r="J54" s="2">
        <v>1</v>
      </c>
      <c r="K54" s="2" t="s">
        <v>164</v>
      </c>
      <c r="L54" s="2">
        <v>2.0500000000000001E-2</v>
      </c>
      <c r="M54" s="2">
        <v>9.3499999999999996E-4</v>
      </c>
      <c r="N54" s="2">
        <v>4.1100000000000003</v>
      </c>
      <c r="O54" s="2" t="s">
        <v>95</v>
      </c>
      <c r="P54" s="2"/>
    </row>
    <row r="55" spans="1:16" x14ac:dyDescent="0.35">
      <c r="A55" s="45">
        <v>45485</v>
      </c>
      <c r="B55" s="2" t="s">
        <v>140</v>
      </c>
      <c r="C55" s="2">
        <v>0</v>
      </c>
      <c r="D55" s="2" t="s">
        <v>137</v>
      </c>
      <c r="E55" s="2">
        <v>1</v>
      </c>
      <c r="F55" s="2" t="s">
        <v>125</v>
      </c>
      <c r="G55" s="2" t="s">
        <v>126</v>
      </c>
      <c r="H55" s="49" t="s">
        <v>173</v>
      </c>
      <c r="I55" s="2">
        <v>75</v>
      </c>
      <c r="J55" s="2">
        <v>1</v>
      </c>
      <c r="K55" s="2" t="s">
        <v>164</v>
      </c>
      <c r="L55" s="2">
        <v>2.2800000000000001E-2</v>
      </c>
      <c r="M55" s="2">
        <v>1.06E-3</v>
      </c>
      <c r="N55" s="2">
        <v>4.38</v>
      </c>
      <c r="O55" s="2" t="s">
        <v>95</v>
      </c>
      <c r="P55" s="2"/>
    </row>
    <row r="56" spans="1:16" x14ac:dyDescent="0.35">
      <c r="A56" s="45">
        <v>45485</v>
      </c>
      <c r="B56" s="2" t="s">
        <v>141</v>
      </c>
      <c r="C56" s="2">
        <v>0</v>
      </c>
      <c r="D56" s="2" t="s">
        <v>137</v>
      </c>
      <c r="E56" s="2">
        <v>2</v>
      </c>
      <c r="F56" s="2" t="s">
        <v>125</v>
      </c>
      <c r="G56" s="2" t="s">
        <v>126</v>
      </c>
      <c r="H56" s="49" t="s">
        <v>173</v>
      </c>
      <c r="I56" s="2">
        <v>76</v>
      </c>
      <c r="J56" s="2">
        <v>1</v>
      </c>
      <c r="K56" s="2" t="s">
        <v>164</v>
      </c>
      <c r="L56" s="2">
        <v>1.46E-2</v>
      </c>
      <c r="M56" s="2">
        <v>7.2199999999999999E-4</v>
      </c>
      <c r="N56" s="2">
        <v>3.42</v>
      </c>
      <c r="O56" s="2" t="s">
        <v>95</v>
      </c>
      <c r="P56" s="2"/>
    </row>
    <row r="57" spans="1:16" x14ac:dyDescent="0.35">
      <c r="A57" s="45">
        <v>45485</v>
      </c>
      <c r="B57" s="2" t="s">
        <v>142</v>
      </c>
      <c r="C57" s="2">
        <v>0</v>
      </c>
      <c r="D57" s="2" t="s">
        <v>137</v>
      </c>
      <c r="E57" s="2">
        <v>1</v>
      </c>
      <c r="F57" s="2" t="s">
        <v>125</v>
      </c>
      <c r="G57" s="2" t="s">
        <v>126</v>
      </c>
      <c r="H57" s="49" t="s">
        <v>173</v>
      </c>
      <c r="I57" s="2">
        <v>77</v>
      </c>
      <c r="J57" s="2">
        <v>1</v>
      </c>
      <c r="K57" s="2" t="s">
        <v>164</v>
      </c>
      <c r="L57" s="2">
        <v>3.0499999999999999E-2</v>
      </c>
      <c r="M57" s="2">
        <v>1.25E-3</v>
      </c>
      <c r="N57" s="2">
        <v>5.27</v>
      </c>
      <c r="O57" s="2" t="s">
        <v>95</v>
      </c>
      <c r="P57" s="2"/>
    </row>
    <row r="58" spans="1:16" x14ac:dyDescent="0.35">
      <c r="A58" s="45">
        <v>45485</v>
      </c>
      <c r="B58" s="2" t="s">
        <v>143</v>
      </c>
      <c r="C58" s="2">
        <v>0</v>
      </c>
      <c r="D58" s="2" t="s">
        <v>137</v>
      </c>
      <c r="E58" s="2">
        <v>2</v>
      </c>
      <c r="F58" s="2" t="s">
        <v>125</v>
      </c>
      <c r="G58" s="2" t="s">
        <v>126</v>
      </c>
      <c r="H58" s="49" t="s">
        <v>173</v>
      </c>
      <c r="I58" s="2">
        <v>78</v>
      </c>
      <c r="J58" s="2">
        <v>1</v>
      </c>
      <c r="K58" s="2" t="s">
        <v>164</v>
      </c>
      <c r="L58" s="2">
        <v>2.9399999999999999E-2</v>
      </c>
      <c r="M58" s="2">
        <v>1.42E-3</v>
      </c>
      <c r="N58" s="2">
        <v>5.14</v>
      </c>
      <c r="O58" s="2" t="s">
        <v>95</v>
      </c>
      <c r="P58" s="2"/>
    </row>
    <row r="59" spans="1:16" x14ac:dyDescent="0.35">
      <c r="A59" s="45">
        <v>45485</v>
      </c>
      <c r="B59" s="2" t="s">
        <v>144</v>
      </c>
      <c r="C59" s="2">
        <v>0</v>
      </c>
      <c r="D59" s="2" t="s">
        <v>137</v>
      </c>
      <c r="E59" s="2">
        <v>1</v>
      </c>
      <c r="F59" s="2" t="s">
        <v>125</v>
      </c>
      <c r="G59" s="2" t="s">
        <v>126</v>
      </c>
      <c r="H59" s="49" t="s">
        <v>173</v>
      </c>
      <c r="I59" s="2">
        <v>79</v>
      </c>
      <c r="J59" s="2">
        <v>1</v>
      </c>
      <c r="K59" s="2" t="s">
        <v>164</v>
      </c>
      <c r="L59" s="2">
        <v>1.2E-2</v>
      </c>
      <c r="M59" s="2">
        <v>5.6599999999999999E-4</v>
      </c>
      <c r="N59" s="2">
        <v>3.12</v>
      </c>
      <c r="O59" s="2" t="s">
        <v>95</v>
      </c>
      <c r="P59" s="2"/>
    </row>
    <row r="60" spans="1:16" x14ac:dyDescent="0.35">
      <c r="A60" s="45">
        <v>45485</v>
      </c>
      <c r="B60" s="2" t="s">
        <v>145</v>
      </c>
      <c r="C60" s="2">
        <v>0</v>
      </c>
      <c r="D60" s="2" t="s">
        <v>137</v>
      </c>
      <c r="E60" s="2">
        <v>2</v>
      </c>
      <c r="F60" s="2" t="s">
        <v>125</v>
      </c>
      <c r="G60" s="2" t="s">
        <v>126</v>
      </c>
      <c r="H60" s="49" t="s">
        <v>173</v>
      </c>
      <c r="I60" s="2">
        <v>80</v>
      </c>
      <c r="J60" s="2">
        <v>1</v>
      </c>
      <c r="K60" s="2" t="s">
        <v>164</v>
      </c>
      <c r="L60" s="2">
        <v>1.8100000000000002E-2</v>
      </c>
      <c r="M60" s="2">
        <v>7.4600000000000003E-4</v>
      </c>
      <c r="N60" s="2">
        <v>3.83</v>
      </c>
      <c r="O60" s="2" t="s">
        <v>95</v>
      </c>
      <c r="P60" s="2"/>
    </row>
    <row r="61" spans="1:16" x14ac:dyDescent="0.35">
      <c r="H61" s="24"/>
    </row>
    <row r="62" spans="1:16" x14ac:dyDescent="0.35">
      <c r="H62" s="24"/>
    </row>
    <row r="63" spans="1:16" x14ac:dyDescent="0.35">
      <c r="A63" s="45">
        <v>45485</v>
      </c>
      <c r="B63" s="2" t="s">
        <v>124</v>
      </c>
      <c r="C63" s="2">
        <v>0</v>
      </c>
      <c r="D63" s="2" t="s">
        <v>108</v>
      </c>
      <c r="E63" s="2">
        <v>1</v>
      </c>
      <c r="F63" s="2" t="s">
        <v>125</v>
      </c>
      <c r="G63" s="2" t="s">
        <v>126</v>
      </c>
      <c r="H63" s="49" t="s">
        <v>175</v>
      </c>
      <c r="I63" s="2">
        <v>33</v>
      </c>
      <c r="J63" s="2">
        <v>10</v>
      </c>
      <c r="K63" s="2" t="s">
        <v>176</v>
      </c>
      <c r="L63" s="2">
        <v>3.34</v>
      </c>
      <c r="M63" s="2">
        <v>0.17299999999999999</v>
      </c>
      <c r="N63" s="2">
        <v>420</v>
      </c>
      <c r="O63" s="2" t="s">
        <v>177</v>
      </c>
      <c r="P63" s="2"/>
    </row>
    <row r="64" spans="1:16" x14ac:dyDescent="0.35">
      <c r="A64" s="45">
        <v>45474</v>
      </c>
      <c r="B64" s="2" t="s">
        <v>127</v>
      </c>
      <c r="C64" s="2">
        <v>0</v>
      </c>
      <c r="D64" s="2" t="s">
        <v>108</v>
      </c>
      <c r="E64" s="2">
        <v>2</v>
      </c>
      <c r="F64" s="2" t="s">
        <v>125</v>
      </c>
      <c r="G64" s="2" t="s">
        <v>126</v>
      </c>
      <c r="H64" s="49" t="s">
        <v>175</v>
      </c>
      <c r="I64" s="2">
        <v>34</v>
      </c>
      <c r="J64" s="2">
        <v>10</v>
      </c>
      <c r="K64" s="2" t="s">
        <v>176</v>
      </c>
      <c r="L64" s="2">
        <v>3.39</v>
      </c>
      <c r="M64" s="2">
        <v>0.17499999999999999</v>
      </c>
      <c r="N64" s="2">
        <v>428</v>
      </c>
      <c r="O64" s="2" t="s">
        <v>177</v>
      </c>
      <c r="P64" s="2"/>
    </row>
    <row r="65" spans="1:16" x14ac:dyDescent="0.35">
      <c r="A65" s="45">
        <v>45485</v>
      </c>
      <c r="B65" s="2" t="s">
        <v>128</v>
      </c>
      <c r="C65" s="2">
        <v>0</v>
      </c>
      <c r="D65" s="2" t="s">
        <v>108</v>
      </c>
      <c r="E65" s="2">
        <v>1</v>
      </c>
      <c r="F65" s="2" t="s">
        <v>125</v>
      </c>
      <c r="G65" s="2" t="s">
        <v>126</v>
      </c>
      <c r="H65" s="49" t="s">
        <v>175</v>
      </c>
      <c r="I65" s="2">
        <v>35</v>
      </c>
      <c r="J65" s="2">
        <v>10</v>
      </c>
      <c r="K65" s="2" t="s">
        <v>176</v>
      </c>
      <c r="L65" s="2">
        <v>5.78</v>
      </c>
      <c r="M65" s="2">
        <v>0.3</v>
      </c>
      <c r="N65" s="2">
        <v>808</v>
      </c>
      <c r="O65" s="2" t="s">
        <v>177</v>
      </c>
      <c r="P65" s="2"/>
    </row>
    <row r="66" spans="1:16" x14ac:dyDescent="0.35">
      <c r="A66" s="45">
        <v>45485</v>
      </c>
      <c r="B66" s="2" t="s">
        <v>129</v>
      </c>
      <c r="C66" s="2">
        <v>0</v>
      </c>
      <c r="D66" s="2" t="s">
        <v>108</v>
      </c>
      <c r="E66" s="2">
        <v>2</v>
      </c>
      <c r="F66" s="2" t="s">
        <v>125</v>
      </c>
      <c r="G66" s="2" t="s">
        <v>126</v>
      </c>
      <c r="H66" s="49" t="s">
        <v>175</v>
      </c>
      <c r="I66" s="2">
        <v>36</v>
      </c>
      <c r="J66" s="2">
        <v>10</v>
      </c>
      <c r="K66" s="2" t="s">
        <v>176</v>
      </c>
      <c r="L66" s="2">
        <v>5.84</v>
      </c>
      <c r="M66" s="2">
        <v>0.30099999999999999</v>
      </c>
      <c r="N66" s="2">
        <v>817</v>
      </c>
      <c r="O66" s="2" t="s">
        <v>177</v>
      </c>
      <c r="P66" s="2"/>
    </row>
    <row r="67" spans="1:16" x14ac:dyDescent="0.35">
      <c r="A67" s="45">
        <v>45485</v>
      </c>
      <c r="B67" s="2" t="s">
        <v>130</v>
      </c>
      <c r="C67" s="2">
        <v>0</v>
      </c>
      <c r="D67" s="2" t="s">
        <v>108</v>
      </c>
      <c r="E67" s="2">
        <v>1</v>
      </c>
      <c r="F67" s="2" t="s">
        <v>125</v>
      </c>
      <c r="G67" s="2" t="s">
        <v>126</v>
      </c>
      <c r="H67" s="49" t="s">
        <v>175</v>
      </c>
      <c r="I67" s="2">
        <v>37</v>
      </c>
      <c r="J67" s="2">
        <v>10</v>
      </c>
      <c r="K67" s="2" t="s">
        <v>176</v>
      </c>
      <c r="L67" s="2">
        <v>4.1900000000000004</v>
      </c>
      <c r="M67" s="2">
        <v>0.217</v>
      </c>
      <c r="N67" s="2">
        <v>554</v>
      </c>
      <c r="O67" s="2" t="s">
        <v>177</v>
      </c>
      <c r="P67" s="2"/>
    </row>
    <row r="68" spans="1:16" x14ac:dyDescent="0.35">
      <c r="A68" s="45">
        <v>45485</v>
      </c>
      <c r="B68" s="2" t="s">
        <v>131</v>
      </c>
      <c r="C68" s="2">
        <v>0</v>
      </c>
      <c r="D68" s="2" t="s">
        <v>108</v>
      </c>
      <c r="E68" s="2">
        <v>2</v>
      </c>
      <c r="F68" s="2" t="s">
        <v>125</v>
      </c>
      <c r="G68" s="2" t="s">
        <v>126</v>
      </c>
      <c r="H68" s="49" t="s">
        <v>175</v>
      </c>
      <c r="I68" s="2">
        <v>38</v>
      </c>
      <c r="J68" s="2">
        <v>10</v>
      </c>
      <c r="K68" s="2" t="s">
        <v>176</v>
      </c>
      <c r="L68" s="2">
        <v>4.29</v>
      </c>
      <c r="M68" s="2">
        <v>0.223</v>
      </c>
      <c r="N68" s="2">
        <v>569</v>
      </c>
      <c r="O68" s="2" t="s">
        <v>177</v>
      </c>
      <c r="P68" s="2"/>
    </row>
    <row r="69" spans="1:16" x14ac:dyDescent="0.35">
      <c r="A69" s="45">
        <v>45485</v>
      </c>
      <c r="B69" s="2" t="s">
        <v>132</v>
      </c>
      <c r="C69" s="2">
        <v>0</v>
      </c>
      <c r="D69" s="2" t="s">
        <v>108</v>
      </c>
      <c r="E69" s="2">
        <v>1</v>
      </c>
      <c r="F69" s="2" t="s">
        <v>125</v>
      </c>
      <c r="G69" s="2" t="s">
        <v>126</v>
      </c>
      <c r="H69" s="49" t="s">
        <v>175</v>
      </c>
      <c r="I69" s="2">
        <v>39</v>
      </c>
      <c r="J69" s="2">
        <v>10</v>
      </c>
      <c r="K69" s="2" t="s">
        <v>176</v>
      </c>
      <c r="L69" s="2">
        <v>5.95</v>
      </c>
      <c r="M69" s="2">
        <v>0.31</v>
      </c>
      <c r="N69" s="2">
        <v>836</v>
      </c>
      <c r="O69" s="2" t="s">
        <v>177</v>
      </c>
      <c r="P69" s="2"/>
    </row>
    <row r="70" spans="1:16" x14ac:dyDescent="0.35">
      <c r="A70" s="45">
        <v>45485</v>
      </c>
      <c r="B70" s="2" t="s">
        <v>133</v>
      </c>
      <c r="C70" s="2">
        <v>0</v>
      </c>
      <c r="D70" s="2" t="s">
        <v>108</v>
      </c>
      <c r="E70" s="2">
        <v>2</v>
      </c>
      <c r="F70" s="2" t="s">
        <v>125</v>
      </c>
      <c r="G70" s="2" t="s">
        <v>126</v>
      </c>
      <c r="H70" s="49" t="s">
        <v>175</v>
      </c>
      <c r="I70" s="2">
        <v>40</v>
      </c>
      <c r="J70" s="2">
        <v>10</v>
      </c>
      <c r="K70" s="2" t="s">
        <v>176</v>
      </c>
      <c r="L70" s="2">
        <v>6.25</v>
      </c>
      <c r="M70" s="2">
        <v>0.32400000000000001</v>
      </c>
      <c r="N70" s="2">
        <v>883</v>
      </c>
      <c r="O70" s="2" t="s">
        <v>177</v>
      </c>
      <c r="P70" s="2"/>
    </row>
    <row r="71" spans="1:16" x14ac:dyDescent="0.35">
      <c r="A71" s="45"/>
      <c r="B71" s="2"/>
      <c r="C71" s="2"/>
      <c r="D71" s="2"/>
      <c r="E71" s="2"/>
      <c r="F71" s="2"/>
      <c r="G71" s="2"/>
      <c r="H71" s="49"/>
      <c r="I71" s="2"/>
      <c r="J71" s="2"/>
      <c r="K71" s="2"/>
      <c r="L71" s="2"/>
      <c r="M71" s="2"/>
      <c r="N71" s="2"/>
      <c r="O71" s="2"/>
      <c r="P71" s="2"/>
    </row>
    <row r="72" spans="1:16" x14ac:dyDescent="0.35">
      <c r="A72" s="45"/>
      <c r="B72" s="2"/>
      <c r="C72" s="2"/>
      <c r="D72" s="2"/>
      <c r="E72" s="2"/>
      <c r="F72" s="2"/>
      <c r="G72" s="2"/>
      <c r="H72" s="49"/>
      <c r="I72" s="2"/>
      <c r="J72" s="2"/>
      <c r="K72" s="2"/>
      <c r="L72" s="2"/>
      <c r="M72" s="2"/>
      <c r="N72" s="2"/>
      <c r="O72" s="2"/>
      <c r="P72" s="2"/>
    </row>
    <row r="73" spans="1:16" x14ac:dyDescent="0.35">
      <c r="A73" s="45">
        <v>45485</v>
      </c>
      <c r="B73" s="2" t="s">
        <v>136</v>
      </c>
      <c r="C73" s="2">
        <v>0</v>
      </c>
      <c r="D73" s="2" t="s">
        <v>137</v>
      </c>
      <c r="E73" s="2">
        <v>1</v>
      </c>
      <c r="F73" s="2" t="s">
        <v>125</v>
      </c>
      <c r="G73" s="2" t="s">
        <v>126</v>
      </c>
      <c r="H73" s="49" t="s">
        <v>197</v>
      </c>
      <c r="I73" s="2">
        <v>73</v>
      </c>
      <c r="J73" s="2">
        <v>1</v>
      </c>
      <c r="K73" s="2" t="s">
        <v>176</v>
      </c>
      <c r="L73" s="2">
        <v>3.04</v>
      </c>
      <c r="M73" s="2">
        <v>0.156</v>
      </c>
      <c r="N73" s="2">
        <v>373</v>
      </c>
      <c r="O73" s="2" t="s">
        <v>177</v>
      </c>
      <c r="P73" s="2"/>
    </row>
    <row r="74" spans="1:16" x14ac:dyDescent="0.35">
      <c r="A74" s="45">
        <v>45474</v>
      </c>
      <c r="B74" s="2" t="s">
        <v>139</v>
      </c>
      <c r="C74" s="2">
        <v>0</v>
      </c>
      <c r="D74" s="2" t="s">
        <v>137</v>
      </c>
      <c r="E74" s="2">
        <v>2</v>
      </c>
      <c r="F74" s="2" t="s">
        <v>125</v>
      </c>
      <c r="G74" s="2" t="s">
        <v>126</v>
      </c>
      <c r="H74" s="49" t="s">
        <v>197</v>
      </c>
      <c r="I74" s="2">
        <v>74</v>
      </c>
      <c r="J74" s="2">
        <v>1</v>
      </c>
      <c r="K74" s="2" t="s">
        <v>176</v>
      </c>
      <c r="L74" s="2">
        <v>0.125</v>
      </c>
      <c r="M74" s="2">
        <v>6.2899999999999996E-3</v>
      </c>
      <c r="N74" s="2">
        <v>-76.099999999999994</v>
      </c>
      <c r="O74" s="2" t="s">
        <v>177</v>
      </c>
      <c r="P74" s="2"/>
    </row>
    <row r="75" spans="1:16" x14ac:dyDescent="0.35">
      <c r="A75" s="45">
        <v>45485</v>
      </c>
      <c r="B75" s="2" t="s">
        <v>140</v>
      </c>
      <c r="C75" s="2">
        <v>0</v>
      </c>
      <c r="D75" s="2" t="s">
        <v>137</v>
      </c>
      <c r="E75" s="2">
        <v>1</v>
      </c>
      <c r="F75" s="2" t="s">
        <v>125</v>
      </c>
      <c r="G75" s="2" t="s">
        <v>126</v>
      </c>
      <c r="H75" s="49" t="s">
        <v>197</v>
      </c>
      <c r="I75" s="2">
        <v>75</v>
      </c>
      <c r="J75" s="2">
        <v>1</v>
      </c>
      <c r="K75" s="2" t="s">
        <v>176</v>
      </c>
      <c r="L75" s="2">
        <v>0.121</v>
      </c>
      <c r="M75" s="2">
        <v>5.9199999999999999E-3</v>
      </c>
      <c r="N75" s="2">
        <v>-76.7</v>
      </c>
      <c r="O75" s="2" t="s">
        <v>177</v>
      </c>
      <c r="P75" s="2"/>
    </row>
    <row r="76" spans="1:16" x14ac:dyDescent="0.35">
      <c r="A76" s="45">
        <v>45485</v>
      </c>
      <c r="B76" s="2" t="s">
        <v>141</v>
      </c>
      <c r="C76" s="2">
        <v>0</v>
      </c>
      <c r="D76" s="2" t="s">
        <v>137</v>
      </c>
      <c r="E76" s="2">
        <v>2</v>
      </c>
      <c r="F76" s="2" t="s">
        <v>125</v>
      </c>
      <c r="G76" s="2" t="s">
        <v>126</v>
      </c>
      <c r="H76" s="49" t="s">
        <v>197</v>
      </c>
      <c r="I76" s="2">
        <v>76</v>
      </c>
      <c r="J76" s="2">
        <v>1</v>
      </c>
      <c r="K76" s="2" t="s">
        <v>176</v>
      </c>
      <c r="L76" s="2">
        <v>0.84899999999999998</v>
      </c>
      <c r="M76" s="2">
        <v>4.2900000000000001E-2</v>
      </c>
      <c r="N76" s="2">
        <v>34</v>
      </c>
      <c r="O76" s="2" t="s">
        <v>177</v>
      </c>
      <c r="P76" s="2"/>
    </row>
    <row r="77" spans="1:16" x14ac:dyDescent="0.35">
      <c r="A77" s="45">
        <v>45485</v>
      </c>
      <c r="B77" s="2" t="s">
        <v>142</v>
      </c>
      <c r="C77" s="2">
        <v>0</v>
      </c>
      <c r="D77" s="2" t="s">
        <v>137</v>
      </c>
      <c r="E77" s="2">
        <v>1</v>
      </c>
      <c r="F77" s="2" t="s">
        <v>125</v>
      </c>
      <c r="G77" s="2" t="s">
        <v>126</v>
      </c>
      <c r="H77" s="49" t="s">
        <v>197</v>
      </c>
      <c r="I77" s="2">
        <v>77</v>
      </c>
      <c r="J77" s="2">
        <v>1</v>
      </c>
      <c r="K77" s="2" t="s">
        <v>176</v>
      </c>
      <c r="L77" s="2">
        <v>0.126</v>
      </c>
      <c r="M77" s="2">
        <v>6.1599999999999997E-3</v>
      </c>
      <c r="N77" s="2">
        <v>-76</v>
      </c>
      <c r="O77" s="2" t="s">
        <v>177</v>
      </c>
      <c r="P77" s="2"/>
    </row>
    <row r="78" spans="1:16" x14ac:dyDescent="0.35">
      <c r="A78" s="45">
        <v>45485</v>
      </c>
      <c r="B78" s="2" t="s">
        <v>143</v>
      </c>
      <c r="C78" s="2">
        <v>0</v>
      </c>
      <c r="D78" s="2" t="s">
        <v>137</v>
      </c>
      <c r="E78" s="2">
        <v>2</v>
      </c>
      <c r="F78" s="2" t="s">
        <v>125</v>
      </c>
      <c r="G78" s="2" t="s">
        <v>126</v>
      </c>
      <c r="H78" s="49" t="s">
        <v>197</v>
      </c>
      <c r="I78" s="2">
        <v>78</v>
      </c>
      <c r="J78" s="2">
        <v>1</v>
      </c>
      <c r="K78" s="2" t="s">
        <v>176</v>
      </c>
      <c r="L78" s="2">
        <v>0.123</v>
      </c>
      <c r="M78" s="2">
        <v>5.9300000000000004E-3</v>
      </c>
      <c r="N78" s="2">
        <v>-76.400000000000006</v>
      </c>
      <c r="O78" s="2" t="s">
        <v>177</v>
      </c>
      <c r="P78" s="2"/>
    </row>
    <row r="79" spans="1:16" x14ac:dyDescent="0.35">
      <c r="A79" s="45">
        <v>45485</v>
      </c>
      <c r="B79" s="2" t="s">
        <v>144</v>
      </c>
      <c r="C79" s="2">
        <v>0</v>
      </c>
      <c r="D79" s="2" t="s">
        <v>137</v>
      </c>
      <c r="E79" s="2">
        <v>1</v>
      </c>
      <c r="F79" s="2" t="s">
        <v>125</v>
      </c>
      <c r="G79" s="2" t="s">
        <v>126</v>
      </c>
      <c r="H79" s="49" t="s">
        <v>197</v>
      </c>
      <c r="I79" s="2">
        <v>79</v>
      </c>
      <c r="J79" s="2">
        <v>1</v>
      </c>
      <c r="K79" s="2" t="s">
        <v>176</v>
      </c>
      <c r="L79" s="2">
        <v>0.13300000000000001</v>
      </c>
      <c r="M79" s="2">
        <v>6.3800000000000003E-3</v>
      </c>
      <c r="N79" s="2">
        <v>-74.900000000000006</v>
      </c>
      <c r="O79" s="2" t="s">
        <v>177</v>
      </c>
      <c r="P79" s="2"/>
    </row>
    <row r="80" spans="1:16" x14ac:dyDescent="0.35">
      <c r="A80" s="45">
        <v>45485</v>
      </c>
      <c r="B80" s="2" t="s">
        <v>145</v>
      </c>
      <c r="C80" s="2">
        <v>0</v>
      </c>
      <c r="D80" s="2" t="s">
        <v>137</v>
      </c>
      <c r="E80" s="2">
        <v>2</v>
      </c>
      <c r="F80" s="2" t="s">
        <v>125</v>
      </c>
      <c r="G80" s="2" t="s">
        <v>126</v>
      </c>
      <c r="H80" s="49" t="s">
        <v>197</v>
      </c>
      <c r="I80" s="2">
        <v>80</v>
      </c>
      <c r="J80" s="2">
        <v>1</v>
      </c>
      <c r="K80" s="2" t="s">
        <v>176</v>
      </c>
      <c r="L80" s="2">
        <v>0.108</v>
      </c>
      <c r="M80" s="2">
        <v>5.1200000000000004E-3</v>
      </c>
      <c r="N80" s="2">
        <v>-78.8</v>
      </c>
      <c r="O80" s="2" t="s">
        <v>177</v>
      </c>
      <c r="P80" s="2"/>
    </row>
    <row r="81" spans="1:16" x14ac:dyDescent="0.35">
      <c r="H81" s="24"/>
    </row>
    <row r="82" spans="1:16" x14ac:dyDescent="0.35">
      <c r="H82" s="24"/>
    </row>
    <row r="83" spans="1:16" x14ac:dyDescent="0.35">
      <c r="A83" s="45">
        <v>45485</v>
      </c>
      <c r="B83" s="2" t="s">
        <v>124</v>
      </c>
      <c r="C83" s="2">
        <v>0</v>
      </c>
      <c r="D83" s="2" t="s">
        <v>108</v>
      </c>
      <c r="E83" s="2">
        <v>1</v>
      </c>
      <c r="F83" s="2" t="s">
        <v>125</v>
      </c>
      <c r="G83" s="2" t="s">
        <v>126</v>
      </c>
      <c r="H83" s="49" t="s">
        <v>198</v>
      </c>
      <c r="I83" s="2">
        <v>33</v>
      </c>
      <c r="J83" s="2">
        <v>1</v>
      </c>
      <c r="K83" s="2" t="s">
        <v>199</v>
      </c>
      <c r="L83" s="2">
        <v>2.93</v>
      </c>
      <c r="M83" s="2">
        <v>0.29399999999999998</v>
      </c>
      <c r="N83" s="2">
        <v>483</v>
      </c>
      <c r="O83" s="2" t="s">
        <v>200</v>
      </c>
      <c r="P83" s="2"/>
    </row>
    <row r="84" spans="1:16" x14ac:dyDescent="0.35">
      <c r="A84" s="45">
        <v>45474</v>
      </c>
      <c r="B84" s="2" t="s">
        <v>127</v>
      </c>
      <c r="C84" s="2">
        <v>0</v>
      </c>
      <c r="D84" s="2" t="s">
        <v>108</v>
      </c>
      <c r="E84" s="2">
        <v>2</v>
      </c>
      <c r="F84" s="2" t="s">
        <v>125</v>
      </c>
      <c r="G84" s="2" t="s">
        <v>126</v>
      </c>
      <c r="H84" s="49" t="s">
        <v>198</v>
      </c>
      <c r="I84" s="2">
        <v>34</v>
      </c>
      <c r="J84" s="2">
        <v>1</v>
      </c>
      <c r="K84" s="2" t="s">
        <v>199</v>
      </c>
      <c r="L84" s="2">
        <v>2.86</v>
      </c>
      <c r="M84" s="2">
        <v>0.28799999999999998</v>
      </c>
      <c r="N84" s="2">
        <v>470</v>
      </c>
      <c r="O84" s="2" t="s">
        <v>200</v>
      </c>
      <c r="P84" s="2"/>
    </row>
    <row r="85" spans="1:16" x14ac:dyDescent="0.35">
      <c r="A85" s="45">
        <v>45485</v>
      </c>
      <c r="B85" s="2" t="s">
        <v>128</v>
      </c>
      <c r="C85" s="2">
        <v>0</v>
      </c>
      <c r="D85" s="2" t="s">
        <v>108</v>
      </c>
      <c r="E85" s="2">
        <v>1</v>
      </c>
      <c r="F85" s="2" t="s">
        <v>125</v>
      </c>
      <c r="G85" s="2" t="s">
        <v>126</v>
      </c>
      <c r="H85" s="49" t="s">
        <v>198</v>
      </c>
      <c r="I85" s="2">
        <v>35</v>
      </c>
      <c r="J85" s="2">
        <v>1</v>
      </c>
      <c r="K85" s="2" t="s">
        <v>199</v>
      </c>
      <c r="L85" s="2">
        <v>3.16</v>
      </c>
      <c r="M85" s="2">
        <v>0.32100000000000001</v>
      </c>
      <c r="N85" s="2">
        <v>528</v>
      </c>
      <c r="O85" s="2" t="s">
        <v>200</v>
      </c>
      <c r="P85" s="2"/>
    </row>
    <row r="86" spans="1:16" x14ac:dyDescent="0.35">
      <c r="A86" s="45">
        <v>45485</v>
      </c>
      <c r="B86" s="2" t="s">
        <v>129</v>
      </c>
      <c r="C86" s="2">
        <v>0</v>
      </c>
      <c r="D86" s="2" t="s">
        <v>108</v>
      </c>
      <c r="E86" s="2">
        <v>2</v>
      </c>
      <c r="F86" s="2" t="s">
        <v>125</v>
      </c>
      <c r="G86" s="2" t="s">
        <v>126</v>
      </c>
      <c r="H86" s="49" t="s">
        <v>198</v>
      </c>
      <c r="I86" s="2">
        <v>36</v>
      </c>
      <c r="J86" s="2">
        <v>1</v>
      </c>
      <c r="K86" s="2" t="s">
        <v>199</v>
      </c>
      <c r="L86" s="2">
        <v>2.98</v>
      </c>
      <c r="M86" s="2">
        <v>0.3</v>
      </c>
      <c r="N86" s="2">
        <v>492</v>
      </c>
      <c r="O86" s="2" t="s">
        <v>200</v>
      </c>
      <c r="P86" s="2"/>
    </row>
    <row r="87" spans="1:16" x14ac:dyDescent="0.35">
      <c r="A87" s="45">
        <v>45485</v>
      </c>
      <c r="B87" s="2" t="s">
        <v>130</v>
      </c>
      <c r="C87" s="2">
        <v>0</v>
      </c>
      <c r="D87" s="2" t="s">
        <v>108</v>
      </c>
      <c r="E87" s="2">
        <v>1</v>
      </c>
      <c r="F87" s="2" t="s">
        <v>125</v>
      </c>
      <c r="G87" s="2" t="s">
        <v>126</v>
      </c>
      <c r="H87" s="49" t="s">
        <v>198</v>
      </c>
      <c r="I87" s="2">
        <v>37</v>
      </c>
      <c r="J87" s="2">
        <v>1</v>
      </c>
      <c r="K87" s="2" t="s">
        <v>199</v>
      </c>
      <c r="L87" s="2">
        <v>3.13</v>
      </c>
      <c r="M87" s="2">
        <v>0.315</v>
      </c>
      <c r="N87" s="2">
        <v>522</v>
      </c>
      <c r="O87" s="2" t="s">
        <v>200</v>
      </c>
      <c r="P87" s="2"/>
    </row>
    <row r="88" spans="1:16" x14ac:dyDescent="0.35">
      <c r="A88" s="45">
        <v>45485</v>
      </c>
      <c r="B88" s="2" t="s">
        <v>131</v>
      </c>
      <c r="C88" s="2">
        <v>0</v>
      </c>
      <c r="D88" s="2" t="s">
        <v>108</v>
      </c>
      <c r="E88" s="2">
        <v>2</v>
      </c>
      <c r="F88" s="2" t="s">
        <v>125</v>
      </c>
      <c r="G88" s="2" t="s">
        <v>126</v>
      </c>
      <c r="H88" s="49" t="s">
        <v>198</v>
      </c>
      <c r="I88" s="2">
        <v>38</v>
      </c>
      <c r="J88" s="2">
        <v>1</v>
      </c>
      <c r="K88" s="2" t="s">
        <v>199</v>
      </c>
      <c r="L88" s="2">
        <v>3.19</v>
      </c>
      <c r="M88" s="2">
        <v>0.32200000000000001</v>
      </c>
      <c r="N88" s="2">
        <v>534</v>
      </c>
      <c r="O88" s="2" t="s">
        <v>200</v>
      </c>
      <c r="P88" s="2"/>
    </row>
    <row r="89" spans="1:16" x14ac:dyDescent="0.35">
      <c r="A89" s="45">
        <v>45485</v>
      </c>
      <c r="B89" s="2" t="s">
        <v>132</v>
      </c>
      <c r="C89" s="2">
        <v>0</v>
      </c>
      <c r="D89" s="2" t="s">
        <v>108</v>
      </c>
      <c r="E89" s="2">
        <v>1</v>
      </c>
      <c r="F89" s="2" t="s">
        <v>125</v>
      </c>
      <c r="G89" s="2" t="s">
        <v>126</v>
      </c>
      <c r="H89" s="49" t="s">
        <v>198</v>
      </c>
      <c r="I89" s="2">
        <v>39</v>
      </c>
      <c r="J89" s="2">
        <v>1</v>
      </c>
      <c r="K89" s="2" t="s">
        <v>199</v>
      </c>
      <c r="L89" s="2">
        <v>1.8</v>
      </c>
      <c r="M89" s="2">
        <v>0.17799999999999999</v>
      </c>
      <c r="N89" s="2">
        <v>261</v>
      </c>
      <c r="O89" s="2" t="s">
        <v>200</v>
      </c>
      <c r="P89" s="2"/>
    </row>
    <row r="90" spans="1:16" x14ac:dyDescent="0.35">
      <c r="A90" s="45">
        <v>45485</v>
      </c>
      <c r="B90" s="2" t="s">
        <v>133</v>
      </c>
      <c r="C90" s="2">
        <v>0</v>
      </c>
      <c r="D90" s="2" t="s">
        <v>108</v>
      </c>
      <c r="E90" s="2">
        <v>2</v>
      </c>
      <c r="F90" s="2" t="s">
        <v>125</v>
      </c>
      <c r="G90" s="2" t="s">
        <v>126</v>
      </c>
      <c r="H90" s="49" t="s">
        <v>198</v>
      </c>
      <c r="I90" s="2">
        <v>40</v>
      </c>
      <c r="J90" s="2">
        <v>1</v>
      </c>
      <c r="K90" s="2" t="s">
        <v>199</v>
      </c>
      <c r="L90" s="2">
        <v>1.7</v>
      </c>
      <c r="M90" s="2">
        <v>0.16800000000000001</v>
      </c>
      <c r="N90" s="2">
        <v>240</v>
      </c>
      <c r="O90" s="2" t="s">
        <v>200</v>
      </c>
      <c r="P90" s="2"/>
    </row>
    <row r="91" spans="1:16" x14ac:dyDescent="0.35">
      <c r="H91" s="24"/>
    </row>
    <row r="92" spans="1:16" x14ac:dyDescent="0.35">
      <c r="H92" s="24"/>
    </row>
    <row r="93" spans="1:16" x14ac:dyDescent="0.35">
      <c r="A93" s="45">
        <v>45485</v>
      </c>
      <c r="B93" s="2" t="s">
        <v>136</v>
      </c>
      <c r="C93" s="2">
        <v>0</v>
      </c>
      <c r="D93" s="2" t="s">
        <v>137</v>
      </c>
      <c r="E93" s="2">
        <v>1</v>
      </c>
      <c r="F93" s="2" t="s">
        <v>125</v>
      </c>
      <c r="G93" s="2" t="s">
        <v>126</v>
      </c>
      <c r="H93" s="49" t="s">
        <v>223</v>
      </c>
      <c r="I93" s="2">
        <v>73</v>
      </c>
      <c r="J93" s="2">
        <v>1</v>
      </c>
      <c r="K93" s="2" t="s">
        <v>199</v>
      </c>
      <c r="L93" s="2">
        <v>0.60399999999999998</v>
      </c>
      <c r="M93" s="2">
        <v>5.7000000000000002E-2</v>
      </c>
      <c r="N93" s="2">
        <v>25</v>
      </c>
      <c r="O93" s="2" t="s">
        <v>200</v>
      </c>
      <c r="P93" s="2"/>
    </row>
    <row r="94" spans="1:16" x14ac:dyDescent="0.35">
      <c r="A94" s="45">
        <v>45474</v>
      </c>
      <c r="B94" s="2" t="s">
        <v>139</v>
      </c>
      <c r="C94" s="2">
        <v>0</v>
      </c>
      <c r="D94" s="2" t="s">
        <v>137</v>
      </c>
      <c r="E94" s="2">
        <v>2</v>
      </c>
      <c r="F94" s="2" t="s">
        <v>125</v>
      </c>
      <c r="G94" s="2" t="s">
        <v>126</v>
      </c>
      <c r="H94" s="49" t="s">
        <v>223</v>
      </c>
      <c r="I94" s="2">
        <v>74</v>
      </c>
      <c r="J94" s="2">
        <v>1</v>
      </c>
      <c r="K94" s="2" t="s">
        <v>199</v>
      </c>
      <c r="L94" s="2">
        <v>0.67200000000000004</v>
      </c>
      <c r="M94" s="2">
        <v>6.3899999999999998E-2</v>
      </c>
      <c r="N94" s="2">
        <v>38.4</v>
      </c>
      <c r="O94" s="2" t="s">
        <v>200</v>
      </c>
      <c r="P94" s="2"/>
    </row>
    <row r="95" spans="1:16" x14ac:dyDescent="0.35">
      <c r="A95" s="45">
        <v>45485</v>
      </c>
      <c r="B95" s="2" t="s">
        <v>140</v>
      </c>
      <c r="C95" s="2">
        <v>0</v>
      </c>
      <c r="D95" s="2" t="s">
        <v>137</v>
      </c>
      <c r="E95" s="2">
        <v>1</v>
      </c>
      <c r="F95" s="2" t="s">
        <v>125</v>
      </c>
      <c r="G95" s="2" t="s">
        <v>126</v>
      </c>
      <c r="H95" s="49" t="s">
        <v>223</v>
      </c>
      <c r="I95" s="2">
        <v>75</v>
      </c>
      <c r="J95" s="2">
        <v>1</v>
      </c>
      <c r="K95" s="2" t="s">
        <v>199</v>
      </c>
      <c r="L95" s="2">
        <v>0.52</v>
      </c>
      <c r="M95" s="2">
        <v>4.99E-2</v>
      </c>
      <c r="N95" s="2">
        <v>8.4</v>
      </c>
      <c r="O95" s="2" t="s">
        <v>200</v>
      </c>
      <c r="P95" s="2"/>
    </row>
    <row r="96" spans="1:16" x14ac:dyDescent="0.35">
      <c r="A96" s="45">
        <v>45485</v>
      </c>
      <c r="B96" s="2" t="s">
        <v>141</v>
      </c>
      <c r="C96" s="2">
        <v>0</v>
      </c>
      <c r="D96" s="2" t="s">
        <v>137</v>
      </c>
      <c r="E96" s="2">
        <v>2</v>
      </c>
      <c r="F96" s="2" t="s">
        <v>125</v>
      </c>
      <c r="G96" s="2" t="s">
        <v>126</v>
      </c>
      <c r="H96" s="49" t="s">
        <v>223</v>
      </c>
      <c r="I96" s="2">
        <v>76</v>
      </c>
      <c r="J96" s="2">
        <v>1</v>
      </c>
      <c r="K96" s="2" t="s">
        <v>199</v>
      </c>
      <c r="L96" s="2">
        <v>0.59099999999999997</v>
      </c>
      <c r="M96" s="2">
        <v>5.5800000000000002E-2</v>
      </c>
      <c r="N96" s="2">
        <v>22.4</v>
      </c>
      <c r="O96" s="2" t="s">
        <v>200</v>
      </c>
      <c r="P96" s="2"/>
    </row>
    <row r="97" spans="1:16" x14ac:dyDescent="0.35">
      <c r="A97" s="45">
        <v>45485</v>
      </c>
      <c r="B97" s="2" t="s">
        <v>142</v>
      </c>
      <c r="C97" s="2">
        <v>0</v>
      </c>
      <c r="D97" s="2" t="s">
        <v>137</v>
      </c>
      <c r="E97" s="2">
        <v>1</v>
      </c>
      <c r="F97" s="2" t="s">
        <v>125</v>
      </c>
      <c r="G97" s="2" t="s">
        <v>126</v>
      </c>
      <c r="H97" s="49" t="s">
        <v>223</v>
      </c>
      <c r="I97" s="2">
        <v>77</v>
      </c>
      <c r="J97" s="2">
        <v>1</v>
      </c>
      <c r="K97" s="2" t="s">
        <v>199</v>
      </c>
      <c r="L97" s="2">
        <v>0.77300000000000002</v>
      </c>
      <c r="M97" s="2">
        <v>7.3599999999999999E-2</v>
      </c>
      <c r="N97" s="2">
        <v>58.3</v>
      </c>
      <c r="O97" s="2" t="s">
        <v>200</v>
      </c>
      <c r="P97" s="2"/>
    </row>
    <row r="98" spans="1:16" x14ac:dyDescent="0.35">
      <c r="A98" s="45">
        <v>45485</v>
      </c>
      <c r="B98" s="2" t="s">
        <v>143</v>
      </c>
      <c r="C98" s="2">
        <v>0</v>
      </c>
      <c r="D98" s="2" t="s">
        <v>137</v>
      </c>
      <c r="E98" s="2">
        <v>2</v>
      </c>
      <c r="F98" s="2" t="s">
        <v>125</v>
      </c>
      <c r="G98" s="2" t="s">
        <v>126</v>
      </c>
      <c r="H98" s="49" t="s">
        <v>223</v>
      </c>
      <c r="I98" s="2">
        <v>78</v>
      </c>
      <c r="J98" s="2">
        <v>1</v>
      </c>
      <c r="K98" s="2" t="s">
        <v>199</v>
      </c>
      <c r="L98" s="2">
        <v>0.65100000000000002</v>
      </c>
      <c r="M98" s="2">
        <v>6.1600000000000002E-2</v>
      </c>
      <c r="N98" s="2">
        <v>34.299999999999997</v>
      </c>
      <c r="O98" s="2" t="s">
        <v>200</v>
      </c>
      <c r="P98" s="2"/>
    </row>
    <row r="99" spans="1:16" x14ac:dyDescent="0.35">
      <c r="A99" s="45">
        <v>45485</v>
      </c>
      <c r="B99" s="2" t="s">
        <v>144</v>
      </c>
      <c r="C99" s="2">
        <v>0</v>
      </c>
      <c r="D99" s="2" t="s">
        <v>137</v>
      </c>
      <c r="E99" s="2">
        <v>1</v>
      </c>
      <c r="F99" s="2" t="s">
        <v>125</v>
      </c>
      <c r="G99" s="2" t="s">
        <v>126</v>
      </c>
      <c r="H99" s="49" t="s">
        <v>223</v>
      </c>
      <c r="I99" s="2">
        <v>79</v>
      </c>
      <c r="J99" s="2">
        <v>1</v>
      </c>
      <c r="K99" s="2" t="s">
        <v>199</v>
      </c>
      <c r="L99" s="2">
        <v>0.72799999999999998</v>
      </c>
      <c r="M99" s="2">
        <v>6.9099999999999995E-2</v>
      </c>
      <c r="N99" s="2">
        <v>49.3</v>
      </c>
      <c r="O99" s="2" t="s">
        <v>200</v>
      </c>
      <c r="P99" s="2"/>
    </row>
    <row r="100" spans="1:16" x14ac:dyDescent="0.35">
      <c r="A100" s="45">
        <v>45485</v>
      </c>
      <c r="B100" s="2" t="s">
        <v>145</v>
      </c>
      <c r="C100" s="2">
        <v>0</v>
      </c>
      <c r="D100" s="2" t="s">
        <v>137</v>
      </c>
      <c r="E100" s="2">
        <v>2</v>
      </c>
      <c r="F100" s="2" t="s">
        <v>125</v>
      </c>
      <c r="G100" s="2" t="s">
        <v>126</v>
      </c>
      <c r="H100" s="49" t="s">
        <v>223</v>
      </c>
      <c r="I100" s="2">
        <v>80</v>
      </c>
      <c r="J100" s="2">
        <v>1</v>
      </c>
      <c r="K100" s="2" t="s">
        <v>199</v>
      </c>
      <c r="L100" s="2">
        <v>0.52300000000000002</v>
      </c>
      <c r="M100" s="2">
        <v>4.9000000000000002E-2</v>
      </c>
      <c r="N100" s="2">
        <v>9</v>
      </c>
      <c r="O100" s="2" t="s">
        <v>200</v>
      </c>
      <c r="P100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EF8E-D2CF-4B83-A922-A5FA3AEFBB39}">
  <dimension ref="A1:AW100"/>
  <sheetViews>
    <sheetView topLeftCell="AI1" workbookViewId="0">
      <selection activeCell="AP15" sqref="AP15"/>
    </sheetView>
  </sheetViews>
  <sheetFormatPr defaultRowHeight="14.5" x14ac:dyDescent="0.35"/>
  <cols>
    <col min="1" max="1" width="15.6328125" customWidth="1"/>
    <col min="3" max="6" width="12.6328125" customWidth="1"/>
    <col min="8" max="8" width="15.6328125" customWidth="1"/>
    <col min="9" max="9" width="8.7265625" style="25"/>
    <col min="17" max="17" width="15.6328125" customWidth="1"/>
    <col min="18" max="18" width="8.7265625" style="25"/>
    <col min="27" max="27" width="10.26953125" customWidth="1"/>
    <col min="28" max="28" width="29.90625" customWidth="1"/>
    <col min="30" max="30" width="10.6328125" customWidth="1"/>
    <col min="31" max="31" width="6.6328125" customWidth="1"/>
    <col min="32" max="32" width="3" customWidth="1"/>
    <col min="33" max="33" width="10.6328125" customWidth="1"/>
    <col min="34" max="34" width="6.6328125" customWidth="1"/>
    <col min="37" max="37" width="33.90625" customWidth="1"/>
    <col min="42" max="42" width="17.1796875" customWidth="1"/>
    <col min="46" max="46" width="3.6328125" customWidth="1"/>
  </cols>
  <sheetData>
    <row r="1" spans="1:49" ht="43.5" x14ac:dyDescent="0.35">
      <c r="A1" s="31" t="s">
        <v>43</v>
      </c>
      <c r="B1" s="31" t="s">
        <v>49</v>
      </c>
      <c r="C1" t="s">
        <v>59</v>
      </c>
      <c r="G1" s="31"/>
      <c r="H1" s="31" t="s">
        <v>43</v>
      </c>
      <c r="I1" s="50" t="s">
        <v>49</v>
      </c>
      <c r="J1" t="s">
        <v>59</v>
      </c>
      <c r="O1" t="s">
        <v>14</v>
      </c>
      <c r="Q1" s="31" t="s">
        <v>43</v>
      </c>
      <c r="R1" s="50" t="s">
        <v>49</v>
      </c>
      <c r="S1" t="s">
        <v>59</v>
      </c>
      <c r="AA1" s="31"/>
      <c r="AB1" s="50"/>
      <c r="AF1" s="50"/>
    </row>
    <row r="2" spans="1:49" x14ac:dyDescent="0.35">
      <c r="A2" s="2" t="s">
        <v>124</v>
      </c>
      <c r="B2" s="49" t="s">
        <v>93</v>
      </c>
      <c r="C2">
        <v>125</v>
      </c>
      <c r="D2" t="s">
        <v>95</v>
      </c>
      <c r="G2" s="2"/>
      <c r="H2" s="2" t="s">
        <v>124</v>
      </c>
      <c r="I2" s="51" t="s">
        <v>93</v>
      </c>
      <c r="J2">
        <v>125</v>
      </c>
      <c r="K2" t="s">
        <v>95</v>
      </c>
      <c r="Q2" s="2" t="s">
        <v>128</v>
      </c>
      <c r="R2" s="51" t="s">
        <v>93</v>
      </c>
      <c r="S2">
        <v>108</v>
      </c>
      <c r="T2" t="s">
        <v>95</v>
      </c>
    </row>
    <row r="3" spans="1:49" x14ac:dyDescent="0.35">
      <c r="A3" s="2" t="s">
        <v>127</v>
      </c>
      <c r="B3" s="49" t="s">
        <v>93</v>
      </c>
      <c r="C3">
        <v>109</v>
      </c>
      <c r="D3" t="s">
        <v>95</v>
      </c>
      <c r="G3" s="2"/>
      <c r="H3" s="2" t="s">
        <v>127</v>
      </c>
      <c r="I3" s="51" t="s">
        <v>93</v>
      </c>
      <c r="J3">
        <v>109</v>
      </c>
      <c r="K3" t="s">
        <v>95</v>
      </c>
      <c r="Q3" s="2" t="s">
        <v>129</v>
      </c>
      <c r="R3" s="51" t="s">
        <v>93</v>
      </c>
      <c r="S3">
        <v>117</v>
      </c>
      <c r="T3" t="s">
        <v>95</v>
      </c>
      <c r="AB3" s="2"/>
      <c r="AC3" s="2"/>
      <c r="AH3" s="51"/>
    </row>
    <row r="4" spans="1:49" ht="18.5" x14ac:dyDescent="0.45">
      <c r="A4" s="2" t="s">
        <v>128</v>
      </c>
      <c r="B4" s="49" t="s">
        <v>93</v>
      </c>
      <c r="C4">
        <v>108</v>
      </c>
      <c r="D4" t="s">
        <v>95</v>
      </c>
      <c r="G4" s="2"/>
      <c r="H4" s="2" t="s">
        <v>130</v>
      </c>
      <c r="I4" s="51" t="s">
        <v>93</v>
      </c>
      <c r="J4">
        <v>142</v>
      </c>
      <c r="K4" t="s">
        <v>95</v>
      </c>
      <c r="Q4" s="2" t="s">
        <v>132</v>
      </c>
      <c r="R4" s="51" t="s">
        <v>93</v>
      </c>
      <c r="S4">
        <v>109</v>
      </c>
      <c r="T4" t="s">
        <v>95</v>
      </c>
      <c r="AB4" s="2"/>
      <c r="AC4" s="2"/>
      <c r="AD4" s="57" t="s">
        <v>227</v>
      </c>
      <c r="AG4" s="58" t="s">
        <v>15</v>
      </c>
      <c r="AH4" s="51"/>
      <c r="AI4" s="27" t="s">
        <v>14</v>
      </c>
      <c r="AK4" s="2"/>
      <c r="AL4" s="2"/>
      <c r="AM4" s="58" t="s">
        <v>15</v>
      </c>
      <c r="AN4" s="51"/>
      <c r="AP4" s="91" t="s">
        <v>277</v>
      </c>
    </row>
    <row r="5" spans="1:49" ht="15.5" x14ac:dyDescent="0.35">
      <c r="A5" s="2" t="s">
        <v>129</v>
      </c>
      <c r="B5" s="49" t="s">
        <v>93</v>
      </c>
      <c r="C5">
        <v>117</v>
      </c>
      <c r="D5" t="s">
        <v>95</v>
      </c>
      <c r="G5" s="2"/>
      <c r="H5" s="2" t="s">
        <v>131</v>
      </c>
      <c r="I5" s="51" t="s">
        <v>93</v>
      </c>
      <c r="J5">
        <v>136</v>
      </c>
      <c r="K5" t="s">
        <v>95</v>
      </c>
      <c r="Q5" s="2" t="s">
        <v>133</v>
      </c>
      <c r="R5" s="51" t="s">
        <v>93</v>
      </c>
      <c r="S5">
        <v>108</v>
      </c>
      <c r="T5" t="s">
        <v>95</v>
      </c>
      <c r="AB5" s="64" t="s">
        <v>229</v>
      </c>
      <c r="AC5" s="27" t="s">
        <v>231</v>
      </c>
      <c r="AD5" s="56" t="s">
        <v>226</v>
      </c>
      <c r="AE5" s="56" t="s">
        <v>89</v>
      </c>
      <c r="AF5" s="27"/>
      <c r="AG5" s="56" t="s">
        <v>226</v>
      </c>
      <c r="AH5" s="63" t="s">
        <v>89</v>
      </c>
      <c r="AI5" s="59" t="s">
        <v>39</v>
      </c>
      <c r="AK5" s="64" t="s">
        <v>229</v>
      </c>
      <c r="AL5" s="27" t="s">
        <v>231</v>
      </c>
      <c r="AM5" s="56" t="s">
        <v>226</v>
      </c>
      <c r="AN5" s="63" t="s">
        <v>89</v>
      </c>
      <c r="AP5" s="2"/>
      <c r="AQ5" s="2"/>
      <c r="AR5" s="58" t="s">
        <v>227</v>
      </c>
      <c r="AS5" s="2"/>
      <c r="AT5" s="2"/>
      <c r="AU5" s="58" t="s">
        <v>15</v>
      </c>
      <c r="AV5" s="51"/>
      <c r="AW5" s="27" t="s">
        <v>14</v>
      </c>
    </row>
    <row r="6" spans="1:49" x14ac:dyDescent="0.35">
      <c r="A6" s="2" t="s">
        <v>130</v>
      </c>
      <c r="B6" s="49" t="s">
        <v>93</v>
      </c>
      <c r="C6">
        <v>142</v>
      </c>
      <c r="D6" t="s">
        <v>95</v>
      </c>
      <c r="G6" s="2"/>
      <c r="H6" s="2" t="s">
        <v>224</v>
      </c>
      <c r="I6" s="51"/>
      <c r="J6" s="53">
        <v>128</v>
      </c>
      <c r="K6" s="53">
        <v>14.5</v>
      </c>
      <c r="L6" t="s">
        <v>95</v>
      </c>
      <c r="O6">
        <f>_xlfn.T.TEST(J2:J5,S2:S5,2,2)</f>
        <v>6.0032736572351079E-2</v>
      </c>
      <c r="Q6" s="2" t="s">
        <v>224</v>
      </c>
      <c r="R6" s="51"/>
      <c r="S6" s="53">
        <v>110.5</v>
      </c>
      <c r="T6" s="53">
        <v>4.4000000000000004</v>
      </c>
      <c r="U6" t="s">
        <v>95</v>
      </c>
      <c r="AB6" s="65" t="s">
        <v>263</v>
      </c>
      <c r="AC6" s="2" t="s">
        <v>232</v>
      </c>
      <c r="AD6" s="53">
        <v>128</v>
      </c>
      <c r="AE6" s="61">
        <v>14.5</v>
      </c>
      <c r="AF6" s="60"/>
      <c r="AG6" s="53">
        <v>110.5</v>
      </c>
      <c r="AH6" s="61">
        <v>4.4000000000000004</v>
      </c>
      <c r="AI6">
        <v>0.06</v>
      </c>
      <c r="AK6" s="65" t="s">
        <v>263</v>
      </c>
      <c r="AL6" s="2" t="s">
        <v>232</v>
      </c>
      <c r="AM6" s="53">
        <v>110.5</v>
      </c>
      <c r="AN6" s="61">
        <v>4.4000000000000004</v>
      </c>
      <c r="AP6" s="64" t="s">
        <v>229</v>
      </c>
      <c r="AQ6" s="27" t="s">
        <v>231</v>
      </c>
      <c r="AR6" s="27" t="s">
        <v>226</v>
      </c>
      <c r="AS6" s="27" t="s">
        <v>89</v>
      </c>
      <c r="AT6" s="27"/>
      <c r="AU6" s="27" t="s">
        <v>226</v>
      </c>
      <c r="AV6" s="59" t="s">
        <v>89</v>
      </c>
      <c r="AW6" s="59" t="s">
        <v>39</v>
      </c>
    </row>
    <row r="7" spans="1:49" x14ac:dyDescent="0.35">
      <c r="A7" s="2" t="s">
        <v>131</v>
      </c>
      <c r="B7" s="49" t="s">
        <v>93</v>
      </c>
      <c r="C7">
        <v>136</v>
      </c>
      <c r="D7" t="s">
        <v>95</v>
      </c>
      <c r="G7" s="2"/>
      <c r="H7" s="2"/>
      <c r="I7" s="51"/>
      <c r="Q7" s="2"/>
      <c r="R7" s="51"/>
      <c r="AB7" s="65" t="s">
        <v>264</v>
      </c>
      <c r="AC7" s="2" t="s">
        <v>233</v>
      </c>
      <c r="AD7" s="53">
        <v>13.600000000000001</v>
      </c>
      <c r="AE7" s="61">
        <v>0.5</v>
      </c>
      <c r="AF7" s="60"/>
      <c r="AG7" s="54">
        <v>15.975</v>
      </c>
      <c r="AH7" s="61">
        <v>2.1</v>
      </c>
      <c r="AI7">
        <v>6.9000000000000006E-2</v>
      </c>
      <c r="AK7" s="65" t="s">
        <v>264</v>
      </c>
      <c r="AL7" s="2" t="s">
        <v>233</v>
      </c>
      <c r="AM7" s="54">
        <v>15.975</v>
      </c>
      <c r="AN7" s="61">
        <v>2.1</v>
      </c>
      <c r="AP7" s="65" t="s">
        <v>239</v>
      </c>
      <c r="AQ7" s="2" t="s">
        <v>245</v>
      </c>
      <c r="AR7" s="71">
        <v>4.93</v>
      </c>
      <c r="AS7" s="72">
        <v>0.80100000000000005</v>
      </c>
      <c r="AT7" s="72"/>
      <c r="AU7" s="73">
        <v>8.3699999999999992</v>
      </c>
      <c r="AV7" s="72">
        <v>0.33800000000000002</v>
      </c>
      <c r="AW7" s="2" t="s">
        <v>228</v>
      </c>
    </row>
    <row r="8" spans="1:49" x14ac:dyDescent="0.35">
      <c r="A8" s="2" t="s">
        <v>132</v>
      </c>
      <c r="B8" s="49" t="s">
        <v>93</v>
      </c>
      <c r="C8">
        <v>109</v>
      </c>
      <c r="D8" t="s">
        <v>95</v>
      </c>
      <c r="G8" s="2"/>
      <c r="H8" s="2" t="s">
        <v>136</v>
      </c>
      <c r="I8" s="51" t="s">
        <v>138</v>
      </c>
      <c r="J8">
        <v>13.1</v>
      </c>
      <c r="K8" t="s">
        <v>95</v>
      </c>
      <c r="Q8" s="2" t="s">
        <v>140</v>
      </c>
      <c r="R8" s="51" t="s">
        <v>138</v>
      </c>
      <c r="S8">
        <v>15</v>
      </c>
      <c r="T8" t="s">
        <v>95</v>
      </c>
      <c r="AB8" s="65" t="s">
        <v>261</v>
      </c>
      <c r="AC8" s="2" t="s">
        <v>233</v>
      </c>
      <c r="AD8" s="54">
        <v>38.25</v>
      </c>
      <c r="AE8" s="61">
        <v>13.5</v>
      </c>
      <c r="AF8" s="60"/>
      <c r="AG8" s="54">
        <v>35.125</v>
      </c>
      <c r="AH8" s="61">
        <v>8.8000000000000007</v>
      </c>
      <c r="AI8">
        <v>0.71</v>
      </c>
      <c r="AK8" s="65" t="s">
        <v>237</v>
      </c>
      <c r="AL8" s="2" t="s">
        <v>233</v>
      </c>
      <c r="AM8" s="54">
        <v>35.125</v>
      </c>
      <c r="AN8" s="61">
        <v>8.8000000000000007</v>
      </c>
      <c r="AP8" s="65" t="s">
        <v>241</v>
      </c>
      <c r="AQ8" s="2" t="s">
        <v>246</v>
      </c>
      <c r="AR8" s="71">
        <v>0.54500000000000004</v>
      </c>
      <c r="AS8" s="72">
        <v>1.0999999999999999E-2</v>
      </c>
      <c r="AT8" s="72"/>
      <c r="AU8" s="71">
        <v>0.40500000000000003</v>
      </c>
      <c r="AV8" s="72">
        <v>0.17699999999999999</v>
      </c>
      <c r="AW8" s="2">
        <v>0.17</v>
      </c>
    </row>
    <row r="9" spans="1:49" x14ac:dyDescent="0.35">
      <c r="A9" s="2" t="s">
        <v>133</v>
      </c>
      <c r="B9" s="49" t="s">
        <v>93</v>
      </c>
      <c r="C9">
        <v>108</v>
      </c>
      <c r="D9" t="s">
        <v>95</v>
      </c>
      <c r="G9" s="2"/>
      <c r="H9" s="2" t="s">
        <v>139</v>
      </c>
      <c r="I9" s="51" t="s">
        <v>138</v>
      </c>
      <c r="J9">
        <v>13.4</v>
      </c>
      <c r="K9" t="s">
        <v>95</v>
      </c>
      <c r="Q9" s="2" t="s">
        <v>141</v>
      </c>
      <c r="R9" s="51" t="s">
        <v>138</v>
      </c>
      <c r="S9">
        <v>13.5</v>
      </c>
      <c r="T9" t="s">
        <v>95</v>
      </c>
      <c r="AB9" s="65" t="s">
        <v>262</v>
      </c>
      <c r="AC9" s="2" t="s">
        <v>233</v>
      </c>
      <c r="AD9" s="54">
        <v>5.03</v>
      </c>
      <c r="AE9" s="61">
        <v>0.64</v>
      </c>
      <c r="AF9" s="60"/>
      <c r="AG9" s="54">
        <v>3.6875</v>
      </c>
      <c r="AH9" s="61">
        <v>0.55000000000000004</v>
      </c>
      <c r="AI9">
        <v>0.02</v>
      </c>
      <c r="AK9" s="65" t="s">
        <v>238</v>
      </c>
      <c r="AL9" s="2" t="s">
        <v>233</v>
      </c>
      <c r="AM9" s="54">
        <v>3.6875</v>
      </c>
      <c r="AN9" s="61">
        <v>0.55000000000000004</v>
      </c>
    </row>
    <row r="10" spans="1:49" x14ac:dyDescent="0.35">
      <c r="A10" s="2"/>
      <c r="B10" s="49"/>
      <c r="G10" s="2"/>
      <c r="H10" s="2" t="s">
        <v>142</v>
      </c>
      <c r="I10" s="51" t="s">
        <v>138</v>
      </c>
      <c r="J10">
        <v>13.6</v>
      </c>
      <c r="K10" t="s">
        <v>95</v>
      </c>
      <c r="Q10" s="2" t="s">
        <v>144</v>
      </c>
      <c r="R10" s="51" t="s">
        <v>138</v>
      </c>
      <c r="S10">
        <v>17.899999999999999</v>
      </c>
      <c r="T10" t="s">
        <v>95</v>
      </c>
      <c r="AB10" s="65" t="s">
        <v>239</v>
      </c>
      <c r="AC10" s="2" t="s">
        <v>235</v>
      </c>
      <c r="AD10" s="55">
        <v>4933.4329844999993</v>
      </c>
      <c r="AE10" s="61">
        <v>801</v>
      </c>
      <c r="AF10" s="60"/>
      <c r="AG10" s="55">
        <v>8371.1793450000005</v>
      </c>
      <c r="AH10" s="61">
        <v>338</v>
      </c>
      <c r="AI10" s="60" t="s">
        <v>228</v>
      </c>
      <c r="AK10" s="65" t="s">
        <v>239</v>
      </c>
      <c r="AL10" s="2" t="s">
        <v>235</v>
      </c>
      <c r="AM10" s="55">
        <v>8371.1793450000005</v>
      </c>
      <c r="AN10" s="61">
        <v>338</v>
      </c>
    </row>
    <row r="11" spans="1:49" x14ac:dyDescent="0.35">
      <c r="A11" s="2"/>
      <c r="B11" s="49"/>
      <c r="G11" s="2"/>
      <c r="H11" s="2" t="s">
        <v>143</v>
      </c>
      <c r="I11" s="51" t="s">
        <v>138</v>
      </c>
      <c r="J11">
        <v>14.3</v>
      </c>
      <c r="K11" t="s">
        <v>95</v>
      </c>
      <c r="Q11" s="2" t="s">
        <v>145</v>
      </c>
      <c r="R11" s="51" t="s">
        <v>138</v>
      </c>
      <c r="S11">
        <v>17.5</v>
      </c>
      <c r="T11" t="s">
        <v>95</v>
      </c>
      <c r="AB11" s="65" t="s">
        <v>240</v>
      </c>
      <c r="AC11" s="2" t="s">
        <v>235</v>
      </c>
      <c r="AD11" s="56" t="s">
        <v>265</v>
      </c>
      <c r="AE11" s="56"/>
      <c r="AF11" s="60"/>
      <c r="AG11" s="56" t="s">
        <v>265</v>
      </c>
      <c r="AH11" s="56"/>
      <c r="AI11" s="60" t="s">
        <v>230</v>
      </c>
      <c r="AK11" s="65" t="s">
        <v>240</v>
      </c>
      <c r="AL11" s="2" t="s">
        <v>235</v>
      </c>
      <c r="AM11" s="56">
        <v>0</v>
      </c>
      <c r="AN11" s="62">
        <v>0</v>
      </c>
    </row>
    <row r="12" spans="1:49" x14ac:dyDescent="0.35">
      <c r="A12" s="2" t="s">
        <v>136</v>
      </c>
      <c r="B12" s="49" t="s">
        <v>138</v>
      </c>
      <c r="C12">
        <v>13.1</v>
      </c>
      <c r="D12" t="s">
        <v>95</v>
      </c>
      <c r="G12" s="2"/>
      <c r="H12" s="2" t="s">
        <v>224</v>
      </c>
      <c r="J12" s="53">
        <v>13.600000000000001</v>
      </c>
      <c r="K12" s="53">
        <v>0.5</v>
      </c>
      <c r="L12" t="s">
        <v>95</v>
      </c>
      <c r="O12">
        <f>_xlfn.T.TEST(J8:J11,S8:S11,2,2)</f>
        <v>6.9361591849277454E-2</v>
      </c>
      <c r="Q12" s="2" t="s">
        <v>224</v>
      </c>
      <c r="S12" s="54">
        <v>15.975</v>
      </c>
      <c r="T12" s="53">
        <v>2.1</v>
      </c>
      <c r="U12" t="s">
        <v>95</v>
      </c>
      <c r="AB12" s="65" t="s">
        <v>241</v>
      </c>
      <c r="AC12" s="2" t="s">
        <v>236</v>
      </c>
      <c r="AD12" s="55">
        <v>545.27254322499994</v>
      </c>
      <c r="AE12" s="61">
        <v>11</v>
      </c>
      <c r="AF12" s="60"/>
      <c r="AG12" s="55">
        <v>405.43801896999997</v>
      </c>
      <c r="AH12" s="61">
        <v>177</v>
      </c>
      <c r="AI12">
        <v>0.17</v>
      </c>
      <c r="AK12" s="65" t="s">
        <v>241</v>
      </c>
      <c r="AL12" s="2" t="s">
        <v>236</v>
      </c>
      <c r="AM12" s="55">
        <v>405.43801896999997</v>
      </c>
      <c r="AN12" s="61">
        <v>177</v>
      </c>
    </row>
    <row r="13" spans="1:49" x14ac:dyDescent="0.35">
      <c r="A13" s="2" t="s">
        <v>139</v>
      </c>
      <c r="B13" s="49" t="s">
        <v>138</v>
      </c>
      <c r="C13">
        <v>13.4</v>
      </c>
      <c r="D13" t="s">
        <v>95</v>
      </c>
      <c r="G13" s="2"/>
      <c r="AB13" s="65" t="s">
        <v>242</v>
      </c>
      <c r="AC13" s="2" t="s">
        <v>236</v>
      </c>
      <c r="AD13" s="53">
        <v>39</v>
      </c>
      <c r="AE13" s="61">
        <v>14</v>
      </c>
      <c r="AF13" s="60"/>
      <c r="AG13" s="54">
        <v>22.274999999999999</v>
      </c>
      <c r="AH13" s="61">
        <v>19</v>
      </c>
      <c r="AI13">
        <v>0.21</v>
      </c>
      <c r="AK13" s="65" t="s">
        <v>242</v>
      </c>
      <c r="AL13" s="2" t="s">
        <v>236</v>
      </c>
      <c r="AM13" s="54">
        <v>22.274999999999999</v>
      </c>
      <c r="AN13" s="61">
        <v>19</v>
      </c>
    </row>
    <row r="14" spans="1:49" x14ac:dyDescent="0.35">
      <c r="A14" s="2" t="s">
        <v>140</v>
      </c>
      <c r="B14" s="49" t="s">
        <v>138</v>
      </c>
      <c r="C14">
        <v>15</v>
      </c>
      <c r="D14" t="s">
        <v>95</v>
      </c>
      <c r="G14" s="2"/>
      <c r="AB14" s="65" t="s">
        <v>243</v>
      </c>
      <c r="AC14" s="2" t="s">
        <v>234</v>
      </c>
      <c r="AD14" s="53">
        <v>298.5</v>
      </c>
      <c r="AE14" s="61">
        <v>62</v>
      </c>
      <c r="AF14" s="60"/>
      <c r="AG14" s="53">
        <v>230.5</v>
      </c>
      <c r="AH14" s="61">
        <v>24</v>
      </c>
      <c r="AI14">
        <v>8.5999999999999993E-2</v>
      </c>
      <c r="AK14" s="65" t="s">
        <v>243</v>
      </c>
      <c r="AL14" s="2" t="s">
        <v>234</v>
      </c>
      <c r="AM14" s="53">
        <v>230.5</v>
      </c>
      <c r="AN14" s="61">
        <v>24</v>
      </c>
    </row>
    <row r="15" spans="1:49" x14ac:dyDescent="0.35">
      <c r="A15" s="2" t="s">
        <v>141</v>
      </c>
      <c r="B15" s="49" t="s">
        <v>138</v>
      </c>
      <c r="C15">
        <v>13.5</v>
      </c>
      <c r="D15" t="s">
        <v>95</v>
      </c>
      <c r="G15" s="2"/>
      <c r="H15" s="2" t="s">
        <v>124</v>
      </c>
      <c r="I15" s="51" t="s">
        <v>148</v>
      </c>
      <c r="J15">
        <v>251</v>
      </c>
      <c r="K15" t="s">
        <v>150</v>
      </c>
      <c r="Q15" s="2" t="s">
        <v>128</v>
      </c>
      <c r="R15" s="51" t="s">
        <v>148</v>
      </c>
      <c r="S15">
        <v>248</v>
      </c>
      <c r="T15" t="s">
        <v>150</v>
      </c>
      <c r="AB15" s="65" t="s">
        <v>244</v>
      </c>
      <c r="AC15" s="2" t="s">
        <v>234</v>
      </c>
      <c r="AD15" s="54">
        <v>4.6924999999999999</v>
      </c>
      <c r="AE15" s="61">
        <v>0.43</v>
      </c>
      <c r="AF15" s="60"/>
      <c r="AG15" s="54">
        <v>4.2375000000000007</v>
      </c>
      <c r="AH15" s="61">
        <v>0.48</v>
      </c>
      <c r="AI15">
        <v>0.21</v>
      </c>
      <c r="AK15" s="65" t="s">
        <v>244</v>
      </c>
      <c r="AL15" s="2" t="s">
        <v>234</v>
      </c>
      <c r="AM15" s="54">
        <v>4.2375000000000007</v>
      </c>
      <c r="AN15" s="61">
        <v>0.48</v>
      </c>
    </row>
    <row r="16" spans="1:49" x14ac:dyDescent="0.35">
      <c r="A16" s="2" t="s">
        <v>142</v>
      </c>
      <c r="B16" s="49" t="s">
        <v>138</v>
      </c>
      <c r="C16">
        <v>13.6</v>
      </c>
      <c r="D16" t="s">
        <v>95</v>
      </c>
      <c r="G16" s="2"/>
      <c r="H16" s="2" t="s">
        <v>127</v>
      </c>
      <c r="I16" s="51" t="s">
        <v>148</v>
      </c>
      <c r="J16">
        <v>239</v>
      </c>
      <c r="K16" t="s">
        <v>150</v>
      </c>
      <c r="Q16" s="2" t="s">
        <v>129</v>
      </c>
      <c r="R16" s="51" t="s">
        <v>148</v>
      </c>
      <c r="S16">
        <v>254</v>
      </c>
      <c r="T16" t="s">
        <v>150</v>
      </c>
    </row>
    <row r="17" spans="1:36" x14ac:dyDescent="0.35">
      <c r="A17" s="2" t="s">
        <v>143</v>
      </c>
      <c r="B17" s="49" t="s">
        <v>138</v>
      </c>
      <c r="C17">
        <v>14.3</v>
      </c>
      <c r="D17" t="s">
        <v>95</v>
      </c>
      <c r="G17" s="2"/>
      <c r="H17" s="2" t="s">
        <v>130</v>
      </c>
      <c r="I17" s="51" t="s">
        <v>148</v>
      </c>
      <c r="J17">
        <v>354</v>
      </c>
      <c r="K17" t="s">
        <v>150</v>
      </c>
      <c r="Q17" s="2" t="s">
        <v>132</v>
      </c>
      <c r="R17" s="51" t="s">
        <v>148</v>
      </c>
      <c r="S17">
        <v>212</v>
      </c>
      <c r="T17" t="s">
        <v>150</v>
      </c>
    </row>
    <row r="18" spans="1:36" x14ac:dyDescent="0.35">
      <c r="A18" s="2" t="s">
        <v>144</v>
      </c>
      <c r="B18" s="49" t="s">
        <v>138</v>
      </c>
      <c r="C18">
        <v>17.899999999999999</v>
      </c>
      <c r="D18" t="s">
        <v>95</v>
      </c>
      <c r="G18" s="2"/>
      <c r="H18" s="2" t="s">
        <v>131</v>
      </c>
      <c r="I18" s="51" t="s">
        <v>148</v>
      </c>
      <c r="J18">
        <v>350</v>
      </c>
      <c r="K18" t="s">
        <v>150</v>
      </c>
      <c r="Q18" s="2" t="s">
        <v>133</v>
      </c>
      <c r="R18" s="51" t="s">
        <v>148</v>
      </c>
      <c r="S18">
        <v>208</v>
      </c>
      <c r="T18" t="s">
        <v>150</v>
      </c>
    </row>
    <row r="19" spans="1:36" x14ac:dyDescent="0.35">
      <c r="A19" s="2" t="s">
        <v>145</v>
      </c>
      <c r="B19" s="49" t="s">
        <v>138</v>
      </c>
      <c r="C19">
        <v>17.5</v>
      </c>
      <c r="D19" t="s">
        <v>95</v>
      </c>
      <c r="G19" s="2"/>
      <c r="H19" s="2" t="s">
        <v>224</v>
      </c>
      <c r="J19" s="53">
        <v>298.5</v>
      </c>
      <c r="K19" s="53">
        <v>62</v>
      </c>
      <c r="L19" t="s">
        <v>150</v>
      </c>
      <c r="O19">
        <f>_xlfn.T.TEST(J15:J18,S15:S18,2,2)</f>
        <v>8.6542594129164985E-2</v>
      </c>
      <c r="Q19" s="2" t="s">
        <v>224</v>
      </c>
      <c r="S19" s="53">
        <v>230.5</v>
      </c>
      <c r="T19" s="53">
        <v>24</v>
      </c>
      <c r="U19" t="s">
        <v>150</v>
      </c>
      <c r="AA19" s="2"/>
      <c r="AI19" t="s">
        <v>267</v>
      </c>
    </row>
    <row r="20" spans="1:36" ht="15.5" x14ac:dyDescent="0.35">
      <c r="B20" s="24"/>
      <c r="AA20" s="2"/>
      <c r="AB20" s="2"/>
      <c r="AC20" s="2"/>
      <c r="AD20" s="57" t="s">
        <v>227</v>
      </c>
      <c r="AG20" s="58" t="s">
        <v>15</v>
      </c>
      <c r="AH20" s="51"/>
      <c r="AI20" s="27" t="s">
        <v>14</v>
      </c>
      <c r="AJ20" s="27"/>
    </row>
    <row r="21" spans="1:36" x14ac:dyDescent="0.35">
      <c r="B21" s="24"/>
      <c r="H21" s="2" t="s">
        <v>136</v>
      </c>
      <c r="I21" s="51" t="s">
        <v>162</v>
      </c>
      <c r="J21">
        <v>4.9000000000000004</v>
      </c>
      <c r="K21" t="s">
        <v>150</v>
      </c>
      <c r="Q21" s="2" t="s">
        <v>140</v>
      </c>
      <c r="R21" s="51" t="s">
        <v>162</v>
      </c>
      <c r="S21">
        <v>3.72</v>
      </c>
      <c r="T21" t="s">
        <v>150</v>
      </c>
      <c r="AA21" s="2"/>
      <c r="AB21" s="64" t="s">
        <v>229</v>
      </c>
      <c r="AC21" s="27" t="s">
        <v>231</v>
      </c>
      <c r="AD21" s="56" t="s">
        <v>226</v>
      </c>
      <c r="AE21" s="56" t="s">
        <v>89</v>
      </c>
      <c r="AF21" s="27"/>
      <c r="AG21" s="56" t="s">
        <v>226</v>
      </c>
      <c r="AH21" s="63" t="s">
        <v>89</v>
      </c>
      <c r="AI21" s="59" t="s">
        <v>39</v>
      </c>
      <c r="AJ21" s="59"/>
    </row>
    <row r="22" spans="1:36" x14ac:dyDescent="0.35">
      <c r="B22" s="24"/>
      <c r="H22" s="2" t="s">
        <v>139</v>
      </c>
      <c r="I22" s="51" t="s">
        <v>162</v>
      </c>
      <c r="J22">
        <v>4.09</v>
      </c>
      <c r="K22" t="s">
        <v>150</v>
      </c>
      <c r="Q22" s="2" t="s">
        <v>141</v>
      </c>
      <c r="R22" s="51" t="s">
        <v>162</v>
      </c>
      <c r="S22">
        <v>4.26</v>
      </c>
      <c r="T22" t="s">
        <v>150</v>
      </c>
      <c r="AA22" s="2"/>
      <c r="AB22" s="65" t="s">
        <v>263</v>
      </c>
      <c r="AC22" s="2" t="s">
        <v>245</v>
      </c>
      <c r="AD22" s="66">
        <v>0.128</v>
      </c>
      <c r="AE22" s="61">
        <v>1.4999999999999999E-2</v>
      </c>
      <c r="AF22" s="60"/>
      <c r="AG22" s="53">
        <v>0.111</v>
      </c>
      <c r="AH22" s="61">
        <v>4.0000000000000001E-3</v>
      </c>
      <c r="AI22">
        <v>0.06</v>
      </c>
    </row>
    <row r="23" spans="1:36" x14ac:dyDescent="0.35">
      <c r="A23" s="2" t="s">
        <v>124</v>
      </c>
      <c r="B23" s="49" t="s">
        <v>148</v>
      </c>
      <c r="C23">
        <v>251</v>
      </c>
      <c r="D23" t="s">
        <v>150</v>
      </c>
      <c r="G23" s="2"/>
      <c r="H23" s="2" t="s">
        <v>142</v>
      </c>
      <c r="I23" s="51" t="s">
        <v>162</v>
      </c>
      <c r="J23">
        <v>4.71</v>
      </c>
      <c r="K23" t="s">
        <v>150</v>
      </c>
      <c r="Q23" s="2" t="s">
        <v>144</v>
      </c>
      <c r="R23" s="51" t="s">
        <v>162</v>
      </c>
      <c r="S23">
        <v>4.87</v>
      </c>
      <c r="T23" t="s">
        <v>150</v>
      </c>
      <c r="AA23" s="2"/>
      <c r="AB23" s="65" t="s">
        <v>266</v>
      </c>
      <c r="AC23" s="2" t="s">
        <v>245</v>
      </c>
      <c r="AD23" s="66">
        <v>1.4E-2</v>
      </c>
      <c r="AE23" s="61">
        <v>5.0000000000000001E-3</v>
      </c>
      <c r="AF23" s="60"/>
      <c r="AG23" s="66">
        <v>1.6E-2</v>
      </c>
      <c r="AH23" s="61">
        <v>2E-3</v>
      </c>
      <c r="AI23">
        <v>6.9000000000000006E-2</v>
      </c>
    </row>
    <row r="24" spans="1:36" x14ac:dyDescent="0.35">
      <c r="A24" s="2" t="s">
        <v>127</v>
      </c>
      <c r="B24" s="49" t="s">
        <v>148</v>
      </c>
      <c r="C24">
        <v>239</v>
      </c>
      <c r="D24" t="s">
        <v>150</v>
      </c>
      <c r="G24" s="2"/>
      <c r="H24" s="2" t="s">
        <v>143</v>
      </c>
      <c r="I24" s="51" t="s">
        <v>162</v>
      </c>
      <c r="J24">
        <v>5.07</v>
      </c>
      <c r="K24" t="s">
        <v>150</v>
      </c>
      <c r="Q24" s="2" t="s">
        <v>145</v>
      </c>
      <c r="R24" s="51" t="s">
        <v>162</v>
      </c>
      <c r="S24">
        <v>4.0999999999999996</v>
      </c>
      <c r="T24" t="s">
        <v>150</v>
      </c>
      <c r="AB24" s="65" t="s">
        <v>237</v>
      </c>
      <c r="AC24" s="2" t="s">
        <v>245</v>
      </c>
      <c r="AD24" s="66">
        <v>3.7999999999999999E-2</v>
      </c>
      <c r="AE24" s="61">
        <v>1.4E-2</v>
      </c>
      <c r="AF24" s="60"/>
      <c r="AG24" s="66">
        <v>3.5000000000000003E-2</v>
      </c>
      <c r="AH24" s="61">
        <v>8.9999999999999993E-3</v>
      </c>
      <c r="AI24">
        <v>0.71</v>
      </c>
    </row>
    <row r="25" spans="1:36" x14ac:dyDescent="0.35">
      <c r="A25" s="2" t="s">
        <v>128</v>
      </c>
      <c r="B25" s="49" t="s">
        <v>148</v>
      </c>
      <c r="C25">
        <v>248</v>
      </c>
      <c r="D25" t="s">
        <v>150</v>
      </c>
      <c r="G25" s="2"/>
      <c r="H25" s="2" t="s">
        <v>224</v>
      </c>
      <c r="J25" s="54">
        <v>4.6924999999999999</v>
      </c>
      <c r="K25" s="53">
        <v>0.43</v>
      </c>
      <c r="L25" t="s">
        <v>150</v>
      </c>
      <c r="O25">
        <f>_xlfn.T.TEST(J21:J24,S21:S24,2,2)</f>
        <v>0.20607458927169556</v>
      </c>
      <c r="Q25" s="2" t="s">
        <v>224</v>
      </c>
      <c r="S25" s="54">
        <v>4.2375000000000007</v>
      </c>
      <c r="T25" s="53">
        <v>0.48</v>
      </c>
      <c r="U25" t="s">
        <v>150</v>
      </c>
      <c r="AB25" s="65" t="s">
        <v>238</v>
      </c>
      <c r="AC25" s="2" t="s">
        <v>245</v>
      </c>
      <c r="AD25" s="66">
        <v>5.0000000000000001E-3</v>
      </c>
      <c r="AE25" s="61">
        <v>5.9999999999999995E-4</v>
      </c>
      <c r="AF25" s="60"/>
      <c r="AG25" s="66">
        <v>4.0000000000000001E-3</v>
      </c>
      <c r="AH25" s="61">
        <v>5.9999999999999995E-4</v>
      </c>
      <c r="AI25">
        <v>0.02</v>
      </c>
    </row>
    <row r="26" spans="1:36" x14ac:dyDescent="0.35">
      <c r="A26" s="2" t="s">
        <v>129</v>
      </c>
      <c r="B26" s="49" t="s">
        <v>148</v>
      </c>
      <c r="C26">
        <v>254</v>
      </c>
      <c r="D26" t="s">
        <v>150</v>
      </c>
      <c r="G26" s="2"/>
      <c r="AB26" s="65" t="s">
        <v>239</v>
      </c>
      <c r="AC26" s="2" t="s">
        <v>245</v>
      </c>
      <c r="AD26" s="66">
        <v>4.93</v>
      </c>
      <c r="AE26" s="61">
        <v>0.80100000000000005</v>
      </c>
      <c r="AF26" s="60"/>
      <c r="AG26" s="67">
        <v>8.3699999999999992</v>
      </c>
      <c r="AH26" s="61">
        <v>0.33800000000000002</v>
      </c>
      <c r="AI26" s="60" t="s">
        <v>228</v>
      </c>
      <c r="AJ26" s="60"/>
    </row>
    <row r="27" spans="1:36" x14ac:dyDescent="0.35">
      <c r="A27" s="2" t="s">
        <v>130</v>
      </c>
      <c r="B27" s="49" t="s">
        <v>148</v>
      </c>
      <c r="C27">
        <v>354</v>
      </c>
      <c r="D27" t="s">
        <v>150</v>
      </c>
      <c r="G27" s="2"/>
      <c r="H27" s="2" t="s">
        <v>124</v>
      </c>
      <c r="I27" s="51" t="s">
        <v>163</v>
      </c>
      <c r="J27">
        <v>50.1</v>
      </c>
      <c r="K27" t="s">
        <v>95</v>
      </c>
      <c r="Q27" s="2" t="s">
        <v>128</v>
      </c>
      <c r="R27" s="51" t="s">
        <v>163</v>
      </c>
      <c r="S27">
        <v>24.6</v>
      </c>
      <c r="T27" t="s">
        <v>95</v>
      </c>
      <c r="AB27" s="65" t="s">
        <v>240</v>
      </c>
      <c r="AC27" s="2" t="s">
        <v>245</v>
      </c>
      <c r="AD27" s="68" t="s">
        <v>225</v>
      </c>
      <c r="AE27" s="62"/>
      <c r="AF27" s="60"/>
      <c r="AG27" s="56" t="s">
        <v>225</v>
      </c>
      <c r="AH27" s="62"/>
      <c r="AI27" s="60" t="s">
        <v>230</v>
      </c>
    </row>
    <row r="28" spans="1:36" x14ac:dyDescent="0.35">
      <c r="A28" s="2" t="s">
        <v>131</v>
      </c>
      <c r="B28" s="49" t="s">
        <v>148</v>
      </c>
      <c r="C28">
        <v>350</v>
      </c>
      <c r="D28" t="s">
        <v>150</v>
      </c>
      <c r="G28" s="2"/>
      <c r="H28" s="2" t="s">
        <v>127</v>
      </c>
      <c r="I28" s="51" t="s">
        <v>163</v>
      </c>
      <c r="J28">
        <v>49.8</v>
      </c>
      <c r="K28" t="s">
        <v>95</v>
      </c>
      <c r="Q28" s="2" t="s">
        <v>129</v>
      </c>
      <c r="R28" s="51" t="s">
        <v>163</v>
      </c>
      <c r="S28">
        <v>31.1</v>
      </c>
      <c r="T28" t="s">
        <v>95</v>
      </c>
      <c r="AB28" s="65" t="s">
        <v>241</v>
      </c>
      <c r="AC28" s="2" t="s">
        <v>246</v>
      </c>
      <c r="AD28" s="66">
        <v>0.54500000000000004</v>
      </c>
      <c r="AE28" s="61">
        <v>1.0999999999999999E-2</v>
      </c>
      <c r="AF28" s="60"/>
      <c r="AG28" s="66">
        <v>0.40500000000000003</v>
      </c>
      <c r="AH28" s="61">
        <v>0.17699999999999999</v>
      </c>
      <c r="AI28">
        <v>0.17</v>
      </c>
    </row>
    <row r="29" spans="1:36" x14ac:dyDescent="0.35">
      <c r="A29" s="2" t="s">
        <v>132</v>
      </c>
      <c r="B29" s="49" t="s">
        <v>148</v>
      </c>
      <c r="C29">
        <v>212</v>
      </c>
      <c r="D29" t="s">
        <v>150</v>
      </c>
      <c r="G29" s="2"/>
      <c r="H29" s="2" t="s">
        <v>130</v>
      </c>
      <c r="I29" s="51" t="s">
        <v>163</v>
      </c>
      <c r="J29">
        <v>25.7</v>
      </c>
      <c r="K29" t="s">
        <v>95</v>
      </c>
      <c r="Q29" s="2" t="s">
        <v>132</v>
      </c>
      <c r="R29" s="51" t="s">
        <v>163</v>
      </c>
      <c r="S29">
        <v>42.3</v>
      </c>
      <c r="T29" t="s">
        <v>95</v>
      </c>
      <c r="AB29" s="65" t="s">
        <v>242</v>
      </c>
      <c r="AC29" s="2" t="s">
        <v>246</v>
      </c>
      <c r="AD29" s="66">
        <v>3.9E-2</v>
      </c>
      <c r="AE29" s="61">
        <v>1.4E-2</v>
      </c>
      <c r="AF29" s="60"/>
      <c r="AG29" s="66">
        <v>2.1999999999999999E-2</v>
      </c>
      <c r="AH29" s="61">
        <v>1.9E-2</v>
      </c>
      <c r="AI29">
        <v>0.21</v>
      </c>
    </row>
    <row r="30" spans="1:36" x14ac:dyDescent="0.35">
      <c r="A30" s="2" t="s">
        <v>133</v>
      </c>
      <c r="B30" s="49" t="s">
        <v>148</v>
      </c>
      <c r="C30">
        <v>208</v>
      </c>
      <c r="D30" t="s">
        <v>150</v>
      </c>
      <c r="G30" s="2"/>
      <c r="H30" s="2" t="s">
        <v>131</v>
      </c>
      <c r="I30" s="51" t="s">
        <v>163</v>
      </c>
      <c r="J30">
        <v>27.4</v>
      </c>
      <c r="K30" t="s">
        <v>95</v>
      </c>
      <c r="Q30" s="2" t="s">
        <v>133</v>
      </c>
      <c r="R30" s="51" t="s">
        <v>163</v>
      </c>
      <c r="S30">
        <v>42.5</v>
      </c>
      <c r="T30" t="s">
        <v>95</v>
      </c>
      <c r="AB30" s="65" t="s">
        <v>243</v>
      </c>
      <c r="AC30" s="2" t="s">
        <v>246</v>
      </c>
      <c r="AD30" s="66">
        <v>0.29899999999999999</v>
      </c>
      <c r="AE30" s="61">
        <v>6.2E-2</v>
      </c>
      <c r="AF30" s="60"/>
      <c r="AG30" s="53">
        <v>0.23100000000000001</v>
      </c>
      <c r="AH30" s="61">
        <v>2.4E-2</v>
      </c>
      <c r="AI30">
        <v>8.5999999999999993E-2</v>
      </c>
    </row>
    <row r="31" spans="1:36" x14ac:dyDescent="0.35">
      <c r="B31" s="24"/>
      <c r="H31" s="2" t="s">
        <v>224</v>
      </c>
      <c r="I31" s="51"/>
      <c r="J31" s="54">
        <v>38.25</v>
      </c>
      <c r="K31" s="53">
        <v>13.5</v>
      </c>
      <c r="L31" t="s">
        <v>95</v>
      </c>
      <c r="O31">
        <f>_xlfn.T.TEST(J27:J30,S27:S30,2,2)</f>
        <v>0.71201336891182454</v>
      </c>
      <c r="Q31" s="2" t="s">
        <v>224</v>
      </c>
      <c r="R31" s="51"/>
      <c r="S31" s="54">
        <v>35.125</v>
      </c>
      <c r="T31" s="53">
        <v>8.8000000000000007</v>
      </c>
      <c r="U31" t="s">
        <v>95</v>
      </c>
      <c r="AB31" s="65" t="s">
        <v>244</v>
      </c>
      <c r="AC31" s="2" t="s">
        <v>246</v>
      </c>
      <c r="AD31" s="66">
        <v>4.7000000000000002E-3</v>
      </c>
      <c r="AE31" s="61">
        <v>4.0000000000000002E-4</v>
      </c>
      <c r="AF31" s="60"/>
      <c r="AG31" s="66">
        <v>4.0000000000000001E-3</v>
      </c>
      <c r="AH31" s="61">
        <v>5.0000000000000001E-4</v>
      </c>
      <c r="AI31">
        <v>0.21</v>
      </c>
    </row>
    <row r="32" spans="1:36" x14ac:dyDescent="0.35">
      <c r="B32" s="24"/>
      <c r="H32" s="2"/>
      <c r="I32" s="51"/>
      <c r="Q32" s="2"/>
      <c r="R32" s="51"/>
    </row>
    <row r="33" spans="1:21" x14ac:dyDescent="0.35">
      <c r="A33" s="2" t="s">
        <v>136</v>
      </c>
      <c r="B33" s="49" t="s">
        <v>162</v>
      </c>
      <c r="C33">
        <v>4.9000000000000004</v>
      </c>
      <c r="D33" t="s">
        <v>150</v>
      </c>
      <c r="G33" s="2"/>
      <c r="H33" s="2" t="s">
        <v>136</v>
      </c>
      <c r="I33" s="51" t="s">
        <v>173</v>
      </c>
      <c r="J33">
        <v>5.6</v>
      </c>
      <c r="K33" t="s">
        <v>95</v>
      </c>
      <c r="Q33" s="2" t="s">
        <v>140</v>
      </c>
      <c r="R33" s="51" t="s">
        <v>173</v>
      </c>
      <c r="S33">
        <v>4.38</v>
      </c>
      <c r="T33" t="s">
        <v>95</v>
      </c>
    </row>
    <row r="34" spans="1:21" x14ac:dyDescent="0.35">
      <c r="A34" s="2" t="s">
        <v>139</v>
      </c>
      <c r="B34" s="49" t="s">
        <v>162</v>
      </c>
      <c r="C34">
        <v>4.09</v>
      </c>
      <c r="D34" t="s">
        <v>150</v>
      </c>
      <c r="G34" s="2"/>
      <c r="H34" s="2" t="s">
        <v>139</v>
      </c>
      <c r="I34" s="51" t="s">
        <v>173</v>
      </c>
      <c r="J34">
        <v>4.1100000000000003</v>
      </c>
      <c r="K34" t="s">
        <v>95</v>
      </c>
      <c r="Q34" s="2" t="s">
        <v>141</v>
      </c>
      <c r="R34" s="51" t="s">
        <v>173</v>
      </c>
      <c r="S34">
        <v>3.42</v>
      </c>
      <c r="T34" t="s">
        <v>95</v>
      </c>
    </row>
    <row r="35" spans="1:21" x14ac:dyDescent="0.35">
      <c r="A35" s="2" t="s">
        <v>140</v>
      </c>
      <c r="B35" s="49" t="s">
        <v>162</v>
      </c>
      <c r="C35">
        <v>3.72</v>
      </c>
      <c r="D35" t="s">
        <v>150</v>
      </c>
      <c r="G35" s="2"/>
      <c r="H35" s="2" t="s">
        <v>142</v>
      </c>
      <c r="I35" s="51" t="s">
        <v>173</v>
      </c>
      <c r="J35">
        <v>5.27</v>
      </c>
      <c r="K35" t="s">
        <v>95</v>
      </c>
      <c r="Q35" s="2" t="s">
        <v>144</v>
      </c>
      <c r="R35" s="51" t="s">
        <v>173</v>
      </c>
      <c r="S35">
        <v>3.12</v>
      </c>
      <c r="T35" t="s">
        <v>95</v>
      </c>
    </row>
    <row r="36" spans="1:21" x14ac:dyDescent="0.35">
      <c r="A36" s="2" t="s">
        <v>141</v>
      </c>
      <c r="B36" s="49" t="s">
        <v>162</v>
      </c>
      <c r="C36">
        <v>4.26</v>
      </c>
      <c r="D36" t="s">
        <v>150</v>
      </c>
      <c r="G36" s="2"/>
      <c r="H36" s="2" t="s">
        <v>143</v>
      </c>
      <c r="I36" s="51" t="s">
        <v>173</v>
      </c>
      <c r="J36">
        <v>5.14</v>
      </c>
      <c r="K36" t="s">
        <v>95</v>
      </c>
      <c r="Q36" s="2" t="s">
        <v>145</v>
      </c>
      <c r="R36" s="51" t="s">
        <v>173</v>
      </c>
      <c r="S36">
        <v>3.83</v>
      </c>
      <c r="T36" t="s">
        <v>95</v>
      </c>
    </row>
    <row r="37" spans="1:21" x14ac:dyDescent="0.35">
      <c r="A37" s="2" t="s">
        <v>142</v>
      </c>
      <c r="B37" s="49" t="s">
        <v>162</v>
      </c>
      <c r="C37">
        <v>4.71</v>
      </c>
      <c r="D37" t="s">
        <v>150</v>
      </c>
      <c r="G37" s="2"/>
      <c r="H37" s="2" t="s">
        <v>224</v>
      </c>
      <c r="J37" s="54">
        <v>5.03</v>
      </c>
      <c r="K37" s="53">
        <v>0.64</v>
      </c>
      <c r="L37" t="s">
        <v>95</v>
      </c>
      <c r="O37">
        <f>_xlfn.T.TEST(J33:J36,S33:S36,2,2)</f>
        <v>1.8999660793557777E-2</v>
      </c>
      <c r="Q37" s="2" t="s">
        <v>224</v>
      </c>
      <c r="S37" s="54">
        <v>3.6875</v>
      </c>
      <c r="T37" s="53">
        <v>0.55000000000000004</v>
      </c>
      <c r="U37" t="s">
        <v>95</v>
      </c>
    </row>
    <row r="38" spans="1:21" x14ac:dyDescent="0.35">
      <c r="A38" s="2" t="s">
        <v>143</v>
      </c>
      <c r="B38" s="49" t="s">
        <v>162</v>
      </c>
      <c r="C38">
        <v>5.07</v>
      </c>
      <c r="D38" t="s">
        <v>150</v>
      </c>
      <c r="G38" s="2"/>
    </row>
    <row r="39" spans="1:21" x14ac:dyDescent="0.35">
      <c r="A39" s="2" t="s">
        <v>144</v>
      </c>
      <c r="B39" s="49" t="s">
        <v>162</v>
      </c>
      <c r="C39">
        <v>4.87</v>
      </c>
      <c r="D39" t="s">
        <v>150</v>
      </c>
      <c r="G39" s="2"/>
      <c r="H39" s="2" t="s">
        <v>124</v>
      </c>
      <c r="I39" s="51" t="s">
        <v>175</v>
      </c>
      <c r="J39" s="52">
        <v>4202.8490319999992</v>
      </c>
      <c r="K39" t="s">
        <v>177</v>
      </c>
      <c r="Q39" s="2" t="s">
        <v>128</v>
      </c>
      <c r="R39" s="51" t="s">
        <v>175</v>
      </c>
      <c r="S39" s="52">
        <v>8088.4670480000004</v>
      </c>
      <c r="T39" t="s">
        <v>177</v>
      </c>
    </row>
    <row r="40" spans="1:21" x14ac:dyDescent="0.35">
      <c r="A40" s="2" t="s">
        <v>145</v>
      </c>
      <c r="B40" s="49" t="s">
        <v>162</v>
      </c>
      <c r="C40">
        <v>4.0999999999999996</v>
      </c>
      <c r="D40" t="s">
        <v>150</v>
      </c>
      <c r="G40" s="2"/>
      <c r="H40" s="2" t="s">
        <v>127</v>
      </c>
      <c r="I40" s="51" t="s">
        <v>175</v>
      </c>
      <c r="J40" s="52">
        <v>4281.4900620000008</v>
      </c>
      <c r="K40" t="s">
        <v>177</v>
      </c>
      <c r="Q40" s="2" t="s">
        <v>129</v>
      </c>
      <c r="R40" s="51" t="s">
        <v>175</v>
      </c>
      <c r="S40" s="52">
        <v>8185.2480319999995</v>
      </c>
      <c r="T40" t="s">
        <v>177</v>
      </c>
    </row>
    <row r="41" spans="1:21" x14ac:dyDescent="0.35">
      <c r="B41" s="24"/>
      <c r="H41" s="2" t="s">
        <v>130</v>
      </c>
      <c r="I41" s="51" t="s">
        <v>175</v>
      </c>
      <c r="J41" s="52">
        <v>5545.336142000001</v>
      </c>
      <c r="K41" t="s">
        <v>177</v>
      </c>
      <c r="Q41" s="2" t="s">
        <v>132</v>
      </c>
      <c r="R41" s="51" t="s">
        <v>175</v>
      </c>
      <c r="S41" s="52">
        <v>8362.8335499999994</v>
      </c>
      <c r="T41" t="s">
        <v>177</v>
      </c>
    </row>
    <row r="42" spans="1:21" x14ac:dyDescent="0.35">
      <c r="B42" s="24"/>
      <c r="H42" s="2" t="s">
        <v>131</v>
      </c>
      <c r="I42" s="51" t="s">
        <v>175</v>
      </c>
      <c r="J42" s="52">
        <v>5704.0567019999999</v>
      </c>
      <c r="K42" t="s">
        <v>177</v>
      </c>
      <c r="Q42" s="2" t="s">
        <v>133</v>
      </c>
      <c r="R42" s="51" t="s">
        <v>175</v>
      </c>
      <c r="S42" s="52">
        <v>8848.1687500000007</v>
      </c>
      <c r="T42" t="s">
        <v>177</v>
      </c>
    </row>
    <row r="43" spans="1:21" x14ac:dyDescent="0.35">
      <c r="A43" s="2" t="s">
        <v>124</v>
      </c>
      <c r="B43" s="49" t="s">
        <v>163</v>
      </c>
      <c r="C43">
        <v>50.1</v>
      </c>
      <c r="D43" t="s">
        <v>95</v>
      </c>
      <c r="G43" s="2"/>
      <c r="H43" s="2" t="s">
        <v>224</v>
      </c>
      <c r="I43" s="51"/>
      <c r="J43" s="55">
        <v>4933.4329844999993</v>
      </c>
      <c r="K43" s="53">
        <v>801</v>
      </c>
      <c r="L43" t="s">
        <v>177</v>
      </c>
      <c r="O43">
        <f>_xlfn.T.TEST(J39:J42,S39:S42,2,2)</f>
        <v>2.1731124370027947E-4</v>
      </c>
      <c r="Q43" s="2" t="s">
        <v>224</v>
      </c>
      <c r="R43" s="51"/>
      <c r="S43" s="55">
        <v>8371.1793450000005</v>
      </c>
      <c r="T43" s="53">
        <v>338</v>
      </c>
      <c r="U43" t="s">
        <v>177</v>
      </c>
    </row>
    <row r="44" spans="1:21" x14ac:dyDescent="0.35">
      <c r="A44" s="2" t="s">
        <v>127</v>
      </c>
      <c r="B44" s="49" t="s">
        <v>163</v>
      </c>
      <c r="C44">
        <v>49.8</v>
      </c>
      <c r="D44" t="s">
        <v>95</v>
      </c>
      <c r="G44" s="2"/>
      <c r="H44" s="2"/>
      <c r="I44" s="51"/>
      <c r="Q44" s="2"/>
      <c r="R44" s="51"/>
    </row>
    <row r="45" spans="1:21" x14ac:dyDescent="0.35">
      <c r="A45" s="2" t="s">
        <v>128</v>
      </c>
      <c r="B45" s="49" t="s">
        <v>163</v>
      </c>
      <c r="C45">
        <v>24.6</v>
      </c>
      <c r="D45" t="s">
        <v>95</v>
      </c>
      <c r="G45" s="2"/>
      <c r="H45" s="2" t="s">
        <v>136</v>
      </c>
      <c r="I45" s="51" t="s">
        <v>197</v>
      </c>
      <c r="J45">
        <v>400.07990527999999</v>
      </c>
      <c r="K45" t="s">
        <v>177</v>
      </c>
      <c r="Q45" s="2" t="s">
        <v>140</v>
      </c>
      <c r="R45" s="51" t="s">
        <v>197</v>
      </c>
      <c r="S45">
        <v>-76.7</v>
      </c>
      <c r="T45" t="s">
        <v>177</v>
      </c>
    </row>
    <row r="46" spans="1:21" x14ac:dyDescent="0.35">
      <c r="A46" s="2" t="s">
        <v>129</v>
      </c>
      <c r="B46" s="49" t="s">
        <v>163</v>
      </c>
      <c r="C46">
        <v>31.1</v>
      </c>
      <c r="D46" t="s">
        <v>95</v>
      </c>
      <c r="G46" s="2"/>
      <c r="H46" s="2" t="s">
        <v>139</v>
      </c>
      <c r="I46" s="51" t="s">
        <v>197</v>
      </c>
      <c r="J46">
        <v>-76.099999999999994</v>
      </c>
      <c r="K46" t="s">
        <v>177</v>
      </c>
      <c r="Q46" s="2" t="s">
        <v>141</v>
      </c>
      <c r="R46" s="51" t="s">
        <v>197</v>
      </c>
      <c r="S46">
        <v>34</v>
      </c>
      <c r="T46" t="s">
        <v>177</v>
      </c>
    </row>
    <row r="47" spans="1:21" x14ac:dyDescent="0.35">
      <c r="A47" s="2" t="s">
        <v>130</v>
      </c>
      <c r="B47" s="49" t="s">
        <v>163</v>
      </c>
      <c r="C47">
        <v>25.7</v>
      </c>
      <c r="D47" t="s">
        <v>95</v>
      </c>
      <c r="G47" s="2"/>
      <c r="H47" s="2" t="s">
        <v>142</v>
      </c>
      <c r="I47" s="51" t="s">
        <v>197</v>
      </c>
      <c r="J47">
        <v>-76</v>
      </c>
      <c r="K47" t="s">
        <v>177</v>
      </c>
      <c r="Q47" s="2" t="s">
        <v>144</v>
      </c>
      <c r="R47" s="51" t="s">
        <v>197</v>
      </c>
      <c r="S47">
        <v>-74.900000000000006</v>
      </c>
      <c r="T47" t="s">
        <v>177</v>
      </c>
    </row>
    <row r="48" spans="1:21" x14ac:dyDescent="0.35">
      <c r="A48" s="2" t="s">
        <v>131</v>
      </c>
      <c r="B48" s="49" t="s">
        <v>163</v>
      </c>
      <c r="C48">
        <v>27.4</v>
      </c>
      <c r="D48" t="s">
        <v>95</v>
      </c>
      <c r="G48" s="2"/>
      <c r="H48" s="2" t="s">
        <v>143</v>
      </c>
      <c r="I48" s="51" t="s">
        <v>197</v>
      </c>
      <c r="J48">
        <v>-76.400000000000006</v>
      </c>
      <c r="K48" t="s">
        <v>177</v>
      </c>
      <c r="Q48" s="2" t="s">
        <v>145</v>
      </c>
      <c r="R48" s="51" t="s">
        <v>197</v>
      </c>
      <c r="S48">
        <v>-78.8</v>
      </c>
      <c r="T48" t="s">
        <v>177</v>
      </c>
    </row>
    <row r="49" spans="1:21" x14ac:dyDescent="0.35">
      <c r="A49" s="2" t="s">
        <v>132</v>
      </c>
      <c r="B49" s="49" t="s">
        <v>163</v>
      </c>
      <c r="C49">
        <v>42.3</v>
      </c>
      <c r="D49" t="s">
        <v>95</v>
      </c>
      <c r="G49" s="2"/>
      <c r="H49" s="2" t="s">
        <v>224</v>
      </c>
      <c r="J49" s="56" t="s">
        <v>225</v>
      </c>
      <c r="K49" s="56" t="s">
        <v>225</v>
      </c>
      <c r="L49" t="s">
        <v>177</v>
      </c>
      <c r="Q49" s="2" t="s">
        <v>224</v>
      </c>
      <c r="S49" s="56" t="s">
        <v>225</v>
      </c>
      <c r="T49" s="56" t="s">
        <v>225</v>
      </c>
      <c r="U49" t="s">
        <v>177</v>
      </c>
    </row>
    <row r="50" spans="1:21" x14ac:dyDescent="0.35">
      <c r="A50" s="2" t="s">
        <v>133</v>
      </c>
      <c r="B50" s="49" t="s">
        <v>163</v>
      </c>
      <c r="C50">
        <v>42.5</v>
      </c>
      <c r="D50" t="s">
        <v>95</v>
      </c>
      <c r="G50" s="2"/>
    </row>
    <row r="51" spans="1:21" x14ac:dyDescent="0.35">
      <c r="A51" s="2"/>
      <c r="B51" s="49"/>
      <c r="G51" s="2"/>
      <c r="H51" s="2" t="s">
        <v>124</v>
      </c>
      <c r="I51" s="51" t="s">
        <v>198</v>
      </c>
      <c r="J51" s="52">
        <v>552.59092520000002</v>
      </c>
      <c r="K51" t="s">
        <v>200</v>
      </c>
      <c r="Q51" s="2" t="s">
        <v>128</v>
      </c>
      <c r="R51" s="51" t="s">
        <v>198</v>
      </c>
      <c r="S51" s="52">
        <v>548.82602767999992</v>
      </c>
      <c r="T51" t="s">
        <v>200</v>
      </c>
    </row>
    <row r="52" spans="1:21" x14ac:dyDescent="0.35">
      <c r="A52" s="2"/>
      <c r="B52" s="49"/>
      <c r="G52" s="2"/>
      <c r="H52" s="2" t="s">
        <v>127</v>
      </c>
      <c r="I52" s="51" t="s">
        <v>198</v>
      </c>
      <c r="J52" s="52">
        <v>530.84522079999999</v>
      </c>
      <c r="K52" t="s">
        <v>200</v>
      </c>
      <c r="Q52" s="2" t="s">
        <v>129</v>
      </c>
      <c r="R52" s="51" t="s">
        <v>198</v>
      </c>
      <c r="S52" s="52">
        <v>568.33685920000005</v>
      </c>
      <c r="T52" t="s">
        <v>200</v>
      </c>
    </row>
    <row r="53" spans="1:21" x14ac:dyDescent="0.35">
      <c r="A53" s="2" t="s">
        <v>136</v>
      </c>
      <c r="B53" s="49" t="s">
        <v>173</v>
      </c>
      <c r="C53">
        <v>5.6</v>
      </c>
      <c r="D53" t="s">
        <v>95</v>
      </c>
      <c r="G53" s="2"/>
      <c r="H53" s="2" t="s">
        <v>130</v>
      </c>
      <c r="I53" s="51" t="s">
        <v>198</v>
      </c>
      <c r="J53" s="52">
        <v>542.4714445699999</v>
      </c>
      <c r="K53" t="s">
        <v>200</v>
      </c>
      <c r="Q53" s="2" t="s">
        <v>132</v>
      </c>
      <c r="R53" s="51" t="s">
        <v>198</v>
      </c>
      <c r="S53" s="52">
        <v>262.73277200000001</v>
      </c>
      <c r="T53" t="s">
        <v>200</v>
      </c>
    </row>
    <row r="54" spans="1:21" x14ac:dyDescent="0.35">
      <c r="A54" s="2" t="s">
        <v>139</v>
      </c>
      <c r="B54" s="49" t="s">
        <v>173</v>
      </c>
      <c r="C54">
        <v>4.1100000000000003</v>
      </c>
      <c r="D54" t="s">
        <v>95</v>
      </c>
      <c r="G54" s="2"/>
      <c r="H54" s="2" t="s">
        <v>131</v>
      </c>
      <c r="I54" s="51" t="s">
        <v>198</v>
      </c>
      <c r="J54" s="52">
        <v>555.18258233000006</v>
      </c>
      <c r="K54" t="s">
        <v>200</v>
      </c>
      <c r="Q54" s="2" t="s">
        <v>133</v>
      </c>
      <c r="R54" s="51" t="s">
        <v>198</v>
      </c>
      <c r="S54" s="52">
        <v>241.85641700000002</v>
      </c>
      <c r="T54" t="s">
        <v>200</v>
      </c>
    </row>
    <row r="55" spans="1:21" x14ac:dyDescent="0.35">
      <c r="A55" s="2" t="s">
        <v>140</v>
      </c>
      <c r="B55" s="49" t="s">
        <v>173</v>
      </c>
      <c r="C55">
        <v>4.38</v>
      </c>
      <c r="D55" t="s">
        <v>95</v>
      </c>
      <c r="G55" s="2"/>
      <c r="H55" s="2" t="s">
        <v>224</v>
      </c>
      <c r="J55" s="55">
        <v>545.27254322499994</v>
      </c>
      <c r="K55" s="53">
        <v>11</v>
      </c>
      <c r="L55" t="s">
        <v>200</v>
      </c>
      <c r="O55">
        <f>_xlfn.T.TEST(J51:J54,S51:S54,2,2)</f>
        <v>0.16631846964799948</v>
      </c>
      <c r="Q55" s="2" t="s">
        <v>224</v>
      </c>
      <c r="S55" s="55">
        <v>405.43801896999997</v>
      </c>
      <c r="T55" s="53">
        <v>177</v>
      </c>
      <c r="U55" t="s">
        <v>200</v>
      </c>
    </row>
    <row r="56" spans="1:21" x14ac:dyDescent="0.35">
      <c r="A56" s="2" t="s">
        <v>141</v>
      </c>
      <c r="B56" s="49" t="s">
        <v>173</v>
      </c>
      <c r="C56">
        <v>3.42</v>
      </c>
      <c r="D56" t="s">
        <v>95</v>
      </c>
      <c r="G56" s="2"/>
    </row>
    <row r="57" spans="1:21" x14ac:dyDescent="0.35">
      <c r="A57" s="2" t="s">
        <v>142</v>
      </c>
      <c r="B57" s="49" t="s">
        <v>173</v>
      </c>
      <c r="C57">
        <v>5.27</v>
      </c>
      <c r="D57" t="s">
        <v>95</v>
      </c>
      <c r="G57" s="2"/>
      <c r="H57" s="2" t="s">
        <v>136</v>
      </c>
      <c r="I57" s="51" t="s">
        <v>223</v>
      </c>
      <c r="J57">
        <v>25</v>
      </c>
      <c r="K57" t="s">
        <v>200</v>
      </c>
      <c r="Q57" s="2" t="s">
        <v>140</v>
      </c>
      <c r="R57" s="51" t="s">
        <v>223</v>
      </c>
      <c r="S57">
        <v>8.4</v>
      </c>
      <c r="T57" t="s">
        <v>200</v>
      </c>
    </row>
    <row r="58" spans="1:21" x14ac:dyDescent="0.35">
      <c r="A58" s="2" t="s">
        <v>143</v>
      </c>
      <c r="B58" s="49" t="s">
        <v>173</v>
      </c>
      <c r="C58">
        <v>5.14</v>
      </c>
      <c r="D58" t="s">
        <v>95</v>
      </c>
      <c r="G58" s="2"/>
      <c r="H58" s="2" t="s">
        <v>139</v>
      </c>
      <c r="I58" s="51" t="s">
        <v>223</v>
      </c>
      <c r="J58">
        <v>38.4</v>
      </c>
      <c r="K58" t="s">
        <v>200</v>
      </c>
      <c r="Q58" s="2" t="s">
        <v>141</v>
      </c>
      <c r="R58" s="51" t="s">
        <v>223</v>
      </c>
      <c r="S58">
        <v>22.4</v>
      </c>
      <c r="T58" t="s">
        <v>200</v>
      </c>
    </row>
    <row r="59" spans="1:21" x14ac:dyDescent="0.35">
      <c r="A59" s="2" t="s">
        <v>144</v>
      </c>
      <c r="B59" s="49" t="s">
        <v>173</v>
      </c>
      <c r="C59">
        <v>3.12</v>
      </c>
      <c r="D59" t="s">
        <v>95</v>
      </c>
      <c r="G59" s="2"/>
      <c r="H59" s="2" t="s">
        <v>142</v>
      </c>
      <c r="I59" s="51" t="s">
        <v>223</v>
      </c>
      <c r="J59">
        <v>58.3</v>
      </c>
      <c r="K59" t="s">
        <v>200</v>
      </c>
      <c r="Q59" s="2" t="s">
        <v>144</v>
      </c>
      <c r="R59" s="51" t="s">
        <v>223</v>
      </c>
      <c r="S59">
        <v>49.3</v>
      </c>
      <c r="T59" t="s">
        <v>200</v>
      </c>
    </row>
    <row r="60" spans="1:21" x14ac:dyDescent="0.35">
      <c r="A60" s="2" t="s">
        <v>145</v>
      </c>
      <c r="B60" s="49" t="s">
        <v>173</v>
      </c>
      <c r="C60">
        <v>3.83</v>
      </c>
      <c r="D60" t="s">
        <v>95</v>
      </c>
      <c r="G60" s="2"/>
      <c r="H60" s="2" t="s">
        <v>143</v>
      </c>
      <c r="I60" s="51" t="s">
        <v>223</v>
      </c>
      <c r="J60">
        <v>34.299999999999997</v>
      </c>
      <c r="K60" t="s">
        <v>200</v>
      </c>
      <c r="Q60" s="2" t="s">
        <v>145</v>
      </c>
      <c r="R60" s="51" t="s">
        <v>223</v>
      </c>
      <c r="S60">
        <v>9</v>
      </c>
      <c r="T60" t="s">
        <v>200</v>
      </c>
    </row>
    <row r="61" spans="1:21" x14ac:dyDescent="0.35">
      <c r="B61" s="24"/>
      <c r="H61" s="2" t="s">
        <v>224</v>
      </c>
      <c r="J61" s="53">
        <v>39</v>
      </c>
      <c r="K61" s="53">
        <v>14</v>
      </c>
      <c r="L61" t="s">
        <v>200</v>
      </c>
      <c r="O61">
        <f>_xlfn.T.TEST(J57:J60,S57:S60,2,2)</f>
        <v>0.20840608322329623</v>
      </c>
      <c r="Q61" s="2" t="s">
        <v>224</v>
      </c>
      <c r="S61" s="54">
        <v>22.274999999999999</v>
      </c>
      <c r="T61" s="53">
        <v>19</v>
      </c>
      <c r="U61" t="s">
        <v>200</v>
      </c>
    </row>
    <row r="62" spans="1:21" x14ac:dyDescent="0.35">
      <c r="B62" s="24"/>
    </row>
    <row r="63" spans="1:21" x14ac:dyDescent="0.35">
      <c r="A63" s="2" t="s">
        <v>124</v>
      </c>
      <c r="B63" s="49" t="s">
        <v>175</v>
      </c>
      <c r="C63">
        <v>4202.8490319999992</v>
      </c>
      <c r="D63" t="s">
        <v>177</v>
      </c>
      <c r="G63" s="2"/>
    </row>
    <row r="64" spans="1:21" x14ac:dyDescent="0.35">
      <c r="A64" s="2" t="s">
        <v>127</v>
      </c>
      <c r="B64" s="49" t="s">
        <v>175</v>
      </c>
      <c r="C64">
        <v>4281.4900620000008</v>
      </c>
      <c r="D64" t="s">
        <v>177</v>
      </c>
      <c r="G64" s="2"/>
    </row>
    <row r="65" spans="1:7" x14ac:dyDescent="0.35">
      <c r="A65" s="2" t="s">
        <v>128</v>
      </c>
      <c r="B65" s="49" t="s">
        <v>175</v>
      </c>
      <c r="C65">
        <v>8088.4670480000004</v>
      </c>
      <c r="D65" t="s">
        <v>177</v>
      </c>
      <c r="G65" s="2"/>
    </row>
    <row r="66" spans="1:7" x14ac:dyDescent="0.35">
      <c r="A66" s="2" t="s">
        <v>129</v>
      </c>
      <c r="B66" s="49" t="s">
        <v>175</v>
      </c>
      <c r="C66">
        <v>8185.2480319999995</v>
      </c>
      <c r="D66" t="s">
        <v>177</v>
      </c>
      <c r="G66" s="2"/>
    </row>
    <row r="67" spans="1:7" x14ac:dyDescent="0.35">
      <c r="A67" s="2" t="s">
        <v>130</v>
      </c>
      <c r="B67" s="49" t="s">
        <v>175</v>
      </c>
      <c r="C67">
        <v>5545.336142000001</v>
      </c>
      <c r="D67" t="s">
        <v>177</v>
      </c>
      <c r="G67" s="2"/>
    </row>
    <row r="68" spans="1:7" x14ac:dyDescent="0.35">
      <c r="A68" s="2" t="s">
        <v>131</v>
      </c>
      <c r="B68" s="49" t="s">
        <v>175</v>
      </c>
      <c r="C68">
        <v>5704.0567019999999</v>
      </c>
      <c r="D68" t="s">
        <v>177</v>
      </c>
      <c r="G68" s="2"/>
    </row>
    <row r="69" spans="1:7" x14ac:dyDescent="0.35">
      <c r="A69" s="2" t="s">
        <v>132</v>
      </c>
      <c r="B69" s="49" t="s">
        <v>175</v>
      </c>
      <c r="C69">
        <v>8362.8335499999994</v>
      </c>
      <c r="D69" t="s">
        <v>177</v>
      </c>
      <c r="G69" s="2"/>
    </row>
    <row r="70" spans="1:7" x14ac:dyDescent="0.35">
      <c r="A70" s="2" t="s">
        <v>133</v>
      </c>
      <c r="B70" s="49" t="s">
        <v>175</v>
      </c>
      <c r="C70">
        <v>8848.1687500000007</v>
      </c>
      <c r="D70" t="s">
        <v>177</v>
      </c>
      <c r="G70" s="2"/>
    </row>
    <row r="71" spans="1:7" x14ac:dyDescent="0.35">
      <c r="A71" s="2"/>
      <c r="B71" s="49"/>
      <c r="G71" s="2"/>
    </row>
    <row r="72" spans="1:7" x14ac:dyDescent="0.35">
      <c r="A72" s="2"/>
      <c r="B72" s="49"/>
      <c r="G72" s="2"/>
    </row>
    <row r="73" spans="1:7" x14ac:dyDescent="0.35">
      <c r="A73" s="2" t="s">
        <v>136</v>
      </c>
      <c r="B73" s="49" t="s">
        <v>197</v>
      </c>
      <c r="C73">
        <v>400.07990527999999</v>
      </c>
      <c r="D73" t="s">
        <v>177</v>
      </c>
      <c r="G73" s="2"/>
    </row>
    <row r="74" spans="1:7" x14ac:dyDescent="0.35">
      <c r="A74" s="2" t="s">
        <v>139</v>
      </c>
      <c r="B74" s="49" t="s">
        <v>197</v>
      </c>
      <c r="C74">
        <v>-76.099999999999994</v>
      </c>
      <c r="D74" t="s">
        <v>177</v>
      </c>
      <c r="G74" s="2"/>
    </row>
    <row r="75" spans="1:7" x14ac:dyDescent="0.35">
      <c r="A75" s="2" t="s">
        <v>140</v>
      </c>
      <c r="B75" s="49" t="s">
        <v>197</v>
      </c>
      <c r="C75">
        <v>-76.7</v>
      </c>
      <c r="D75" t="s">
        <v>177</v>
      </c>
      <c r="G75" s="2"/>
    </row>
    <row r="76" spans="1:7" x14ac:dyDescent="0.35">
      <c r="A76" s="2" t="s">
        <v>141</v>
      </c>
      <c r="B76" s="49" t="s">
        <v>197</v>
      </c>
      <c r="C76">
        <v>34</v>
      </c>
      <c r="D76" t="s">
        <v>177</v>
      </c>
      <c r="G76" s="2"/>
    </row>
    <row r="77" spans="1:7" x14ac:dyDescent="0.35">
      <c r="A77" s="2" t="s">
        <v>142</v>
      </c>
      <c r="B77" s="49" t="s">
        <v>197</v>
      </c>
      <c r="C77">
        <v>-76</v>
      </c>
      <c r="D77" t="s">
        <v>177</v>
      </c>
      <c r="G77" s="2"/>
    </row>
    <row r="78" spans="1:7" x14ac:dyDescent="0.35">
      <c r="A78" s="2" t="s">
        <v>143</v>
      </c>
      <c r="B78" s="49" t="s">
        <v>197</v>
      </c>
      <c r="C78">
        <v>-76.400000000000006</v>
      </c>
      <c r="D78" t="s">
        <v>177</v>
      </c>
      <c r="G78" s="2"/>
    </row>
    <row r="79" spans="1:7" x14ac:dyDescent="0.35">
      <c r="A79" s="2" t="s">
        <v>144</v>
      </c>
      <c r="B79" s="49" t="s">
        <v>197</v>
      </c>
      <c r="C79">
        <v>-74.900000000000006</v>
      </c>
      <c r="D79" t="s">
        <v>177</v>
      </c>
      <c r="G79" s="2"/>
    </row>
    <row r="80" spans="1:7" x14ac:dyDescent="0.35">
      <c r="A80" s="2" t="s">
        <v>145</v>
      </c>
      <c r="B80" s="49" t="s">
        <v>197</v>
      </c>
      <c r="C80">
        <v>-78.8</v>
      </c>
      <c r="D80" t="s">
        <v>177</v>
      </c>
      <c r="G80" s="2"/>
    </row>
    <row r="81" spans="1:7" x14ac:dyDescent="0.35">
      <c r="B81" s="24"/>
    </row>
    <row r="82" spans="1:7" x14ac:dyDescent="0.35">
      <c r="B82" s="24"/>
    </row>
    <row r="83" spans="1:7" x14ac:dyDescent="0.35">
      <c r="A83" s="2" t="s">
        <v>124</v>
      </c>
      <c r="B83" s="49" t="s">
        <v>198</v>
      </c>
      <c r="C83">
        <v>552.59092520000002</v>
      </c>
      <c r="D83" t="s">
        <v>200</v>
      </c>
      <c r="G83" s="2"/>
    </row>
    <row r="84" spans="1:7" x14ac:dyDescent="0.35">
      <c r="A84" s="2" t="s">
        <v>127</v>
      </c>
      <c r="B84" s="49" t="s">
        <v>198</v>
      </c>
      <c r="C84">
        <v>530.84522079999999</v>
      </c>
      <c r="D84" t="s">
        <v>200</v>
      </c>
      <c r="G84" s="2"/>
    </row>
    <row r="85" spans="1:7" x14ac:dyDescent="0.35">
      <c r="A85" s="2" t="s">
        <v>128</v>
      </c>
      <c r="B85" s="49" t="s">
        <v>198</v>
      </c>
      <c r="C85">
        <v>548.82602767999992</v>
      </c>
      <c r="D85" t="s">
        <v>200</v>
      </c>
      <c r="G85" s="2"/>
    </row>
    <row r="86" spans="1:7" x14ac:dyDescent="0.35">
      <c r="A86" s="2" t="s">
        <v>129</v>
      </c>
      <c r="B86" s="49" t="s">
        <v>198</v>
      </c>
      <c r="C86">
        <v>568.33685920000005</v>
      </c>
      <c r="D86" t="s">
        <v>200</v>
      </c>
      <c r="G86" s="2"/>
    </row>
    <row r="87" spans="1:7" x14ac:dyDescent="0.35">
      <c r="A87" s="2" t="s">
        <v>130</v>
      </c>
      <c r="B87" s="49" t="s">
        <v>198</v>
      </c>
      <c r="C87">
        <v>542.4714445699999</v>
      </c>
      <c r="D87" t="s">
        <v>200</v>
      </c>
      <c r="G87" s="2"/>
    </row>
    <row r="88" spans="1:7" x14ac:dyDescent="0.35">
      <c r="A88" s="2" t="s">
        <v>131</v>
      </c>
      <c r="B88" s="49" t="s">
        <v>198</v>
      </c>
      <c r="C88">
        <v>555.18258233000006</v>
      </c>
      <c r="D88" t="s">
        <v>200</v>
      </c>
      <c r="G88" s="2"/>
    </row>
    <row r="89" spans="1:7" x14ac:dyDescent="0.35">
      <c r="A89" s="2" t="s">
        <v>132</v>
      </c>
      <c r="B89" s="49" t="s">
        <v>198</v>
      </c>
      <c r="C89">
        <v>262.73277200000001</v>
      </c>
      <c r="D89" t="s">
        <v>200</v>
      </c>
      <c r="G89" s="2"/>
    </row>
    <row r="90" spans="1:7" x14ac:dyDescent="0.35">
      <c r="A90" s="2" t="s">
        <v>133</v>
      </c>
      <c r="B90" s="49" t="s">
        <v>198</v>
      </c>
      <c r="C90">
        <v>241.85641700000002</v>
      </c>
      <c r="D90" t="s">
        <v>200</v>
      </c>
      <c r="G90" s="2"/>
    </row>
    <row r="91" spans="1:7" x14ac:dyDescent="0.35">
      <c r="B91" s="24"/>
    </row>
    <row r="92" spans="1:7" x14ac:dyDescent="0.35">
      <c r="B92" s="24"/>
    </row>
    <row r="93" spans="1:7" x14ac:dyDescent="0.35">
      <c r="A93" s="2" t="s">
        <v>136</v>
      </c>
      <c r="B93" s="49" t="s">
        <v>223</v>
      </c>
      <c r="C93">
        <v>25</v>
      </c>
      <c r="D93" t="s">
        <v>200</v>
      </c>
      <c r="G93" s="2"/>
    </row>
    <row r="94" spans="1:7" x14ac:dyDescent="0.35">
      <c r="A94" s="2" t="s">
        <v>139</v>
      </c>
      <c r="B94" s="49" t="s">
        <v>223</v>
      </c>
      <c r="C94">
        <v>38.4</v>
      </c>
      <c r="D94" t="s">
        <v>200</v>
      </c>
      <c r="G94" s="2"/>
    </row>
    <row r="95" spans="1:7" x14ac:dyDescent="0.35">
      <c r="A95" s="2" t="s">
        <v>140</v>
      </c>
      <c r="B95" s="49" t="s">
        <v>223</v>
      </c>
      <c r="C95">
        <v>8.4</v>
      </c>
      <c r="D95" t="s">
        <v>200</v>
      </c>
      <c r="G95" s="2"/>
    </row>
    <row r="96" spans="1:7" x14ac:dyDescent="0.35">
      <c r="A96" s="2" t="s">
        <v>141</v>
      </c>
      <c r="B96" s="49" t="s">
        <v>223</v>
      </c>
      <c r="C96">
        <v>22.4</v>
      </c>
      <c r="D96" t="s">
        <v>200</v>
      </c>
      <c r="G96" s="2"/>
    </row>
    <row r="97" spans="1:7" x14ac:dyDescent="0.35">
      <c r="A97" s="2" t="s">
        <v>142</v>
      </c>
      <c r="B97" s="49" t="s">
        <v>223</v>
      </c>
      <c r="C97">
        <v>58.3</v>
      </c>
      <c r="D97" t="s">
        <v>200</v>
      </c>
      <c r="G97" s="2"/>
    </row>
    <row r="98" spans="1:7" x14ac:dyDescent="0.35">
      <c r="A98" s="2" t="s">
        <v>143</v>
      </c>
      <c r="B98" s="49" t="s">
        <v>223</v>
      </c>
      <c r="C98">
        <v>34.299999999999997</v>
      </c>
      <c r="D98" t="s">
        <v>200</v>
      </c>
      <c r="G98" s="2"/>
    </row>
    <row r="99" spans="1:7" x14ac:dyDescent="0.35">
      <c r="A99" s="2" t="s">
        <v>144</v>
      </c>
      <c r="B99" s="49" t="s">
        <v>223</v>
      </c>
      <c r="C99">
        <v>49.3</v>
      </c>
      <c r="D99" t="s">
        <v>200</v>
      </c>
      <c r="G99" s="2"/>
    </row>
    <row r="100" spans="1:7" x14ac:dyDescent="0.35">
      <c r="A100" s="2" t="s">
        <v>145</v>
      </c>
      <c r="B100" s="49" t="s">
        <v>223</v>
      </c>
      <c r="C100">
        <v>9</v>
      </c>
      <c r="D100" t="s">
        <v>200</v>
      </c>
      <c r="G1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Glucose</vt:lpstr>
      <vt:lpstr>Sonde end 7-22-24</vt:lpstr>
      <vt:lpstr>Sonde Table</vt:lpstr>
      <vt:lpstr>Flow Cam Data</vt:lpstr>
      <vt:lpstr>Flow Cam Table</vt:lpstr>
      <vt:lpstr>Microcystin </vt:lpstr>
      <vt:lpstr>Nutrient raw data</vt:lpstr>
      <vt:lpstr>Assembled nutrient data</vt:lpstr>
      <vt:lpstr>Nutrient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Vesper, Stephen</dc:creator>
  <cp:lastModifiedBy>Vesper, Stephen</cp:lastModifiedBy>
  <dcterms:created xsi:type="dcterms:W3CDTF">2024-07-19T12:00:38Z</dcterms:created>
  <dcterms:modified xsi:type="dcterms:W3CDTF">2025-02-06T15:44:08Z</dcterms:modified>
</cp:coreProperties>
</file>