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ml.chartshapes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4.xml" ContentType="application/vnd.openxmlformats-officedocument.drawingml.chartshapes+xml"/>
  <Override PartName="/xl/charts/chart29.xml" ContentType="application/vnd.openxmlformats-officedocument.drawingml.chart+xml"/>
  <Override PartName="/xl/drawings/drawing5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1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KALTENBERG\Box\Pegasus WA 5-24 ETSC 100143800\TD P5-24 Proteins Stabilization\PFAS Norwell Data\Isotherm Study_NoBuffer\Adsorption modeling\"/>
    </mc:Choice>
  </mc:AlternateContent>
  <xr:revisionPtr revIDLastSave="0" documentId="13_ncr:1_{D0AAEF34-8253-4279-A6EF-43EE519C4B80}" xr6:coauthVersionLast="46" xr6:coauthVersionMax="46" xr10:uidLastSave="{00000000-0000-0000-0000-000000000000}"/>
  <bookViews>
    <workbookView xWindow="8175" yWindow="3405" windowWidth="20460" windowHeight="10890" activeTab="3" xr2:uid="{00000000-000D-0000-FFFF-FFFF00000000}"/>
  </bookViews>
  <sheets>
    <sheet name="All data" sheetId="1" r:id="rId1"/>
    <sheet name="Task 2b Sample List" sheetId="2" r:id="rId2"/>
    <sheet name="PFAS at t0" sheetId="5" r:id="rId3"/>
    <sheet name="HSM+BM1 (1-1)" sheetId="16" r:id="rId4"/>
    <sheet name="SHW" sheetId="17" r:id="rId5"/>
    <sheet name="OTS" sheetId="18" r:id="rId6"/>
    <sheet name="Sample ID issues" sheetId="4" r:id="rId7"/>
    <sheet name="IMPORTANT - READ ME" sheetId="19" r:id="rId8"/>
  </sheets>
  <definedNames>
    <definedName name="_xlnm._FilterDatabase" localSheetId="0" hidden="1">'All data'!$A$1:$P$1</definedName>
    <definedName name="solver_adj" localSheetId="3" hidden="1">'HSM+BM1 (1-1)'!$X$124:$Y$124</definedName>
    <definedName name="solver_adj" localSheetId="5" hidden="1">OTS!$X$125:$Y$125</definedName>
    <definedName name="solver_adj" localSheetId="4" hidden="1">SHW!$X$125:$Y$125</definedName>
    <definedName name="solver_cvg" localSheetId="3" hidden="1">0.0001</definedName>
    <definedName name="solver_cvg" localSheetId="5" hidden="1">0.0001</definedName>
    <definedName name="solver_cvg" localSheetId="4" hidden="1">0.0001</definedName>
    <definedName name="solver_drv" localSheetId="3" hidden="1">1</definedName>
    <definedName name="solver_drv" localSheetId="5" hidden="1">1</definedName>
    <definedName name="solver_drv" localSheetId="4" hidden="1">1</definedName>
    <definedName name="solver_eng" localSheetId="3" hidden="1">1</definedName>
    <definedName name="solver_eng" localSheetId="5" hidden="1">1</definedName>
    <definedName name="solver_eng" localSheetId="4" hidden="1">1</definedName>
    <definedName name="solver_est" localSheetId="3" hidden="1">1</definedName>
    <definedName name="solver_est" localSheetId="5" hidden="1">1</definedName>
    <definedName name="solver_est" localSheetId="4" hidden="1">1</definedName>
    <definedName name="solver_itr" localSheetId="3" hidden="1">2147483647</definedName>
    <definedName name="solver_itr" localSheetId="5" hidden="1">2147483647</definedName>
    <definedName name="solver_itr" localSheetId="4" hidden="1">2147483647</definedName>
    <definedName name="solver_mip" localSheetId="3" hidden="1">2147483647</definedName>
    <definedName name="solver_mip" localSheetId="5" hidden="1">2147483647</definedName>
    <definedName name="solver_mip" localSheetId="4" hidden="1">2147483647</definedName>
    <definedName name="solver_mni" localSheetId="3" hidden="1">30</definedName>
    <definedName name="solver_mni" localSheetId="5" hidden="1">30</definedName>
    <definedName name="solver_mni" localSheetId="4" hidden="1">30</definedName>
    <definedName name="solver_mrt" localSheetId="3" hidden="1">0.075</definedName>
    <definedName name="solver_mrt" localSheetId="5" hidden="1">0.075</definedName>
    <definedName name="solver_mrt" localSheetId="4" hidden="1">0.075</definedName>
    <definedName name="solver_msl" localSheetId="3" hidden="1">2</definedName>
    <definedName name="solver_msl" localSheetId="5" hidden="1">2</definedName>
    <definedName name="solver_msl" localSheetId="4" hidden="1">2</definedName>
    <definedName name="solver_neg" localSheetId="3" hidden="1">1</definedName>
    <definedName name="solver_neg" localSheetId="5" hidden="1">1</definedName>
    <definedName name="solver_neg" localSheetId="4" hidden="1">1</definedName>
    <definedName name="solver_nod" localSheetId="3" hidden="1">2147483647</definedName>
    <definedName name="solver_nod" localSheetId="5" hidden="1">2147483647</definedName>
    <definedName name="solver_nod" localSheetId="4" hidden="1">2147483647</definedName>
    <definedName name="solver_num" localSheetId="3" hidden="1">0</definedName>
    <definedName name="solver_num" localSheetId="5" hidden="1">0</definedName>
    <definedName name="solver_num" localSheetId="4" hidden="1">0</definedName>
    <definedName name="solver_nwt" localSheetId="3" hidden="1">1</definedName>
    <definedName name="solver_nwt" localSheetId="5" hidden="1">1</definedName>
    <definedName name="solver_nwt" localSheetId="4" hidden="1">1</definedName>
    <definedName name="solver_opt" localSheetId="3" hidden="1">'HSM+BM1 (1-1)'!$AA$128</definedName>
    <definedName name="solver_opt" localSheetId="5" hidden="1">OTS!$AA$129</definedName>
    <definedName name="solver_opt" localSheetId="4" hidden="1">SHW!$AA$129</definedName>
    <definedName name="solver_pre" localSheetId="3" hidden="1">0.000001</definedName>
    <definedName name="solver_pre" localSheetId="5" hidden="1">0.000001</definedName>
    <definedName name="solver_pre" localSheetId="4" hidden="1">0.000001</definedName>
    <definedName name="solver_rbv" localSheetId="3" hidden="1">1</definedName>
    <definedName name="solver_rbv" localSheetId="5" hidden="1">1</definedName>
    <definedName name="solver_rbv" localSheetId="4" hidden="1">1</definedName>
    <definedName name="solver_rlx" localSheetId="3" hidden="1">2</definedName>
    <definedName name="solver_rlx" localSheetId="5" hidden="1">2</definedName>
    <definedName name="solver_rlx" localSheetId="4" hidden="1">2</definedName>
    <definedName name="solver_rsd" localSheetId="3" hidden="1">0</definedName>
    <definedName name="solver_rsd" localSheetId="5" hidden="1">0</definedName>
    <definedName name="solver_rsd" localSheetId="4" hidden="1">0</definedName>
    <definedName name="solver_scl" localSheetId="3" hidden="1">1</definedName>
    <definedName name="solver_scl" localSheetId="5" hidden="1">1</definedName>
    <definedName name="solver_scl" localSheetId="4" hidden="1">1</definedName>
    <definedName name="solver_sho" localSheetId="3" hidden="1">2</definedName>
    <definedName name="solver_sho" localSheetId="5" hidden="1">2</definedName>
    <definedName name="solver_sho" localSheetId="4" hidden="1">2</definedName>
    <definedName name="solver_ssz" localSheetId="3" hidden="1">100</definedName>
    <definedName name="solver_ssz" localSheetId="5" hidden="1">100</definedName>
    <definedName name="solver_ssz" localSheetId="4" hidden="1">100</definedName>
    <definedName name="solver_tim" localSheetId="3" hidden="1">2147483647</definedName>
    <definedName name="solver_tim" localSheetId="5" hidden="1">2147483647</definedName>
    <definedName name="solver_tim" localSheetId="4" hidden="1">2147483647</definedName>
    <definedName name="solver_tol" localSheetId="3" hidden="1">0.01</definedName>
    <definedName name="solver_tol" localSheetId="5" hidden="1">0.01</definedName>
    <definedName name="solver_tol" localSheetId="4" hidden="1">0.01</definedName>
    <definedName name="solver_typ" localSheetId="3" hidden="1">2</definedName>
    <definedName name="solver_typ" localSheetId="5" hidden="1">2</definedName>
    <definedName name="solver_typ" localSheetId="4" hidden="1">2</definedName>
    <definedName name="solver_val" localSheetId="3" hidden="1">0</definedName>
    <definedName name="solver_val" localSheetId="5" hidden="1">0</definedName>
    <definedName name="solver_val" localSheetId="4" hidden="1">0</definedName>
    <definedName name="solver_ver" localSheetId="3" hidden="1">3</definedName>
    <definedName name="solver_ver" localSheetId="5" hidden="1">3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6" l="1"/>
  <c r="I25" i="16" s="1"/>
  <c r="H25" i="16"/>
  <c r="M29" i="16"/>
  <c r="L29" i="16"/>
  <c r="L28" i="16"/>
  <c r="M28" i="16" s="1"/>
  <c r="M27" i="16"/>
  <c r="L27" i="16"/>
  <c r="M26" i="16"/>
  <c r="L26" i="16"/>
  <c r="M24" i="16"/>
  <c r="L24" i="16"/>
  <c r="BC78" i="16"/>
  <c r="AU62" i="16"/>
  <c r="BB79" i="16"/>
  <c r="AV84" i="17"/>
  <c r="AV83" i="17" s="1"/>
  <c r="BC84" i="17"/>
  <c r="BB84" i="17"/>
  <c r="BA84" i="17"/>
  <c r="AZ84" i="17"/>
  <c r="AY84" i="17"/>
  <c r="AX84" i="17"/>
  <c r="AW84" i="17"/>
  <c r="AS84" i="17"/>
  <c r="AR84" i="17"/>
  <c r="BC83" i="17"/>
  <c r="BB83" i="17"/>
  <c r="BA83" i="17"/>
  <c r="AZ83" i="17"/>
  <c r="AY83" i="17"/>
  <c r="AX83" i="17"/>
  <c r="AS83" i="17"/>
  <c r="AR83" i="17"/>
  <c r="BC82" i="17"/>
  <c r="BB82" i="17"/>
  <c r="BA82" i="17"/>
  <c r="AZ82" i="17"/>
  <c r="AY82" i="17"/>
  <c r="AX82" i="17"/>
  <c r="AS82" i="17"/>
  <c r="AR82" i="17"/>
  <c r="BC81" i="17"/>
  <c r="BB81" i="17"/>
  <c r="BA81" i="17"/>
  <c r="AZ81" i="17"/>
  <c r="AY81" i="17"/>
  <c r="AX81" i="17"/>
  <c r="AS81" i="17"/>
  <c r="AR81" i="17"/>
  <c r="BC80" i="17"/>
  <c r="BB80" i="17"/>
  <c r="BA80" i="17"/>
  <c r="AZ80" i="17"/>
  <c r="AY80" i="17"/>
  <c r="AX80" i="17"/>
  <c r="AS80" i="17"/>
  <c r="AR80" i="17"/>
  <c r="BC79" i="17"/>
  <c r="BB79" i="17"/>
  <c r="BA79" i="17"/>
  <c r="AZ79" i="17"/>
  <c r="AY79" i="17"/>
  <c r="AX79" i="17"/>
  <c r="AS79" i="17"/>
  <c r="AR79" i="17"/>
  <c r="BC78" i="17"/>
  <c r="BB78" i="17"/>
  <c r="BA78" i="17"/>
  <c r="AZ78" i="17"/>
  <c r="AY78" i="17"/>
  <c r="AX78" i="17"/>
  <c r="AS78" i="17"/>
  <c r="AR78" i="17"/>
  <c r="BC77" i="17"/>
  <c r="BB77" i="17"/>
  <c r="BA77" i="17"/>
  <c r="AZ77" i="17"/>
  <c r="AY77" i="17"/>
  <c r="AX77" i="17"/>
  <c r="AS77" i="17"/>
  <c r="AR77" i="17"/>
  <c r="BC76" i="17"/>
  <c r="BB76" i="17"/>
  <c r="BA76" i="17"/>
  <c r="AZ76" i="17"/>
  <c r="AY76" i="17"/>
  <c r="AX76" i="17"/>
  <c r="AS76" i="17"/>
  <c r="AR76" i="17"/>
  <c r="BC75" i="17"/>
  <c r="BB75" i="17"/>
  <c r="BA75" i="17"/>
  <c r="AZ75" i="17"/>
  <c r="AY75" i="17"/>
  <c r="AX75" i="17"/>
  <c r="AS75" i="17"/>
  <c r="AR75" i="17"/>
  <c r="BC74" i="17"/>
  <c r="BB74" i="17"/>
  <c r="BA74" i="17"/>
  <c r="AZ74" i="17"/>
  <c r="AY74" i="17"/>
  <c r="AX74" i="17"/>
  <c r="AS74" i="17"/>
  <c r="AR74" i="17"/>
  <c r="BC73" i="17"/>
  <c r="BB73" i="17"/>
  <c r="BA73" i="17"/>
  <c r="AZ73" i="17"/>
  <c r="AY73" i="17"/>
  <c r="AX73" i="17"/>
  <c r="AS73" i="17"/>
  <c r="AR73" i="17"/>
  <c r="BC72" i="17"/>
  <c r="BB72" i="17"/>
  <c r="BA72" i="17"/>
  <c r="AZ72" i="17"/>
  <c r="AY72" i="17"/>
  <c r="AX72" i="17"/>
  <c r="AS72" i="17"/>
  <c r="AR72" i="17"/>
  <c r="BC71" i="17"/>
  <c r="BB71" i="17"/>
  <c r="BA71" i="17"/>
  <c r="AZ71" i="17"/>
  <c r="AY71" i="17"/>
  <c r="AX71" i="17"/>
  <c r="AS71" i="17"/>
  <c r="AR71" i="17"/>
  <c r="BC70" i="17"/>
  <c r="BB70" i="17"/>
  <c r="BA70" i="17"/>
  <c r="AZ70" i="17"/>
  <c r="AY70" i="17"/>
  <c r="AX70" i="17"/>
  <c r="AS70" i="17"/>
  <c r="AR70" i="17"/>
  <c r="BC69" i="17"/>
  <c r="BB69" i="17"/>
  <c r="BA69" i="17"/>
  <c r="AZ69" i="17"/>
  <c r="AY69" i="17"/>
  <c r="AX69" i="17"/>
  <c r="AS69" i="17"/>
  <c r="AR69" i="17"/>
  <c r="BC68" i="17"/>
  <c r="BB68" i="17"/>
  <c r="BA68" i="17"/>
  <c r="AZ68" i="17"/>
  <c r="AY68" i="17"/>
  <c r="AX68" i="17"/>
  <c r="AS68" i="17"/>
  <c r="AR68" i="17"/>
  <c r="BC67" i="17"/>
  <c r="BB67" i="17"/>
  <c r="BA67" i="17"/>
  <c r="AZ67" i="17"/>
  <c r="AY67" i="17"/>
  <c r="AX67" i="17"/>
  <c r="AS67" i="17"/>
  <c r="AR67" i="17"/>
  <c r="BC66" i="17"/>
  <c r="BB66" i="17"/>
  <c r="BA66" i="17"/>
  <c r="AZ66" i="17"/>
  <c r="AY66" i="17"/>
  <c r="AX66" i="17"/>
  <c r="AS66" i="17"/>
  <c r="AR66" i="17"/>
  <c r="BC65" i="17"/>
  <c r="BB65" i="17"/>
  <c r="BA65" i="17"/>
  <c r="AZ65" i="17"/>
  <c r="AY65" i="17"/>
  <c r="AX65" i="17"/>
  <c r="AS65" i="17"/>
  <c r="AR65" i="17"/>
  <c r="BC64" i="17"/>
  <c r="BB64" i="17"/>
  <c r="BA64" i="17"/>
  <c r="AZ64" i="17"/>
  <c r="AY64" i="17"/>
  <c r="AX64" i="17"/>
  <c r="AS64" i="17"/>
  <c r="AR64" i="17"/>
  <c r="BC63" i="17"/>
  <c r="BB63" i="17"/>
  <c r="BA63" i="17"/>
  <c r="AZ63" i="17"/>
  <c r="AY63" i="17"/>
  <c r="AX63" i="17"/>
  <c r="AS63" i="17"/>
  <c r="AR63" i="17"/>
  <c r="BC62" i="17"/>
  <c r="BB62" i="17"/>
  <c r="BA62" i="17"/>
  <c r="AZ62" i="17"/>
  <c r="AY62" i="17"/>
  <c r="AX62" i="17"/>
  <c r="AS62" i="17"/>
  <c r="AR62" i="17"/>
  <c r="BC61" i="17"/>
  <c r="BB61" i="17"/>
  <c r="BA61" i="17"/>
  <c r="AZ61" i="17"/>
  <c r="AY61" i="17"/>
  <c r="AX61" i="17"/>
  <c r="AS61" i="17"/>
  <c r="AR61" i="17"/>
  <c r="BC60" i="17"/>
  <c r="BA60" i="17"/>
  <c r="AY60" i="17"/>
  <c r="AW60" i="17"/>
  <c r="AS60" i="17"/>
  <c r="AV82" i="17" l="1"/>
  <c r="AW83" i="17"/>
  <c r="AW82" i="17" l="1"/>
  <c r="AV81" i="17"/>
  <c r="AV80" i="17" l="1"/>
  <c r="AW81" i="17"/>
  <c r="AW80" i="17" l="1"/>
  <c r="AV79" i="17"/>
  <c r="AV78" i="17" l="1"/>
  <c r="AW79" i="17"/>
  <c r="AV77" i="17" l="1"/>
  <c r="AW78" i="17"/>
  <c r="AV76" i="17" l="1"/>
  <c r="AW77" i="17"/>
  <c r="AW76" i="17" l="1"/>
  <c r="AV75" i="17"/>
  <c r="AV74" i="17" l="1"/>
  <c r="AW75" i="17"/>
  <c r="AW74" i="17" l="1"/>
  <c r="AV73" i="17"/>
  <c r="AV72" i="17" l="1"/>
  <c r="AW73" i="17"/>
  <c r="AV71" i="17" l="1"/>
  <c r="AW72" i="17"/>
  <c r="AV70" i="17" l="1"/>
  <c r="AW71" i="17"/>
  <c r="AW70" i="17" l="1"/>
  <c r="AV69" i="17"/>
  <c r="AV68" i="17" l="1"/>
  <c r="AW69" i="17"/>
  <c r="AW68" i="17" l="1"/>
  <c r="AV67" i="17"/>
  <c r="AV66" i="17" l="1"/>
  <c r="AW67" i="17"/>
  <c r="AV65" i="17" l="1"/>
  <c r="AW66" i="17"/>
  <c r="AV64" i="17" l="1"/>
  <c r="AW65" i="17"/>
  <c r="AW64" i="17" l="1"/>
  <c r="AV63" i="17"/>
  <c r="AV62" i="17" l="1"/>
  <c r="AW63" i="17"/>
  <c r="AV61" i="17" l="1"/>
  <c r="AW61" i="17" s="1"/>
  <c r="AW62" i="17"/>
  <c r="D126" i="18" l="1"/>
  <c r="D127" i="18" s="1"/>
  <c r="D128" i="18" s="1"/>
  <c r="D125" i="18"/>
  <c r="D112" i="18"/>
  <c r="D113" i="18" s="1"/>
  <c r="D114" i="18" s="1"/>
  <c r="D115" i="18" s="1"/>
  <c r="D100" i="18"/>
  <c r="D101" i="18" s="1"/>
  <c r="D102" i="18" s="1"/>
  <c r="D99" i="18"/>
  <c r="D86" i="18"/>
  <c r="D87" i="18" s="1"/>
  <c r="D88" i="18" s="1"/>
  <c r="D89" i="18" s="1"/>
  <c r="D73" i="18"/>
  <c r="D74" i="18" s="1"/>
  <c r="D75" i="18" s="1"/>
  <c r="D76" i="18" s="1"/>
  <c r="E63" i="18"/>
  <c r="E76" i="18" s="1"/>
  <c r="E89" i="18" s="1"/>
  <c r="E102" i="18" s="1"/>
  <c r="E115" i="18" s="1"/>
  <c r="E128" i="18" s="1"/>
  <c r="E62" i="18"/>
  <c r="E75" i="18" s="1"/>
  <c r="E88" i="18" s="1"/>
  <c r="E101" i="18" s="1"/>
  <c r="E114" i="18" s="1"/>
  <c r="E127" i="18" s="1"/>
  <c r="E61" i="18"/>
  <c r="E74" i="18" s="1"/>
  <c r="E87" i="18" s="1"/>
  <c r="E100" i="18" s="1"/>
  <c r="E113" i="18" s="1"/>
  <c r="E126" i="18" s="1"/>
  <c r="E60" i="18"/>
  <c r="E73" i="18" s="1"/>
  <c r="E86" i="18" s="1"/>
  <c r="E99" i="18" s="1"/>
  <c r="E112" i="18" s="1"/>
  <c r="E125" i="18" s="1"/>
  <c r="D60" i="18"/>
  <c r="D61" i="18" s="1"/>
  <c r="D62" i="18" s="1"/>
  <c r="D63" i="18" s="1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R13" i="18"/>
  <c r="R20" i="18" s="1"/>
  <c r="Q13" i="18"/>
  <c r="Q20" i="18" s="1"/>
  <c r="P13" i="18"/>
  <c r="P20" i="18" s="1"/>
  <c r="O13" i="18"/>
  <c r="O20" i="18" s="1"/>
  <c r="N13" i="18"/>
  <c r="N20" i="18" s="1"/>
  <c r="M13" i="18"/>
  <c r="M20" i="18" s="1"/>
  <c r="L13" i="18"/>
  <c r="L20" i="18" s="1"/>
  <c r="K13" i="18"/>
  <c r="K20" i="18" s="1"/>
  <c r="J13" i="18"/>
  <c r="J20" i="18" s="1"/>
  <c r="I13" i="18"/>
  <c r="I20" i="18" s="1"/>
  <c r="H13" i="18"/>
  <c r="H20" i="18" s="1"/>
  <c r="G13" i="18"/>
  <c r="G20" i="18" s="1"/>
  <c r="F13" i="18"/>
  <c r="F20" i="18" s="1"/>
  <c r="E13" i="18"/>
  <c r="E20" i="18" s="1"/>
  <c r="D13" i="18"/>
  <c r="D20" i="18" s="1"/>
  <c r="R12" i="18"/>
  <c r="R19" i="18" s="1"/>
  <c r="Q12" i="18"/>
  <c r="Q19" i="18" s="1"/>
  <c r="P12" i="18"/>
  <c r="P19" i="18" s="1"/>
  <c r="O12" i="18"/>
  <c r="O19" i="18" s="1"/>
  <c r="N12" i="18"/>
  <c r="N19" i="18" s="1"/>
  <c r="M12" i="18"/>
  <c r="M19" i="18" s="1"/>
  <c r="L12" i="18"/>
  <c r="L19" i="18" s="1"/>
  <c r="K12" i="18"/>
  <c r="K19" i="18" s="1"/>
  <c r="J12" i="18"/>
  <c r="J19" i="18" s="1"/>
  <c r="I12" i="18"/>
  <c r="I19" i="18" s="1"/>
  <c r="H12" i="18"/>
  <c r="H19" i="18" s="1"/>
  <c r="G12" i="18"/>
  <c r="G19" i="18" s="1"/>
  <c r="F12" i="18"/>
  <c r="F19" i="18" s="1"/>
  <c r="E12" i="18"/>
  <c r="E19" i="18" s="1"/>
  <c r="D12" i="18"/>
  <c r="D19" i="18" s="1"/>
  <c r="R11" i="18"/>
  <c r="R18" i="18" s="1"/>
  <c r="Q11" i="18"/>
  <c r="Q18" i="18" s="1"/>
  <c r="P11" i="18"/>
  <c r="P18" i="18" s="1"/>
  <c r="O11" i="18"/>
  <c r="O18" i="18" s="1"/>
  <c r="N11" i="18"/>
  <c r="N18" i="18" s="1"/>
  <c r="M11" i="18"/>
  <c r="M18" i="18" s="1"/>
  <c r="L11" i="18"/>
  <c r="L18" i="18" s="1"/>
  <c r="K11" i="18"/>
  <c r="K18" i="18" s="1"/>
  <c r="J11" i="18"/>
  <c r="J18" i="18" s="1"/>
  <c r="I11" i="18"/>
  <c r="I18" i="18" s="1"/>
  <c r="H11" i="18"/>
  <c r="H18" i="18" s="1"/>
  <c r="G11" i="18"/>
  <c r="G18" i="18" s="1"/>
  <c r="F11" i="18"/>
  <c r="F18" i="18" s="1"/>
  <c r="E11" i="18"/>
  <c r="E18" i="18" s="1"/>
  <c r="D11" i="18"/>
  <c r="D18" i="18" s="1"/>
  <c r="R10" i="18"/>
  <c r="R17" i="18" s="1"/>
  <c r="Q10" i="18"/>
  <c r="Q17" i="18" s="1"/>
  <c r="P10" i="18"/>
  <c r="P17" i="18" s="1"/>
  <c r="O10" i="18"/>
  <c r="O17" i="18" s="1"/>
  <c r="N10" i="18"/>
  <c r="N17" i="18" s="1"/>
  <c r="M10" i="18"/>
  <c r="M17" i="18" s="1"/>
  <c r="L10" i="18"/>
  <c r="L17" i="18" s="1"/>
  <c r="K10" i="18"/>
  <c r="K17" i="18" s="1"/>
  <c r="J10" i="18"/>
  <c r="J17" i="18" s="1"/>
  <c r="I10" i="18"/>
  <c r="I17" i="18" s="1"/>
  <c r="H10" i="18"/>
  <c r="H17" i="18" s="1"/>
  <c r="G10" i="18"/>
  <c r="G17" i="18" s="1"/>
  <c r="F10" i="18"/>
  <c r="F17" i="18" s="1"/>
  <c r="E10" i="18"/>
  <c r="E17" i="18" s="1"/>
  <c r="D10" i="18"/>
  <c r="D17" i="18" s="1"/>
  <c r="R9" i="18"/>
  <c r="R16" i="18" s="1"/>
  <c r="Q9" i="18"/>
  <c r="Q16" i="18" s="1"/>
  <c r="P9" i="18"/>
  <c r="P16" i="18" s="1"/>
  <c r="O9" i="18"/>
  <c r="O16" i="18" s="1"/>
  <c r="N9" i="18"/>
  <c r="N16" i="18" s="1"/>
  <c r="M9" i="18"/>
  <c r="M16" i="18" s="1"/>
  <c r="L9" i="18"/>
  <c r="L16" i="18" s="1"/>
  <c r="K9" i="18"/>
  <c r="K16" i="18" s="1"/>
  <c r="J9" i="18"/>
  <c r="J16" i="18" s="1"/>
  <c r="I9" i="18"/>
  <c r="I16" i="18" s="1"/>
  <c r="H9" i="18"/>
  <c r="H16" i="18" s="1"/>
  <c r="G9" i="18"/>
  <c r="G16" i="18" s="1"/>
  <c r="F9" i="18"/>
  <c r="F16" i="18" s="1"/>
  <c r="E9" i="18"/>
  <c r="E16" i="18" s="1"/>
  <c r="D9" i="18"/>
  <c r="D16" i="18" s="1"/>
  <c r="R8" i="18"/>
  <c r="R15" i="18" s="1"/>
  <c r="Q8" i="18"/>
  <c r="Q15" i="18" s="1"/>
  <c r="P8" i="18"/>
  <c r="P15" i="18" s="1"/>
  <c r="O8" i="18"/>
  <c r="O15" i="18" s="1"/>
  <c r="N8" i="18"/>
  <c r="N15" i="18" s="1"/>
  <c r="M8" i="18"/>
  <c r="M15" i="18" s="1"/>
  <c r="L8" i="18"/>
  <c r="L15" i="18" s="1"/>
  <c r="K8" i="18"/>
  <c r="K15" i="18" s="1"/>
  <c r="J8" i="18"/>
  <c r="J15" i="18" s="1"/>
  <c r="I8" i="18"/>
  <c r="I15" i="18" s="1"/>
  <c r="H8" i="18"/>
  <c r="H15" i="18" s="1"/>
  <c r="G8" i="18"/>
  <c r="G15" i="18" s="1"/>
  <c r="F8" i="18"/>
  <c r="F15" i="18" s="1"/>
  <c r="E8" i="18"/>
  <c r="E15" i="18" s="1"/>
  <c r="D8" i="18"/>
  <c r="D15" i="18" s="1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60" i="18" s="1"/>
  <c r="C73" i="18" s="1"/>
  <c r="C86" i="18" s="1"/>
  <c r="P3" i="18"/>
  <c r="M3" i="18"/>
  <c r="D46" i="18" s="1"/>
  <c r="J3" i="18"/>
  <c r="D41" i="18" s="1"/>
  <c r="G3" i="18"/>
  <c r="D33" i="18" s="1"/>
  <c r="D3" i="18"/>
  <c r="D29" i="18" s="1"/>
  <c r="F24" i="18" l="1"/>
  <c r="E24" i="18"/>
  <c r="I24" i="18" s="1"/>
  <c r="J24" i="18" s="1"/>
  <c r="K24" i="18" s="1"/>
  <c r="E36" i="18"/>
  <c r="I36" i="18" s="1"/>
  <c r="F61" i="18" s="1"/>
  <c r="F36" i="18"/>
  <c r="G36" i="18" s="1"/>
  <c r="F26" i="18"/>
  <c r="E26" i="18"/>
  <c r="I26" i="18" s="1"/>
  <c r="J26" i="18" s="1"/>
  <c r="K26" i="18" s="1"/>
  <c r="E50" i="18"/>
  <c r="I50" i="18" s="1"/>
  <c r="F50" i="18"/>
  <c r="G50" i="18" s="1"/>
  <c r="F45" i="18"/>
  <c r="E45" i="18"/>
  <c r="I45" i="18" s="1"/>
  <c r="F101" i="18" s="1"/>
  <c r="E35" i="18"/>
  <c r="I35" i="18" s="1"/>
  <c r="F35" i="18"/>
  <c r="G35" i="18" s="1"/>
  <c r="F30" i="18"/>
  <c r="E30" i="18"/>
  <c r="I30" i="18" s="1"/>
  <c r="F60" i="18" s="1"/>
  <c r="F25" i="18"/>
  <c r="E25" i="18"/>
  <c r="I25" i="18" s="1"/>
  <c r="J25" i="18" s="1"/>
  <c r="K25" i="18" s="1"/>
  <c r="F49" i="18"/>
  <c r="E49" i="18"/>
  <c r="I49" i="18" s="1"/>
  <c r="F76" i="18" s="1"/>
  <c r="E38" i="18"/>
  <c r="I38" i="18" s="1"/>
  <c r="F38" i="18"/>
  <c r="E48" i="18"/>
  <c r="I48" i="18" s="1"/>
  <c r="F48" i="18"/>
  <c r="G48" i="18" s="1"/>
  <c r="E43" i="18"/>
  <c r="I43" i="18" s="1"/>
  <c r="F43" i="18"/>
  <c r="G43" i="18" s="1"/>
  <c r="E33" i="18"/>
  <c r="I33" i="18" s="1"/>
  <c r="F99" i="18" s="1"/>
  <c r="F33" i="18"/>
  <c r="G33" i="18" s="1"/>
  <c r="F28" i="18"/>
  <c r="E28" i="18"/>
  <c r="I28" i="18" s="1"/>
  <c r="E52" i="18"/>
  <c r="I52" i="18" s="1"/>
  <c r="F52" i="18"/>
  <c r="G52" i="18" s="1"/>
  <c r="F47" i="18"/>
  <c r="E47" i="18"/>
  <c r="I47" i="18" s="1"/>
  <c r="F127" i="18" s="1"/>
  <c r="E42" i="18"/>
  <c r="I42" i="18" s="1"/>
  <c r="F62" i="18" s="1"/>
  <c r="F42" i="18"/>
  <c r="E37" i="18"/>
  <c r="I37" i="18" s="1"/>
  <c r="F37" i="18"/>
  <c r="G37" i="18" s="1"/>
  <c r="F32" i="18"/>
  <c r="E32" i="18"/>
  <c r="I32" i="18" s="1"/>
  <c r="F86" i="18" s="1"/>
  <c r="F27" i="18"/>
  <c r="E27" i="18"/>
  <c r="I27" i="18" s="1"/>
  <c r="J27" i="18" s="1"/>
  <c r="K27" i="18" s="1"/>
  <c r="F51" i="18"/>
  <c r="E51" i="18"/>
  <c r="I51" i="18" s="1"/>
  <c r="F102" i="18" s="1"/>
  <c r="E46" i="18"/>
  <c r="I46" i="18" s="1"/>
  <c r="F46" i="18"/>
  <c r="G46" i="18" s="1"/>
  <c r="E41" i="18"/>
  <c r="I41" i="18" s="1"/>
  <c r="F126" i="18" s="1"/>
  <c r="F41" i="18"/>
  <c r="F29" i="18"/>
  <c r="J28" i="18"/>
  <c r="K28" i="18" s="1"/>
  <c r="J36" i="18"/>
  <c r="K36" i="18" s="1"/>
  <c r="F31" i="18"/>
  <c r="E31" i="18"/>
  <c r="I31" i="18" s="1"/>
  <c r="F73" i="18" s="1"/>
  <c r="E40" i="18"/>
  <c r="I40" i="18" s="1"/>
  <c r="F113" i="18" s="1"/>
  <c r="F40" i="18"/>
  <c r="E44" i="18"/>
  <c r="I44" i="18" s="1"/>
  <c r="F88" i="18" s="1"/>
  <c r="E39" i="18"/>
  <c r="I39" i="18" s="1"/>
  <c r="E34" i="18"/>
  <c r="I34" i="18" s="1"/>
  <c r="F53" i="18"/>
  <c r="E53" i="18"/>
  <c r="I53" i="18" s="1"/>
  <c r="F128" i="18" s="1"/>
  <c r="E29" i="18"/>
  <c r="I29" i="18" s="1"/>
  <c r="J29" i="18" s="1"/>
  <c r="K29" i="18" s="1"/>
  <c r="D34" i="18"/>
  <c r="D38" i="18"/>
  <c r="D42" i="18"/>
  <c r="J53" i="18"/>
  <c r="K53" i="18" s="1"/>
  <c r="C74" i="18"/>
  <c r="C75" i="18" s="1"/>
  <c r="C76" i="18" s="1"/>
  <c r="D52" i="18"/>
  <c r="D50" i="18"/>
  <c r="D48" i="18"/>
  <c r="D31" i="18"/>
  <c r="F34" i="18"/>
  <c r="D35" i="18"/>
  <c r="D39" i="18"/>
  <c r="D43" i="18"/>
  <c r="D47" i="18"/>
  <c r="D51" i="18"/>
  <c r="C99" i="18"/>
  <c r="C87" i="18"/>
  <c r="C88" i="18" s="1"/>
  <c r="C89" i="18" s="1"/>
  <c r="D36" i="18"/>
  <c r="F39" i="18"/>
  <c r="D40" i="18"/>
  <c r="D44" i="18"/>
  <c r="J47" i="18"/>
  <c r="K47" i="18" s="1"/>
  <c r="D24" i="18"/>
  <c r="D25" i="18"/>
  <c r="D26" i="18"/>
  <c r="D27" i="18"/>
  <c r="D28" i="18"/>
  <c r="D30" i="18"/>
  <c r="D32" i="18"/>
  <c r="D37" i="18"/>
  <c r="F44" i="18"/>
  <c r="G44" i="18" s="1"/>
  <c r="D45" i="18"/>
  <c r="D49" i="18"/>
  <c r="D53" i="18"/>
  <c r="C61" i="18"/>
  <c r="C62" i="18" s="1"/>
  <c r="C63" i="18" s="1"/>
  <c r="D126" i="17"/>
  <c r="D127" i="17" s="1"/>
  <c r="D128" i="17" s="1"/>
  <c r="D125" i="17"/>
  <c r="D112" i="17"/>
  <c r="D113" i="17" s="1"/>
  <c r="D114" i="17" s="1"/>
  <c r="D115" i="17" s="1"/>
  <c r="D100" i="17"/>
  <c r="D101" i="17" s="1"/>
  <c r="D102" i="17" s="1"/>
  <c r="D99" i="17"/>
  <c r="D86" i="17"/>
  <c r="D87" i="17" s="1"/>
  <c r="D88" i="17" s="1"/>
  <c r="D89" i="17" s="1"/>
  <c r="D73" i="17"/>
  <c r="D74" i="17" s="1"/>
  <c r="D75" i="17" s="1"/>
  <c r="D76" i="17" s="1"/>
  <c r="E63" i="17"/>
  <c r="E76" i="17" s="1"/>
  <c r="E89" i="17" s="1"/>
  <c r="E102" i="17" s="1"/>
  <c r="E115" i="17" s="1"/>
  <c r="E128" i="17" s="1"/>
  <c r="E62" i="17"/>
  <c r="E75" i="17" s="1"/>
  <c r="E88" i="17" s="1"/>
  <c r="E101" i="17" s="1"/>
  <c r="E114" i="17" s="1"/>
  <c r="E127" i="17" s="1"/>
  <c r="E61" i="17"/>
  <c r="E74" i="17" s="1"/>
  <c r="E87" i="17" s="1"/>
  <c r="E100" i="17" s="1"/>
  <c r="E113" i="17" s="1"/>
  <c r="E126" i="17" s="1"/>
  <c r="E60" i="17"/>
  <c r="E73" i="17" s="1"/>
  <c r="E86" i="17" s="1"/>
  <c r="E99" i="17" s="1"/>
  <c r="E112" i="17" s="1"/>
  <c r="E125" i="17" s="1"/>
  <c r="D60" i="17"/>
  <c r="D61" i="17" s="1"/>
  <c r="D62" i="17" s="1"/>
  <c r="D63" i="17" s="1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R13" i="17"/>
  <c r="R20" i="17" s="1"/>
  <c r="Q13" i="17"/>
  <c r="Q20" i="17" s="1"/>
  <c r="F53" i="17" s="1"/>
  <c r="P13" i="17"/>
  <c r="P20" i="17" s="1"/>
  <c r="O13" i="17"/>
  <c r="O20" i="17" s="1"/>
  <c r="N13" i="17"/>
  <c r="N20" i="17" s="1"/>
  <c r="M13" i="17"/>
  <c r="M20" i="17" s="1"/>
  <c r="L13" i="17"/>
  <c r="L20" i="17" s="1"/>
  <c r="K13" i="17"/>
  <c r="K20" i="17" s="1"/>
  <c r="J13" i="17"/>
  <c r="J20" i="17" s="1"/>
  <c r="I13" i="17"/>
  <c r="I20" i="17" s="1"/>
  <c r="H13" i="17"/>
  <c r="H20" i="17" s="1"/>
  <c r="G13" i="17"/>
  <c r="G20" i="17" s="1"/>
  <c r="F13" i="17"/>
  <c r="F20" i="17" s="1"/>
  <c r="E13" i="17"/>
  <c r="E20" i="17" s="1"/>
  <c r="D13" i="17"/>
  <c r="D20" i="17" s="1"/>
  <c r="R12" i="17"/>
  <c r="R19" i="17" s="1"/>
  <c r="Q12" i="17"/>
  <c r="Q19" i="17" s="1"/>
  <c r="P12" i="17"/>
  <c r="P19" i="17" s="1"/>
  <c r="O12" i="17"/>
  <c r="O19" i="17" s="1"/>
  <c r="N12" i="17"/>
  <c r="N19" i="17" s="1"/>
  <c r="M12" i="17"/>
  <c r="M19" i="17" s="1"/>
  <c r="L12" i="17"/>
  <c r="L19" i="17" s="1"/>
  <c r="K12" i="17"/>
  <c r="K19" i="17" s="1"/>
  <c r="J12" i="17"/>
  <c r="J19" i="17" s="1"/>
  <c r="I12" i="17"/>
  <c r="I19" i="17" s="1"/>
  <c r="H12" i="17"/>
  <c r="H19" i="17" s="1"/>
  <c r="G12" i="17"/>
  <c r="G19" i="17" s="1"/>
  <c r="F12" i="17"/>
  <c r="F19" i="17" s="1"/>
  <c r="E12" i="17"/>
  <c r="E19" i="17" s="1"/>
  <c r="D12" i="17"/>
  <c r="D19" i="17" s="1"/>
  <c r="E28" i="17" s="1"/>
  <c r="I28" i="17" s="1"/>
  <c r="J28" i="17" s="1"/>
  <c r="K28" i="17" s="1"/>
  <c r="R11" i="17"/>
  <c r="R18" i="17" s="1"/>
  <c r="Q11" i="17"/>
  <c r="Q18" i="17" s="1"/>
  <c r="P11" i="17"/>
  <c r="P18" i="17" s="1"/>
  <c r="O11" i="17"/>
  <c r="O18" i="17" s="1"/>
  <c r="N11" i="17"/>
  <c r="N18" i="17" s="1"/>
  <c r="M11" i="17"/>
  <c r="M18" i="17" s="1"/>
  <c r="L11" i="17"/>
  <c r="L18" i="17" s="1"/>
  <c r="K11" i="17"/>
  <c r="K18" i="17" s="1"/>
  <c r="J11" i="17"/>
  <c r="J18" i="17" s="1"/>
  <c r="I11" i="17"/>
  <c r="I18" i="17" s="1"/>
  <c r="H11" i="17"/>
  <c r="H18" i="17" s="1"/>
  <c r="G11" i="17"/>
  <c r="G18" i="17" s="1"/>
  <c r="F11" i="17"/>
  <c r="F18" i="17" s="1"/>
  <c r="E11" i="17"/>
  <c r="E18" i="17" s="1"/>
  <c r="D11" i="17"/>
  <c r="D18" i="17" s="1"/>
  <c r="R10" i="17"/>
  <c r="R17" i="17" s="1"/>
  <c r="Q10" i="17"/>
  <c r="Q17" i="17" s="1"/>
  <c r="P10" i="17"/>
  <c r="P17" i="17" s="1"/>
  <c r="O10" i="17"/>
  <c r="O17" i="17" s="1"/>
  <c r="N10" i="17"/>
  <c r="N17" i="17" s="1"/>
  <c r="M10" i="17"/>
  <c r="M17" i="17" s="1"/>
  <c r="L10" i="17"/>
  <c r="L17" i="17" s="1"/>
  <c r="K10" i="17"/>
  <c r="K17" i="17" s="1"/>
  <c r="J10" i="17"/>
  <c r="J17" i="17" s="1"/>
  <c r="I10" i="17"/>
  <c r="I17" i="17" s="1"/>
  <c r="H10" i="17"/>
  <c r="H17" i="17" s="1"/>
  <c r="G10" i="17"/>
  <c r="G17" i="17" s="1"/>
  <c r="F10" i="17"/>
  <c r="F17" i="17" s="1"/>
  <c r="E10" i="17"/>
  <c r="E17" i="17" s="1"/>
  <c r="D10" i="17"/>
  <c r="D17" i="17" s="1"/>
  <c r="R9" i="17"/>
  <c r="R16" i="17" s="1"/>
  <c r="Q9" i="17"/>
  <c r="Q16" i="17" s="1"/>
  <c r="P9" i="17"/>
  <c r="P16" i="17" s="1"/>
  <c r="O9" i="17"/>
  <c r="O16" i="17" s="1"/>
  <c r="N9" i="17"/>
  <c r="N16" i="17" s="1"/>
  <c r="M9" i="17"/>
  <c r="M16" i="17" s="1"/>
  <c r="L9" i="17"/>
  <c r="L16" i="17" s="1"/>
  <c r="K9" i="17"/>
  <c r="K16" i="17" s="1"/>
  <c r="J9" i="17"/>
  <c r="J16" i="17" s="1"/>
  <c r="I9" i="17"/>
  <c r="I16" i="17" s="1"/>
  <c r="H9" i="17"/>
  <c r="H16" i="17" s="1"/>
  <c r="G9" i="17"/>
  <c r="G16" i="17" s="1"/>
  <c r="F9" i="17"/>
  <c r="F16" i="17" s="1"/>
  <c r="E9" i="17"/>
  <c r="E16" i="17" s="1"/>
  <c r="D9" i="17"/>
  <c r="D16" i="17" s="1"/>
  <c r="R8" i="17"/>
  <c r="R15" i="17" s="1"/>
  <c r="Q8" i="17"/>
  <c r="Q15" i="17" s="1"/>
  <c r="P8" i="17"/>
  <c r="P15" i="17" s="1"/>
  <c r="O8" i="17"/>
  <c r="O15" i="17" s="1"/>
  <c r="N8" i="17"/>
  <c r="N15" i="17" s="1"/>
  <c r="M8" i="17"/>
  <c r="M15" i="17" s="1"/>
  <c r="L8" i="17"/>
  <c r="L15" i="17" s="1"/>
  <c r="K8" i="17"/>
  <c r="K15" i="17" s="1"/>
  <c r="J8" i="17"/>
  <c r="J15" i="17" s="1"/>
  <c r="I8" i="17"/>
  <c r="I15" i="17" s="1"/>
  <c r="H8" i="17"/>
  <c r="H15" i="17" s="1"/>
  <c r="G8" i="17"/>
  <c r="G15" i="17" s="1"/>
  <c r="F8" i="17"/>
  <c r="F15" i="17" s="1"/>
  <c r="E8" i="17"/>
  <c r="E15" i="17" s="1"/>
  <c r="D8" i="17"/>
  <c r="D15" i="17" s="1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60" i="17" s="1"/>
  <c r="P3" i="17"/>
  <c r="M3" i="17"/>
  <c r="D44" i="17" s="1"/>
  <c r="J3" i="17"/>
  <c r="D41" i="17" s="1"/>
  <c r="G3" i="17"/>
  <c r="D33" i="17" s="1"/>
  <c r="D3" i="17"/>
  <c r="D29" i="17" s="1"/>
  <c r="J32" i="18" l="1"/>
  <c r="K32" i="18" s="1"/>
  <c r="G32" i="18"/>
  <c r="J51" i="18"/>
  <c r="K51" i="18" s="1"/>
  <c r="G102" i="18" s="1"/>
  <c r="G39" i="18"/>
  <c r="G51" i="18"/>
  <c r="G53" i="18"/>
  <c r="G40" i="18"/>
  <c r="J44" i="18"/>
  <c r="K44" i="18" s="1"/>
  <c r="L44" i="18" s="1"/>
  <c r="M44" i="18" s="1"/>
  <c r="AF60" i="18"/>
  <c r="T60" i="18"/>
  <c r="AF101" i="18"/>
  <c r="T101" i="18"/>
  <c r="J49" i="18"/>
  <c r="K49" i="18" s="1"/>
  <c r="AF113" i="18"/>
  <c r="T113" i="18"/>
  <c r="J40" i="18"/>
  <c r="K40" i="18" s="1"/>
  <c r="T99" i="18"/>
  <c r="AF99" i="18"/>
  <c r="G49" i="18"/>
  <c r="G24" i="18"/>
  <c r="G127" i="18"/>
  <c r="L47" i="18"/>
  <c r="M47" i="18" s="1"/>
  <c r="G34" i="18"/>
  <c r="J45" i="18"/>
  <c r="K45" i="18" s="1"/>
  <c r="F100" i="18"/>
  <c r="J39" i="18"/>
  <c r="K39" i="18" s="1"/>
  <c r="AF73" i="18"/>
  <c r="T73" i="18"/>
  <c r="G61" i="18"/>
  <c r="L36" i="18"/>
  <c r="M36" i="18" s="1"/>
  <c r="G29" i="18"/>
  <c r="F114" i="18"/>
  <c r="J46" i="18"/>
  <c r="K46" i="18" s="1"/>
  <c r="G27" i="18"/>
  <c r="F74" i="18"/>
  <c r="J37" i="18"/>
  <c r="K37" i="18" s="1"/>
  <c r="T127" i="18"/>
  <c r="AF127" i="18"/>
  <c r="J31" i="18"/>
  <c r="K31" i="18" s="1"/>
  <c r="J30" i="18"/>
  <c r="K30" i="18" s="1"/>
  <c r="J41" i="18"/>
  <c r="K41" i="18" s="1"/>
  <c r="C100" i="18"/>
  <c r="C101" i="18" s="1"/>
  <c r="C102" i="18" s="1"/>
  <c r="C112" i="18"/>
  <c r="G128" i="18"/>
  <c r="L53" i="18"/>
  <c r="M53" i="18" s="1"/>
  <c r="AF126" i="18"/>
  <c r="T126" i="18"/>
  <c r="AF62" i="18"/>
  <c r="T62" i="18"/>
  <c r="F112" i="18"/>
  <c r="J34" i="18"/>
  <c r="K34" i="18" s="1"/>
  <c r="F115" i="18"/>
  <c r="J52" i="18"/>
  <c r="K52" i="18" s="1"/>
  <c r="F63" i="18"/>
  <c r="J48" i="18"/>
  <c r="K48" i="18" s="1"/>
  <c r="J42" i="18"/>
  <c r="K42" i="18" s="1"/>
  <c r="G30" i="18"/>
  <c r="G45" i="18"/>
  <c r="G26" i="18"/>
  <c r="AF128" i="18"/>
  <c r="T128" i="18"/>
  <c r="AF88" i="18"/>
  <c r="T88" i="18"/>
  <c r="G31" i="18"/>
  <c r="L32" i="18"/>
  <c r="M32" i="18" s="1"/>
  <c r="G86" i="18"/>
  <c r="G41" i="18"/>
  <c r="T102" i="18"/>
  <c r="AF102" i="18"/>
  <c r="AF86" i="18"/>
  <c r="T86" i="18"/>
  <c r="G42" i="18"/>
  <c r="G47" i="18"/>
  <c r="G28" i="18"/>
  <c r="F75" i="18"/>
  <c r="J43" i="18"/>
  <c r="K43" i="18" s="1"/>
  <c r="G38" i="18"/>
  <c r="G25" i="18"/>
  <c r="J33" i="18"/>
  <c r="K33" i="18" s="1"/>
  <c r="F125" i="18"/>
  <c r="J35" i="18"/>
  <c r="K35" i="18" s="1"/>
  <c r="F89" i="18"/>
  <c r="J50" i="18"/>
  <c r="K50" i="18" s="1"/>
  <c r="AF61" i="18"/>
  <c r="T61" i="18"/>
  <c r="G88" i="18"/>
  <c r="F87" i="18"/>
  <c r="J38" i="18"/>
  <c r="K38" i="18" s="1"/>
  <c r="AF76" i="18"/>
  <c r="T76" i="18"/>
  <c r="E36" i="17"/>
  <c r="I36" i="17" s="1"/>
  <c r="F61" i="17" s="1"/>
  <c r="F36" i="17"/>
  <c r="F31" i="17"/>
  <c r="E31" i="17"/>
  <c r="I31" i="17" s="1"/>
  <c r="E26" i="17"/>
  <c r="I26" i="17" s="1"/>
  <c r="J26" i="17" s="1"/>
  <c r="K26" i="17" s="1"/>
  <c r="F26" i="17"/>
  <c r="G26" i="17" s="1"/>
  <c r="F50" i="17"/>
  <c r="E50" i="17"/>
  <c r="I50" i="17" s="1"/>
  <c r="F89" i="17" s="1"/>
  <c r="E45" i="17"/>
  <c r="I45" i="17" s="1"/>
  <c r="F45" i="17"/>
  <c r="G45" i="17" s="1"/>
  <c r="E40" i="17"/>
  <c r="I40" i="17" s="1"/>
  <c r="F113" i="17" s="1"/>
  <c r="F40" i="17"/>
  <c r="G40" i="17" s="1"/>
  <c r="E35" i="17"/>
  <c r="I35" i="17" s="1"/>
  <c r="F35" i="17"/>
  <c r="G35" i="17" s="1"/>
  <c r="C73" i="17"/>
  <c r="C61" i="17"/>
  <c r="C62" i="17" s="1"/>
  <c r="C63" i="17" s="1"/>
  <c r="E25" i="17"/>
  <c r="I25" i="17" s="1"/>
  <c r="J25" i="17" s="1"/>
  <c r="K25" i="17" s="1"/>
  <c r="F25" i="17"/>
  <c r="G25" i="17" s="1"/>
  <c r="F44" i="17"/>
  <c r="E44" i="17"/>
  <c r="I44" i="17" s="1"/>
  <c r="F88" i="17" s="1"/>
  <c r="E34" i="17"/>
  <c r="I34" i="17" s="1"/>
  <c r="F34" i="17"/>
  <c r="E29" i="17"/>
  <c r="I29" i="17" s="1"/>
  <c r="J29" i="17" s="1"/>
  <c r="K29" i="17" s="1"/>
  <c r="F29" i="17"/>
  <c r="G29" i="17" s="1"/>
  <c r="E30" i="17"/>
  <c r="I30" i="17" s="1"/>
  <c r="F30" i="17"/>
  <c r="G30" i="17" s="1"/>
  <c r="E49" i="17"/>
  <c r="I49" i="17" s="1"/>
  <c r="F49" i="17"/>
  <c r="E39" i="17"/>
  <c r="I39" i="17" s="1"/>
  <c r="F39" i="17"/>
  <c r="G39" i="17" s="1"/>
  <c r="E24" i="17"/>
  <c r="I24" i="17" s="1"/>
  <c r="J24" i="17" s="1"/>
  <c r="K24" i="17" s="1"/>
  <c r="F24" i="17"/>
  <c r="F48" i="17"/>
  <c r="E48" i="17"/>
  <c r="I48" i="17" s="1"/>
  <c r="F63" i="17" s="1"/>
  <c r="E43" i="17"/>
  <c r="I43" i="17" s="1"/>
  <c r="F43" i="17"/>
  <c r="E38" i="17"/>
  <c r="I38" i="17" s="1"/>
  <c r="F38" i="17"/>
  <c r="G38" i="17" s="1"/>
  <c r="E33" i="17"/>
  <c r="I33" i="17" s="1"/>
  <c r="F99" i="17" s="1"/>
  <c r="F33" i="17"/>
  <c r="J36" i="17"/>
  <c r="K36" i="17" s="1"/>
  <c r="F42" i="17"/>
  <c r="E42" i="17"/>
  <c r="I42" i="17" s="1"/>
  <c r="F62" i="17" s="1"/>
  <c r="E37" i="17"/>
  <c r="I37" i="17" s="1"/>
  <c r="F37" i="17"/>
  <c r="G37" i="17" s="1"/>
  <c r="E32" i="17"/>
  <c r="I32" i="17" s="1"/>
  <c r="F86" i="17" s="1"/>
  <c r="F32" i="17"/>
  <c r="E27" i="17"/>
  <c r="I27" i="17" s="1"/>
  <c r="J27" i="17" s="1"/>
  <c r="K27" i="17" s="1"/>
  <c r="F27" i="17"/>
  <c r="G27" i="17" s="1"/>
  <c r="E51" i="17"/>
  <c r="I51" i="17" s="1"/>
  <c r="F51" i="17"/>
  <c r="F46" i="17"/>
  <c r="E46" i="17"/>
  <c r="I46" i="17" s="1"/>
  <c r="F114" i="17" s="1"/>
  <c r="E41" i="17"/>
  <c r="I41" i="17" s="1"/>
  <c r="F126" i="17" s="1"/>
  <c r="F41" i="17"/>
  <c r="J37" i="17"/>
  <c r="K37" i="17" s="1"/>
  <c r="D53" i="17"/>
  <c r="D51" i="17"/>
  <c r="D49" i="17"/>
  <c r="F52" i="17"/>
  <c r="E52" i="17"/>
  <c r="I52" i="17" s="1"/>
  <c r="F115" i="17" s="1"/>
  <c r="E47" i="17"/>
  <c r="I47" i="17" s="1"/>
  <c r="F28" i="17"/>
  <c r="G28" i="17" s="1"/>
  <c r="D31" i="17"/>
  <c r="D34" i="17"/>
  <c r="D38" i="17"/>
  <c r="J46" i="17"/>
  <c r="K46" i="17" s="1"/>
  <c r="D35" i="17"/>
  <c r="D39" i="17"/>
  <c r="D48" i="17"/>
  <c r="D52" i="17"/>
  <c r="D24" i="17"/>
  <c r="D25" i="17"/>
  <c r="D26" i="17"/>
  <c r="D27" i="17"/>
  <c r="D28" i="17"/>
  <c r="D30" i="17"/>
  <c r="D32" i="17"/>
  <c r="D36" i="17"/>
  <c r="D40" i="17"/>
  <c r="F47" i="17"/>
  <c r="G47" i="17" s="1"/>
  <c r="J48" i="17"/>
  <c r="K48" i="17" s="1"/>
  <c r="D47" i="17"/>
  <c r="D45" i="17"/>
  <c r="D43" i="17"/>
  <c r="E53" i="17"/>
  <c r="I53" i="17" s="1"/>
  <c r="D37" i="17"/>
  <c r="D42" i="17"/>
  <c r="D46" i="17"/>
  <c r="D50" i="17"/>
  <c r="L51" i="18" l="1"/>
  <c r="M51" i="18" s="1"/>
  <c r="G99" i="18"/>
  <c r="L33" i="18"/>
  <c r="M33" i="18" s="1"/>
  <c r="AF75" i="18"/>
  <c r="T75" i="18"/>
  <c r="G112" i="18"/>
  <c r="L34" i="18"/>
  <c r="M34" i="18" s="1"/>
  <c r="C125" i="18"/>
  <c r="C126" i="18" s="1"/>
  <c r="C127" i="18" s="1"/>
  <c r="C128" i="18" s="1"/>
  <c r="C113" i="18"/>
  <c r="C114" i="18" s="1"/>
  <c r="C115" i="18" s="1"/>
  <c r="G73" i="18"/>
  <c r="L31" i="18"/>
  <c r="M31" i="18" s="1"/>
  <c r="AG102" i="18"/>
  <c r="U102" i="18"/>
  <c r="AG88" i="18"/>
  <c r="U88" i="18"/>
  <c r="AF89" i="18"/>
  <c r="T89" i="18"/>
  <c r="AG86" i="18"/>
  <c r="U86" i="18"/>
  <c r="AF63" i="18"/>
  <c r="T63" i="18"/>
  <c r="AF112" i="18"/>
  <c r="T112" i="18"/>
  <c r="G100" i="18"/>
  <c r="L39" i="18"/>
  <c r="M39" i="18" s="1"/>
  <c r="G87" i="18"/>
  <c r="L38" i="18"/>
  <c r="M38" i="18" s="1"/>
  <c r="G125" i="18"/>
  <c r="L35" i="18"/>
  <c r="M35" i="18" s="1"/>
  <c r="G115" i="18"/>
  <c r="L52" i="18"/>
  <c r="M52" i="18" s="1"/>
  <c r="G126" i="18"/>
  <c r="L41" i="18"/>
  <c r="M41" i="18" s="1"/>
  <c r="G114" i="18"/>
  <c r="L46" i="18"/>
  <c r="M46" i="18" s="1"/>
  <c r="AG61" i="18"/>
  <c r="U61" i="18"/>
  <c r="AF100" i="18"/>
  <c r="T100" i="18"/>
  <c r="AG127" i="18"/>
  <c r="U127" i="18"/>
  <c r="G76" i="18"/>
  <c r="L49" i="18"/>
  <c r="M49" i="18" s="1"/>
  <c r="AF87" i="18"/>
  <c r="T87" i="18"/>
  <c r="T125" i="18"/>
  <c r="AF125" i="18"/>
  <c r="G75" i="18"/>
  <c r="L43" i="18"/>
  <c r="M43" i="18" s="1"/>
  <c r="G62" i="18"/>
  <c r="L42" i="18"/>
  <c r="M42" i="18" s="1"/>
  <c r="AF115" i="18"/>
  <c r="T115" i="18"/>
  <c r="AG128" i="18"/>
  <c r="U128" i="18"/>
  <c r="G60" i="18"/>
  <c r="L30" i="18"/>
  <c r="M30" i="18" s="1"/>
  <c r="G74" i="18"/>
  <c r="L37" i="18"/>
  <c r="M37" i="18" s="1"/>
  <c r="AF114" i="18"/>
  <c r="T114" i="18"/>
  <c r="G101" i="18"/>
  <c r="L45" i="18"/>
  <c r="M45" i="18" s="1"/>
  <c r="G113" i="18"/>
  <c r="L40" i="18"/>
  <c r="M40" i="18" s="1"/>
  <c r="G89" i="18"/>
  <c r="L50" i="18"/>
  <c r="M50" i="18" s="1"/>
  <c r="L48" i="18"/>
  <c r="M48" i="18" s="1"/>
  <c r="G63" i="18"/>
  <c r="T74" i="18"/>
  <c r="AF74" i="18"/>
  <c r="J52" i="17"/>
  <c r="K52" i="17" s="1"/>
  <c r="J50" i="17"/>
  <c r="K50" i="17" s="1"/>
  <c r="J41" i="17"/>
  <c r="K41" i="17" s="1"/>
  <c r="G126" i="17" s="1"/>
  <c r="J40" i="17"/>
  <c r="K40" i="17" s="1"/>
  <c r="G113" i="17" s="1"/>
  <c r="G52" i="17"/>
  <c r="G42" i="17"/>
  <c r="J44" i="17"/>
  <c r="K44" i="17" s="1"/>
  <c r="L44" i="17" s="1"/>
  <c r="M44" i="17" s="1"/>
  <c r="J42" i="17"/>
  <c r="K42" i="17" s="1"/>
  <c r="G62" i="17" s="1"/>
  <c r="G36" i="17"/>
  <c r="J33" i="17"/>
  <c r="K33" i="17" s="1"/>
  <c r="G46" i="17"/>
  <c r="G88" i="17"/>
  <c r="L37" i="17"/>
  <c r="M37" i="17" s="1"/>
  <c r="AF114" i="17"/>
  <c r="T114" i="17"/>
  <c r="T99" i="17"/>
  <c r="AF99" i="17"/>
  <c r="J43" i="17"/>
  <c r="K43" i="17" s="1"/>
  <c r="F76" i="17"/>
  <c r="J49" i="17"/>
  <c r="K49" i="17" s="1"/>
  <c r="AF88" i="17"/>
  <c r="T88" i="17"/>
  <c r="AF89" i="17"/>
  <c r="T89" i="17"/>
  <c r="F73" i="17"/>
  <c r="J31" i="17"/>
  <c r="K31" i="17" s="1"/>
  <c r="F128" i="17"/>
  <c r="J53" i="17"/>
  <c r="K53" i="17" s="1"/>
  <c r="F127" i="17"/>
  <c r="J47" i="17"/>
  <c r="K47" i="17" s="1"/>
  <c r="G99" i="17"/>
  <c r="L33" i="17"/>
  <c r="M33" i="17" s="1"/>
  <c r="G61" i="17"/>
  <c r="L36" i="17"/>
  <c r="M36" i="17" s="1"/>
  <c r="AF63" i="17"/>
  <c r="T63" i="17"/>
  <c r="G44" i="17"/>
  <c r="C74" i="17"/>
  <c r="C75" i="17" s="1"/>
  <c r="C76" i="17" s="1"/>
  <c r="C86" i="17"/>
  <c r="AF113" i="17"/>
  <c r="T113" i="17"/>
  <c r="G50" i="17"/>
  <c r="G31" i="17"/>
  <c r="G115" i="17"/>
  <c r="L52" i="17"/>
  <c r="M52" i="17" s="1"/>
  <c r="G63" i="17"/>
  <c r="L48" i="17"/>
  <c r="M48" i="17" s="1"/>
  <c r="G89" i="17"/>
  <c r="L50" i="17"/>
  <c r="M50" i="17" s="1"/>
  <c r="AF115" i="17"/>
  <c r="T115" i="17"/>
  <c r="G41" i="17"/>
  <c r="G51" i="17"/>
  <c r="G32" i="17"/>
  <c r="AF62" i="17"/>
  <c r="T62" i="17"/>
  <c r="J32" i="17"/>
  <c r="K32" i="17" s="1"/>
  <c r="F87" i="17"/>
  <c r="J38" i="17"/>
  <c r="K38" i="17" s="1"/>
  <c r="G48" i="17"/>
  <c r="F100" i="17"/>
  <c r="J39" i="17"/>
  <c r="K39" i="17" s="1"/>
  <c r="F60" i="17"/>
  <c r="J30" i="17"/>
  <c r="K30" i="17" s="1"/>
  <c r="G34" i="17"/>
  <c r="G114" i="17"/>
  <c r="L46" i="17"/>
  <c r="M46" i="17" s="1"/>
  <c r="L41" i="17"/>
  <c r="M41" i="17" s="1"/>
  <c r="AF126" i="17"/>
  <c r="T126" i="17"/>
  <c r="F102" i="17"/>
  <c r="J51" i="17"/>
  <c r="K51" i="17" s="1"/>
  <c r="AF86" i="17"/>
  <c r="T86" i="17"/>
  <c r="G33" i="17"/>
  <c r="G43" i="17"/>
  <c r="G24" i="17"/>
  <c r="G49" i="17"/>
  <c r="G53" i="17"/>
  <c r="F112" i="17"/>
  <c r="J34" i="17"/>
  <c r="K34" i="17" s="1"/>
  <c r="F125" i="17"/>
  <c r="J35" i="17"/>
  <c r="K35" i="17" s="1"/>
  <c r="F101" i="17"/>
  <c r="J45" i="17"/>
  <c r="K45" i="17" s="1"/>
  <c r="AF61" i="17"/>
  <c r="T61" i="17"/>
  <c r="AG76" i="18" l="1"/>
  <c r="U76" i="18"/>
  <c r="AG75" i="18"/>
  <c r="U75" i="18"/>
  <c r="AG114" i="18"/>
  <c r="U114" i="18"/>
  <c r="AG115" i="18"/>
  <c r="U115" i="18"/>
  <c r="AG87" i="18"/>
  <c r="U87" i="18"/>
  <c r="V86" i="18"/>
  <c r="AG73" i="18"/>
  <c r="U73" i="18"/>
  <c r="I73" i="18"/>
  <c r="J73" i="18" s="1"/>
  <c r="AG112" i="18"/>
  <c r="U112" i="18"/>
  <c r="I112" i="18"/>
  <c r="J112" i="18" s="1"/>
  <c r="I99" i="18"/>
  <c r="J99" i="18" s="1"/>
  <c r="AG99" i="18"/>
  <c r="U99" i="18"/>
  <c r="AG89" i="18"/>
  <c r="AC86" i="18" s="1"/>
  <c r="AD86" i="18" s="1"/>
  <c r="U89" i="18"/>
  <c r="W86" i="18" s="1"/>
  <c r="L86" i="18" s="1"/>
  <c r="AG101" i="18"/>
  <c r="U101" i="18"/>
  <c r="AG74" i="18"/>
  <c r="U74" i="18"/>
  <c r="U63" i="18"/>
  <c r="AG63" i="18"/>
  <c r="U62" i="18"/>
  <c r="AG62" i="18"/>
  <c r="AG126" i="18"/>
  <c r="U126" i="18"/>
  <c r="I125" i="18"/>
  <c r="J125" i="18" s="1"/>
  <c r="AG125" i="18"/>
  <c r="U125" i="18"/>
  <c r="AG100" i="18"/>
  <c r="U100" i="18"/>
  <c r="AE86" i="18"/>
  <c r="AG113" i="18"/>
  <c r="U113" i="18"/>
  <c r="U60" i="18"/>
  <c r="I60" i="18"/>
  <c r="J60" i="18" s="1"/>
  <c r="AG60" i="18"/>
  <c r="I86" i="18"/>
  <c r="J86" i="18" s="1"/>
  <c r="L40" i="17"/>
  <c r="M40" i="17" s="1"/>
  <c r="L42" i="17"/>
  <c r="M42" i="17" s="1"/>
  <c r="T102" i="17"/>
  <c r="AF102" i="17"/>
  <c r="AG126" i="17"/>
  <c r="U126" i="17"/>
  <c r="AG115" i="17"/>
  <c r="U115" i="17"/>
  <c r="G127" i="17"/>
  <c r="L47" i="17"/>
  <c r="M47" i="17" s="1"/>
  <c r="T125" i="17"/>
  <c r="AF125" i="17"/>
  <c r="AF60" i="17"/>
  <c r="T60" i="17"/>
  <c r="T127" i="17"/>
  <c r="AF127" i="17"/>
  <c r="T73" i="17"/>
  <c r="AF73" i="17"/>
  <c r="AG88" i="17"/>
  <c r="U88" i="17"/>
  <c r="G101" i="17"/>
  <c r="I99" i="17" s="1"/>
  <c r="J99" i="17" s="1"/>
  <c r="L45" i="17"/>
  <c r="M45" i="17" s="1"/>
  <c r="G112" i="17"/>
  <c r="L34" i="17"/>
  <c r="M34" i="17" s="1"/>
  <c r="AG114" i="17"/>
  <c r="U114" i="17"/>
  <c r="G100" i="17"/>
  <c r="L39" i="17"/>
  <c r="M39" i="17" s="1"/>
  <c r="AF87" i="17"/>
  <c r="T87" i="17"/>
  <c r="AG63" i="17"/>
  <c r="U63" i="17"/>
  <c r="G128" i="17"/>
  <c r="L53" i="17"/>
  <c r="M53" i="17" s="1"/>
  <c r="G76" i="17"/>
  <c r="L49" i="17"/>
  <c r="M49" i="17" s="1"/>
  <c r="G125" i="17"/>
  <c r="L35" i="17"/>
  <c r="M35" i="17" s="1"/>
  <c r="G60" i="17"/>
  <c r="L30" i="17"/>
  <c r="M30" i="17" s="1"/>
  <c r="AG89" i="17"/>
  <c r="U89" i="17"/>
  <c r="G73" i="17"/>
  <c r="L31" i="17"/>
  <c r="M31" i="17" s="1"/>
  <c r="L43" i="17"/>
  <c r="M43" i="17" s="1"/>
  <c r="G87" i="17"/>
  <c r="L38" i="17"/>
  <c r="M38" i="17" s="1"/>
  <c r="C99" i="17"/>
  <c r="C87" i="17"/>
  <c r="C88" i="17" s="1"/>
  <c r="C89" i="17" s="1"/>
  <c r="AG113" i="17"/>
  <c r="U113" i="17"/>
  <c r="AF101" i="17"/>
  <c r="T101" i="17"/>
  <c r="AF112" i="17"/>
  <c r="T112" i="17"/>
  <c r="G102" i="17"/>
  <c r="L51" i="17"/>
  <c r="M51" i="17" s="1"/>
  <c r="AF100" i="17"/>
  <c r="T100" i="17"/>
  <c r="L32" i="17"/>
  <c r="M32" i="17" s="1"/>
  <c r="G86" i="17"/>
  <c r="U61" i="17"/>
  <c r="AG61" i="17"/>
  <c r="AG99" i="17"/>
  <c r="U99" i="17"/>
  <c r="AF128" i="17"/>
  <c r="T128" i="17"/>
  <c r="AF76" i="17"/>
  <c r="T76" i="17"/>
  <c r="U62" i="17"/>
  <c r="AG62" i="17"/>
  <c r="Z89" i="18" l="1"/>
  <c r="AA89" i="18" s="1"/>
  <c r="AH87" i="18"/>
  <c r="AH88" i="18"/>
  <c r="AH89" i="18"/>
  <c r="AH86" i="18"/>
  <c r="V112" i="18"/>
  <c r="W112" i="18"/>
  <c r="L112" i="18" s="1"/>
  <c r="K86" i="18"/>
  <c r="Z86" i="18" s="1"/>
  <c r="AA86" i="18" s="1"/>
  <c r="AC60" i="18"/>
  <c r="AD60" i="18" s="1"/>
  <c r="AE60" i="18"/>
  <c r="W125" i="18"/>
  <c r="L125" i="18" s="1"/>
  <c r="V125" i="18"/>
  <c r="AE99" i="18"/>
  <c r="AC99" i="18"/>
  <c r="AD99" i="18" s="1"/>
  <c r="W73" i="18"/>
  <c r="L73" i="18" s="1"/>
  <c r="V73" i="18"/>
  <c r="AC112" i="18"/>
  <c r="AD112" i="18" s="1"/>
  <c r="AE112" i="18"/>
  <c r="AC73" i="18"/>
  <c r="AD73" i="18" s="1"/>
  <c r="AE73" i="18"/>
  <c r="W60" i="18"/>
  <c r="L60" i="18" s="1"/>
  <c r="V60" i="18"/>
  <c r="AE125" i="18"/>
  <c r="AC125" i="18"/>
  <c r="AD125" i="18" s="1"/>
  <c r="W99" i="18"/>
  <c r="L99" i="18" s="1"/>
  <c r="V99" i="18"/>
  <c r="I125" i="17"/>
  <c r="J125" i="17" s="1"/>
  <c r="AG125" i="17"/>
  <c r="U125" i="17"/>
  <c r="AG86" i="17"/>
  <c r="U86" i="17"/>
  <c r="I86" i="17"/>
  <c r="J86" i="17" s="1"/>
  <c r="U60" i="17"/>
  <c r="I60" i="17"/>
  <c r="J60" i="17" s="1"/>
  <c r="AG60" i="17"/>
  <c r="AG76" i="17"/>
  <c r="U76" i="17"/>
  <c r="AG101" i="17"/>
  <c r="U101" i="17"/>
  <c r="AG102" i="17"/>
  <c r="U102" i="17"/>
  <c r="C100" i="17"/>
  <c r="C101" i="17" s="1"/>
  <c r="C102" i="17" s="1"/>
  <c r="C112" i="17"/>
  <c r="AG100" i="17"/>
  <c r="AE99" i="17" s="1"/>
  <c r="U100" i="17"/>
  <c r="AG128" i="17"/>
  <c r="U128" i="17"/>
  <c r="AG112" i="17"/>
  <c r="U112" i="17"/>
  <c r="I112" i="17"/>
  <c r="J112" i="17" s="1"/>
  <c r="AG87" i="17"/>
  <c r="U87" i="17"/>
  <c r="AG73" i="17"/>
  <c r="I73" i="17"/>
  <c r="J73" i="17" s="1"/>
  <c r="U73" i="17"/>
  <c r="AG127" i="17"/>
  <c r="U127" i="17"/>
  <c r="D124" i="16"/>
  <c r="D111" i="16"/>
  <c r="D98" i="16"/>
  <c r="D99" i="16" s="1"/>
  <c r="D100" i="16" s="1"/>
  <c r="D101" i="16" s="1"/>
  <c r="D86" i="16"/>
  <c r="D87" i="16" s="1"/>
  <c r="D88" i="16" s="1"/>
  <c r="D89" i="16" s="1"/>
  <c r="D73" i="16"/>
  <c r="D74" i="16" s="1"/>
  <c r="D75" i="16" s="1"/>
  <c r="D76" i="16" s="1"/>
  <c r="E63" i="16"/>
  <c r="E76" i="16" s="1"/>
  <c r="E89" i="16" s="1"/>
  <c r="E62" i="16"/>
  <c r="E75" i="16" s="1"/>
  <c r="E88" i="16" s="1"/>
  <c r="E61" i="16"/>
  <c r="E74" i="16" s="1"/>
  <c r="E87" i="16" s="1"/>
  <c r="E60" i="16"/>
  <c r="E73" i="16" s="1"/>
  <c r="E86" i="16" s="1"/>
  <c r="D60" i="16"/>
  <c r="D61" i="16" s="1"/>
  <c r="D62" i="16" s="1"/>
  <c r="D63" i="16" s="1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4" i="16"/>
  <c r="R13" i="16"/>
  <c r="R20" i="16" s="1"/>
  <c r="Q13" i="16"/>
  <c r="Q20" i="16" s="1"/>
  <c r="P13" i="16"/>
  <c r="P20" i="16" s="1"/>
  <c r="O13" i="16"/>
  <c r="N13" i="16"/>
  <c r="N20" i="16" s="1"/>
  <c r="M13" i="16"/>
  <c r="M20" i="16" s="1"/>
  <c r="L13" i="16"/>
  <c r="L20" i="16" s="1"/>
  <c r="K13" i="16"/>
  <c r="K20" i="16" s="1"/>
  <c r="J13" i="16"/>
  <c r="J20" i="16" s="1"/>
  <c r="I13" i="16"/>
  <c r="I20" i="16" s="1"/>
  <c r="H13" i="16"/>
  <c r="H20" i="16" s="1"/>
  <c r="G13" i="16"/>
  <c r="G20" i="16" s="1"/>
  <c r="F13" i="16"/>
  <c r="F20" i="16" s="1"/>
  <c r="E13" i="16"/>
  <c r="E20" i="16" s="1"/>
  <c r="D13" i="16"/>
  <c r="D20" i="16" s="1"/>
  <c r="R12" i="16"/>
  <c r="R19" i="16" s="1"/>
  <c r="Q12" i="16"/>
  <c r="Q19" i="16" s="1"/>
  <c r="P12" i="16"/>
  <c r="P19" i="16" s="1"/>
  <c r="O12" i="16"/>
  <c r="N12" i="16"/>
  <c r="N19" i="16" s="1"/>
  <c r="M12" i="16"/>
  <c r="M19" i="16" s="1"/>
  <c r="L12" i="16"/>
  <c r="L19" i="16" s="1"/>
  <c r="K12" i="16"/>
  <c r="K19" i="16" s="1"/>
  <c r="J12" i="16"/>
  <c r="J19" i="16" s="1"/>
  <c r="I12" i="16"/>
  <c r="I19" i="16" s="1"/>
  <c r="H12" i="16"/>
  <c r="H19" i="16" s="1"/>
  <c r="G12" i="16"/>
  <c r="G19" i="16" s="1"/>
  <c r="F12" i="16"/>
  <c r="F19" i="16" s="1"/>
  <c r="E12" i="16"/>
  <c r="E19" i="16" s="1"/>
  <c r="D12" i="16"/>
  <c r="D19" i="16" s="1"/>
  <c r="R11" i="16"/>
  <c r="R18" i="16" s="1"/>
  <c r="Q11" i="16"/>
  <c r="Q18" i="16" s="1"/>
  <c r="P11" i="16"/>
  <c r="P18" i="16" s="1"/>
  <c r="O11" i="16"/>
  <c r="N11" i="16"/>
  <c r="N18" i="16" s="1"/>
  <c r="M11" i="16"/>
  <c r="M18" i="16" s="1"/>
  <c r="L11" i="16"/>
  <c r="L18" i="16" s="1"/>
  <c r="K11" i="16"/>
  <c r="K18" i="16" s="1"/>
  <c r="J11" i="16"/>
  <c r="J18" i="16" s="1"/>
  <c r="I11" i="16"/>
  <c r="I18" i="16" s="1"/>
  <c r="H11" i="16"/>
  <c r="H18" i="16" s="1"/>
  <c r="G11" i="16"/>
  <c r="G18" i="16" s="1"/>
  <c r="F11" i="16"/>
  <c r="F18" i="16" s="1"/>
  <c r="E11" i="16"/>
  <c r="E18" i="16" s="1"/>
  <c r="D11" i="16"/>
  <c r="D18" i="16" s="1"/>
  <c r="R10" i="16"/>
  <c r="R17" i="16" s="1"/>
  <c r="Q10" i="16"/>
  <c r="Q17" i="16" s="1"/>
  <c r="P10" i="16"/>
  <c r="P17" i="16" s="1"/>
  <c r="O10" i="16"/>
  <c r="N10" i="16"/>
  <c r="N17" i="16" s="1"/>
  <c r="M10" i="16"/>
  <c r="M17" i="16" s="1"/>
  <c r="L10" i="16"/>
  <c r="L17" i="16" s="1"/>
  <c r="K10" i="16"/>
  <c r="K17" i="16" s="1"/>
  <c r="J10" i="16"/>
  <c r="J17" i="16" s="1"/>
  <c r="I10" i="16"/>
  <c r="I17" i="16" s="1"/>
  <c r="H10" i="16"/>
  <c r="H17" i="16" s="1"/>
  <c r="G10" i="16"/>
  <c r="G17" i="16" s="1"/>
  <c r="F10" i="16"/>
  <c r="F17" i="16" s="1"/>
  <c r="E10" i="16"/>
  <c r="E17" i="16" s="1"/>
  <c r="D10" i="16"/>
  <c r="D17" i="16" s="1"/>
  <c r="R9" i="16"/>
  <c r="R16" i="16" s="1"/>
  <c r="Q9" i="16"/>
  <c r="Q16" i="16" s="1"/>
  <c r="P9" i="16"/>
  <c r="P16" i="16" s="1"/>
  <c r="O9" i="16"/>
  <c r="N9" i="16"/>
  <c r="N16" i="16" s="1"/>
  <c r="M9" i="16"/>
  <c r="M16" i="16" s="1"/>
  <c r="L9" i="16"/>
  <c r="L16" i="16" s="1"/>
  <c r="K9" i="16"/>
  <c r="K16" i="16" s="1"/>
  <c r="J9" i="16"/>
  <c r="J16" i="16" s="1"/>
  <c r="I9" i="16"/>
  <c r="I16" i="16" s="1"/>
  <c r="H9" i="16"/>
  <c r="H16" i="16" s="1"/>
  <c r="G9" i="16"/>
  <c r="G16" i="16" s="1"/>
  <c r="F9" i="16"/>
  <c r="F16" i="16" s="1"/>
  <c r="E9" i="16"/>
  <c r="E16" i="16" s="1"/>
  <c r="D9" i="16"/>
  <c r="D16" i="16" s="1"/>
  <c r="R8" i="16"/>
  <c r="R15" i="16" s="1"/>
  <c r="Q8" i="16"/>
  <c r="Q15" i="16" s="1"/>
  <c r="P8" i="16"/>
  <c r="P15" i="16" s="1"/>
  <c r="O8" i="16"/>
  <c r="N8" i="16"/>
  <c r="N15" i="16" s="1"/>
  <c r="M8" i="16"/>
  <c r="M15" i="16" s="1"/>
  <c r="L8" i="16"/>
  <c r="L15" i="16" s="1"/>
  <c r="K8" i="16"/>
  <c r="K15" i="16" s="1"/>
  <c r="J8" i="16"/>
  <c r="J15" i="16" s="1"/>
  <c r="I8" i="16"/>
  <c r="I15" i="16" s="1"/>
  <c r="H8" i="16"/>
  <c r="H15" i="16" s="1"/>
  <c r="G8" i="16"/>
  <c r="G15" i="16" s="1"/>
  <c r="F8" i="16"/>
  <c r="F15" i="16" s="1"/>
  <c r="E8" i="16"/>
  <c r="E15" i="16" s="1"/>
  <c r="D8" i="16"/>
  <c r="D15" i="16" s="1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60" i="16" s="1"/>
  <c r="P3" i="16"/>
  <c r="M3" i="16"/>
  <c r="J3" i="16"/>
  <c r="D38" i="16" s="1"/>
  <c r="G3" i="16"/>
  <c r="D3" i="16"/>
  <c r="E24" i="16" l="1"/>
  <c r="E48" i="16"/>
  <c r="I48" i="16" s="1"/>
  <c r="J48" i="16" s="1"/>
  <c r="K48" i="16" s="1"/>
  <c r="E43" i="16"/>
  <c r="D112" i="16"/>
  <c r="F33" i="16"/>
  <c r="E28" i="16"/>
  <c r="I28" i="16" s="1"/>
  <c r="J28" i="16" s="1"/>
  <c r="K28" i="16" s="1"/>
  <c r="E101" i="16"/>
  <c r="E114" i="16" s="1"/>
  <c r="E98" i="16"/>
  <c r="E111" i="16" s="1"/>
  <c r="E99" i="16"/>
  <c r="E112" i="16" s="1"/>
  <c r="E100" i="16"/>
  <c r="E113" i="16" s="1"/>
  <c r="E41" i="16"/>
  <c r="I41" i="16" s="1"/>
  <c r="F125" i="16" s="1"/>
  <c r="D125" i="16"/>
  <c r="K112" i="18"/>
  <c r="Z112" i="18" s="1"/>
  <c r="AA112" i="18" s="1"/>
  <c r="K73" i="18"/>
  <c r="Z76" i="18" s="1"/>
  <c r="AA76" i="18" s="1"/>
  <c r="K125" i="18"/>
  <c r="AH112" i="18"/>
  <c r="AH113" i="18"/>
  <c r="AH114" i="18"/>
  <c r="AH115" i="18"/>
  <c r="AH128" i="18"/>
  <c r="AH127" i="18"/>
  <c r="AH126" i="18"/>
  <c r="AH125" i="18"/>
  <c r="Z88" i="18"/>
  <c r="AA88" i="18" s="1"/>
  <c r="Z61" i="18"/>
  <c r="AA61" i="18" s="1"/>
  <c r="AH60" i="18"/>
  <c r="AH63" i="18"/>
  <c r="AH62" i="18"/>
  <c r="AH61" i="18"/>
  <c r="AH76" i="18"/>
  <c r="AH75" i="18"/>
  <c r="AH74" i="18"/>
  <c r="AH73" i="18"/>
  <c r="Z73" i="18"/>
  <c r="AA73" i="18" s="1"/>
  <c r="Z125" i="18"/>
  <c r="AA125" i="18" s="1"/>
  <c r="Z128" i="18"/>
  <c r="AA128" i="18" s="1"/>
  <c r="Z127" i="18"/>
  <c r="AA127" i="18" s="1"/>
  <c r="Z126" i="18"/>
  <c r="AA126" i="18" s="1"/>
  <c r="Z113" i="18"/>
  <c r="AA113" i="18" s="1"/>
  <c r="Z114" i="18"/>
  <c r="AA114" i="18" s="1"/>
  <c r="Z87" i="18"/>
  <c r="AA87" i="18" s="1"/>
  <c r="K99" i="18"/>
  <c r="Z102" i="18" s="1"/>
  <c r="AA102" i="18" s="1"/>
  <c r="K60" i="18"/>
  <c r="Z60" i="18" s="1"/>
  <c r="AA60" i="18" s="1"/>
  <c r="AH102" i="18"/>
  <c r="AH101" i="18"/>
  <c r="AH100" i="18"/>
  <c r="AH99" i="18"/>
  <c r="AC99" i="17"/>
  <c r="AD99" i="17" s="1"/>
  <c r="W99" i="17"/>
  <c r="L99" i="17" s="1"/>
  <c r="AE73" i="17"/>
  <c r="AC73" i="17"/>
  <c r="AD73" i="17" s="1"/>
  <c r="AH102" i="17"/>
  <c r="AH101" i="17"/>
  <c r="AH100" i="17"/>
  <c r="AH99" i="17"/>
  <c r="V99" i="17"/>
  <c r="AE60" i="17"/>
  <c r="AC60" i="17"/>
  <c r="AD60" i="17" s="1"/>
  <c r="W125" i="17"/>
  <c r="L125" i="17" s="1"/>
  <c r="V125" i="17"/>
  <c r="W73" i="17"/>
  <c r="L73" i="17" s="1"/>
  <c r="V73" i="17"/>
  <c r="AC112" i="17"/>
  <c r="AD112" i="17" s="1"/>
  <c r="AE112" i="17"/>
  <c r="V86" i="17"/>
  <c r="W86" i="17"/>
  <c r="L86" i="17" s="1"/>
  <c r="W60" i="17"/>
  <c r="L60" i="17" s="1"/>
  <c r="V60" i="17"/>
  <c r="AE125" i="17"/>
  <c r="AC125" i="17"/>
  <c r="AD125" i="17" s="1"/>
  <c r="V112" i="17"/>
  <c r="W112" i="17"/>
  <c r="L112" i="17" s="1"/>
  <c r="C125" i="17"/>
  <c r="C126" i="17" s="1"/>
  <c r="C127" i="17" s="1"/>
  <c r="C128" i="17" s="1"/>
  <c r="C113" i="17"/>
  <c r="C114" i="17" s="1"/>
  <c r="C115" i="17" s="1"/>
  <c r="AC86" i="17"/>
  <c r="AD86" i="17" s="1"/>
  <c r="AE86" i="17"/>
  <c r="E40" i="16"/>
  <c r="I40" i="16" s="1"/>
  <c r="J40" i="16" s="1"/>
  <c r="K40" i="16" s="1"/>
  <c r="F32" i="16"/>
  <c r="E26" i="16"/>
  <c r="I26" i="16" s="1"/>
  <c r="J26" i="16" s="1"/>
  <c r="K26" i="16" s="1"/>
  <c r="C73" i="16"/>
  <c r="C61" i="16"/>
  <c r="C62" i="16" s="1"/>
  <c r="C63" i="16" s="1"/>
  <c r="E49" i="16"/>
  <c r="I49" i="16" s="1"/>
  <c r="F76" i="16" s="1"/>
  <c r="F49" i="16"/>
  <c r="F44" i="16"/>
  <c r="E44" i="16"/>
  <c r="I44" i="16" s="1"/>
  <c r="E53" i="16"/>
  <c r="I53" i="16" s="1"/>
  <c r="J53" i="16" s="1"/>
  <c r="K53" i="16" s="1"/>
  <c r="F53" i="16"/>
  <c r="F24" i="16"/>
  <c r="I24" i="16"/>
  <c r="J24" i="16" s="1"/>
  <c r="K24" i="16" s="1"/>
  <c r="F112" i="16"/>
  <c r="F30" i="16"/>
  <c r="E30" i="16"/>
  <c r="I30" i="16" s="1"/>
  <c r="F25" i="16"/>
  <c r="J25" i="16"/>
  <c r="K25" i="16" s="1"/>
  <c r="L25" i="16" s="1"/>
  <c r="M25" i="16" s="1"/>
  <c r="E34" i="16"/>
  <c r="I34" i="16" s="1"/>
  <c r="F111" i="16" s="1"/>
  <c r="F34" i="16"/>
  <c r="F29" i="16"/>
  <c r="E29" i="16"/>
  <c r="I29" i="16" s="1"/>
  <c r="J29" i="16" s="1"/>
  <c r="K29" i="16" s="1"/>
  <c r="F27" i="16"/>
  <c r="E51" i="16"/>
  <c r="I51" i="16" s="1"/>
  <c r="F101" i="16" s="1"/>
  <c r="AX84" i="16" s="1"/>
  <c r="F51" i="16"/>
  <c r="F46" i="16"/>
  <c r="E46" i="16"/>
  <c r="I46" i="16" s="1"/>
  <c r="E39" i="16"/>
  <c r="I39" i="16" s="1"/>
  <c r="F39" i="16"/>
  <c r="D43" i="16"/>
  <c r="D42" i="16"/>
  <c r="D45" i="16"/>
  <c r="D44" i="16"/>
  <c r="E42" i="16"/>
  <c r="I42" i="16" s="1"/>
  <c r="F62" i="16" s="1"/>
  <c r="D29" i="16"/>
  <c r="D28" i="16"/>
  <c r="D27" i="16"/>
  <c r="D26" i="16"/>
  <c r="D25" i="16"/>
  <c r="D24" i="16"/>
  <c r="D49" i="16"/>
  <c r="D48" i="16"/>
  <c r="D51" i="16"/>
  <c r="D50" i="16"/>
  <c r="D53" i="16"/>
  <c r="D52" i="16"/>
  <c r="F36" i="16"/>
  <c r="E36" i="16"/>
  <c r="I36" i="16" s="1"/>
  <c r="F61" i="16" s="1"/>
  <c r="F31" i="16"/>
  <c r="E31" i="16"/>
  <c r="I31" i="16" s="1"/>
  <c r="F73" i="16" s="1"/>
  <c r="AF73" i="16" s="1"/>
  <c r="F26" i="16"/>
  <c r="E50" i="16"/>
  <c r="I50" i="16" s="1"/>
  <c r="F89" i="16" s="1"/>
  <c r="E45" i="16"/>
  <c r="I45" i="16" s="1"/>
  <c r="F100" i="16" s="1"/>
  <c r="F45" i="16"/>
  <c r="F40" i="16"/>
  <c r="G40" i="16" s="1"/>
  <c r="E35" i="16"/>
  <c r="I35" i="16" s="1"/>
  <c r="F124" i="16" s="1"/>
  <c r="F35" i="16"/>
  <c r="J31" i="16"/>
  <c r="K31" i="16" s="1"/>
  <c r="D39" i="16"/>
  <c r="J49" i="16"/>
  <c r="K49" i="16" s="1"/>
  <c r="E37" i="16"/>
  <c r="I37" i="16" s="1"/>
  <c r="F74" i="16" s="1"/>
  <c r="AF74" i="16" s="1"/>
  <c r="F37" i="16"/>
  <c r="D33" i="16"/>
  <c r="D32" i="16"/>
  <c r="D30" i="16"/>
  <c r="D35" i="16"/>
  <c r="D34" i="16"/>
  <c r="D31" i="16"/>
  <c r="F42" i="16"/>
  <c r="G42" i="16" s="1"/>
  <c r="D47" i="16"/>
  <c r="D41" i="16"/>
  <c r="D40" i="16"/>
  <c r="D37" i="16"/>
  <c r="D36" i="16"/>
  <c r="F48" i="16"/>
  <c r="G48" i="16" s="1"/>
  <c r="I43" i="16"/>
  <c r="F75" i="16" s="1"/>
  <c r="F43" i="16"/>
  <c r="F38" i="16"/>
  <c r="E38" i="16"/>
  <c r="I38" i="16" s="1"/>
  <c r="F87" i="16" s="1"/>
  <c r="E33" i="16"/>
  <c r="I33" i="16" s="1"/>
  <c r="F98" i="16" s="1"/>
  <c r="F28" i="16"/>
  <c r="F52" i="16"/>
  <c r="E52" i="16"/>
  <c r="I52" i="16" s="1"/>
  <c r="F114" i="16" s="1"/>
  <c r="E47" i="16"/>
  <c r="I47" i="16" s="1"/>
  <c r="F47" i="16"/>
  <c r="E27" i="16"/>
  <c r="I27" i="16" s="1"/>
  <c r="J27" i="16" s="1"/>
  <c r="K27" i="16" s="1"/>
  <c r="E32" i="16"/>
  <c r="I32" i="16" s="1"/>
  <c r="F86" i="16" s="1"/>
  <c r="F41" i="16"/>
  <c r="D46" i="16"/>
  <c r="F50" i="16"/>
  <c r="F63" i="16" l="1"/>
  <c r="AR84" i="16" s="1"/>
  <c r="AR83" i="16" s="1"/>
  <c r="AR82" i="16" s="1"/>
  <c r="AR81" i="16" s="1"/>
  <c r="AR80" i="16" s="1"/>
  <c r="AR79" i="16" s="1"/>
  <c r="AR78" i="16" s="1"/>
  <c r="AR77" i="16" s="1"/>
  <c r="AR76" i="16" s="1"/>
  <c r="AR75" i="16" s="1"/>
  <c r="AR74" i="16" s="1"/>
  <c r="AR73" i="16" s="1"/>
  <c r="AR72" i="16" s="1"/>
  <c r="AR71" i="16" s="1"/>
  <c r="AR70" i="16" s="1"/>
  <c r="AR69" i="16" s="1"/>
  <c r="AR68" i="16" s="1"/>
  <c r="AR67" i="16" s="1"/>
  <c r="AR66" i="16" s="1"/>
  <c r="AR65" i="16" s="1"/>
  <c r="AR64" i="16" s="1"/>
  <c r="AR63" i="16" s="1"/>
  <c r="AR62" i="16" s="1"/>
  <c r="AR61" i="16" s="1"/>
  <c r="G28" i="16"/>
  <c r="J33" i="16"/>
  <c r="K33" i="16" s="1"/>
  <c r="G98" i="16" s="1"/>
  <c r="G41" i="16"/>
  <c r="AF125" i="16"/>
  <c r="AF76" i="16"/>
  <c r="T76" i="16"/>
  <c r="J34" i="16"/>
  <c r="K34" i="16" s="1"/>
  <c r="G111" i="16" s="1"/>
  <c r="J41" i="16"/>
  <c r="K41" i="16" s="1"/>
  <c r="J44" i="16"/>
  <c r="K44" i="16" s="1"/>
  <c r="G88" i="16" s="1"/>
  <c r="F88" i="16"/>
  <c r="T88" i="16" s="1"/>
  <c r="D113" i="16"/>
  <c r="T75" i="16"/>
  <c r="AF75" i="16"/>
  <c r="J42" i="16"/>
  <c r="K42" i="16" s="1"/>
  <c r="G62" i="16" s="1"/>
  <c r="F127" i="16"/>
  <c r="BB84" i="16" s="1"/>
  <c r="E126" i="16"/>
  <c r="E127" i="16"/>
  <c r="E125" i="16"/>
  <c r="T125" i="16"/>
  <c r="G51" i="16"/>
  <c r="G24" i="16"/>
  <c r="G44" i="16"/>
  <c r="E124" i="16"/>
  <c r="AZ84" i="16"/>
  <c r="AZ83" i="16" s="1"/>
  <c r="AZ82" i="16" s="1"/>
  <c r="AZ81" i="16" s="1"/>
  <c r="AZ80" i="16" s="1"/>
  <c r="AZ79" i="16" s="1"/>
  <c r="AZ78" i="16" s="1"/>
  <c r="AZ77" i="16" s="1"/>
  <c r="AZ76" i="16" s="1"/>
  <c r="AZ75" i="16" s="1"/>
  <c r="AZ74" i="16" s="1"/>
  <c r="AZ73" i="16" s="1"/>
  <c r="AZ72" i="16" s="1"/>
  <c r="AZ71" i="16" s="1"/>
  <c r="AZ70" i="16" s="1"/>
  <c r="AZ69" i="16" s="1"/>
  <c r="AZ68" i="16" s="1"/>
  <c r="AZ67" i="16" s="1"/>
  <c r="AZ66" i="16" s="1"/>
  <c r="AZ65" i="16" s="1"/>
  <c r="AZ64" i="16" s="1"/>
  <c r="AZ63" i="16" s="1"/>
  <c r="AZ62" i="16" s="1"/>
  <c r="AZ61" i="16" s="1"/>
  <c r="AT84" i="16"/>
  <c r="D126" i="16"/>
  <c r="AV84" i="16"/>
  <c r="AV83" i="16" s="1"/>
  <c r="AV82" i="16" s="1"/>
  <c r="AV81" i="16" s="1"/>
  <c r="AV80" i="16" s="1"/>
  <c r="AV79" i="16" s="1"/>
  <c r="AV78" i="16" s="1"/>
  <c r="AV77" i="16" s="1"/>
  <c r="AV76" i="16" s="1"/>
  <c r="AV75" i="16" s="1"/>
  <c r="AV74" i="16" s="1"/>
  <c r="AV73" i="16" s="1"/>
  <c r="AV72" i="16" s="1"/>
  <c r="AV71" i="16" s="1"/>
  <c r="AV70" i="16" s="1"/>
  <c r="AV69" i="16" s="1"/>
  <c r="AV68" i="16" s="1"/>
  <c r="AV67" i="16" s="1"/>
  <c r="AV66" i="16" s="1"/>
  <c r="AV65" i="16" s="1"/>
  <c r="AV64" i="16" s="1"/>
  <c r="AV63" i="16" s="1"/>
  <c r="AV62" i="16" s="1"/>
  <c r="AV61" i="16" s="1"/>
  <c r="AX83" i="16"/>
  <c r="J51" i="16"/>
  <c r="K51" i="16" s="1"/>
  <c r="G101" i="16" s="1"/>
  <c r="Z74" i="18"/>
  <c r="AA74" i="18" s="1"/>
  <c r="AA77" i="18" s="1"/>
  <c r="Z62" i="18"/>
  <c r="AA62" i="18" s="1"/>
  <c r="Z115" i="18"/>
  <c r="AA115" i="18" s="1"/>
  <c r="Z75" i="18"/>
  <c r="AA75" i="18" s="1"/>
  <c r="AA90" i="18"/>
  <c r="Z100" i="18"/>
  <c r="AA100" i="18" s="1"/>
  <c r="AA116" i="18"/>
  <c r="AA129" i="18"/>
  <c r="Z63" i="18"/>
  <c r="AA63" i="18" s="1"/>
  <c r="Z101" i="18"/>
  <c r="AA101" i="18" s="1"/>
  <c r="Z99" i="18"/>
  <c r="AA99" i="18" s="1"/>
  <c r="K125" i="17"/>
  <c r="Z126" i="17" s="1"/>
  <c r="AA126" i="17" s="1"/>
  <c r="K99" i="17"/>
  <c r="Z99" i="17" s="1"/>
  <c r="AA99" i="17" s="1"/>
  <c r="K86" i="17"/>
  <c r="Z87" i="17" s="1"/>
  <c r="AA87" i="17" s="1"/>
  <c r="Z100" i="17"/>
  <c r="AA100" i="17" s="1"/>
  <c r="K60" i="17"/>
  <c r="Z62" i="17" s="1"/>
  <c r="AA62" i="17" s="1"/>
  <c r="Z101" i="17"/>
  <c r="AA101" i="17" s="1"/>
  <c r="AH87" i="17"/>
  <c r="AH88" i="17"/>
  <c r="AH89" i="17"/>
  <c r="AH86" i="17"/>
  <c r="K112" i="17"/>
  <c r="Z115" i="17" s="1"/>
  <c r="AA115" i="17" s="1"/>
  <c r="Z61" i="17"/>
  <c r="AA61" i="17" s="1"/>
  <c r="Z63" i="17"/>
  <c r="AA63" i="17" s="1"/>
  <c r="Z60" i="17"/>
  <c r="AA60" i="17" s="1"/>
  <c r="AH112" i="17"/>
  <c r="AH113" i="17"/>
  <c r="AH114" i="17"/>
  <c r="AH115" i="17"/>
  <c r="Z127" i="17"/>
  <c r="AA127" i="17" s="1"/>
  <c r="AH76" i="17"/>
  <c r="AH73" i="17"/>
  <c r="Z102" i="17"/>
  <c r="AA102" i="17" s="1"/>
  <c r="AH128" i="17"/>
  <c r="AH127" i="17"/>
  <c r="AH126" i="17"/>
  <c r="AH125" i="17"/>
  <c r="Z86" i="17"/>
  <c r="AA86" i="17" s="1"/>
  <c r="K73" i="17"/>
  <c r="AH62" i="17"/>
  <c r="AH61" i="17"/>
  <c r="AH60" i="17"/>
  <c r="AH63" i="17"/>
  <c r="G52" i="16"/>
  <c r="G50" i="16"/>
  <c r="J36" i="16"/>
  <c r="K36" i="16" s="1"/>
  <c r="G61" i="16" s="1"/>
  <c r="J45" i="16"/>
  <c r="K45" i="16" s="1"/>
  <c r="L45" i="16" s="1"/>
  <c r="M45" i="16" s="1"/>
  <c r="G26" i="16"/>
  <c r="G39" i="16"/>
  <c r="G38" i="16"/>
  <c r="G45" i="16"/>
  <c r="G34" i="16"/>
  <c r="G127" i="16"/>
  <c r="L53" i="16"/>
  <c r="M53" i="16" s="1"/>
  <c r="J32" i="16"/>
  <c r="K32" i="16" s="1"/>
  <c r="G86" i="16" s="1"/>
  <c r="AF114" i="16"/>
  <c r="T114" i="16"/>
  <c r="J38" i="16"/>
  <c r="K38" i="16" s="1"/>
  <c r="G87" i="16" s="1"/>
  <c r="G37" i="16"/>
  <c r="G35" i="16"/>
  <c r="AF100" i="16"/>
  <c r="T100" i="16"/>
  <c r="G31" i="16"/>
  <c r="J50" i="16"/>
  <c r="K50" i="16" s="1"/>
  <c r="G89" i="16" s="1"/>
  <c r="F99" i="16"/>
  <c r="J39" i="16"/>
  <c r="K39" i="16" s="1"/>
  <c r="G46" i="16"/>
  <c r="G32" i="16"/>
  <c r="G29" i="16"/>
  <c r="G25" i="16"/>
  <c r="G112" i="16"/>
  <c r="L40" i="16"/>
  <c r="M40" i="16" s="1"/>
  <c r="G53" i="16"/>
  <c r="G49" i="16"/>
  <c r="T74" i="16"/>
  <c r="J37" i="16"/>
  <c r="K37" i="16" s="1"/>
  <c r="G74" i="16" s="1"/>
  <c r="AG74" i="16" s="1"/>
  <c r="T124" i="16"/>
  <c r="AF124" i="16"/>
  <c r="AF89" i="16"/>
  <c r="T89" i="16"/>
  <c r="AF61" i="16"/>
  <c r="T61" i="16"/>
  <c r="L44" i="16"/>
  <c r="M44" i="16" s="1"/>
  <c r="G63" i="16"/>
  <c r="L48" i="16"/>
  <c r="M48" i="16" s="1"/>
  <c r="F60" i="16"/>
  <c r="J30" i="16"/>
  <c r="K30" i="16" s="1"/>
  <c r="G33" i="16"/>
  <c r="AF127" i="16"/>
  <c r="G47" i="16"/>
  <c r="G43" i="16"/>
  <c r="J52" i="16"/>
  <c r="K52" i="16" s="1"/>
  <c r="J35" i="16"/>
  <c r="K35" i="16" s="1"/>
  <c r="G36" i="16"/>
  <c r="G125" i="16"/>
  <c r="L41" i="16"/>
  <c r="M41" i="16" s="1"/>
  <c r="T101" i="16"/>
  <c r="AF101" i="16"/>
  <c r="AF63" i="16"/>
  <c r="T63" i="16"/>
  <c r="AF111" i="16"/>
  <c r="T111" i="16"/>
  <c r="G30" i="16"/>
  <c r="L33" i="16"/>
  <c r="M33" i="16" s="1"/>
  <c r="F126" i="16"/>
  <c r="J47" i="16"/>
  <c r="K47" i="16" s="1"/>
  <c r="T98" i="16"/>
  <c r="AF98" i="16"/>
  <c r="J43" i="16"/>
  <c r="G76" i="16"/>
  <c r="L49" i="16"/>
  <c r="M49" i="16" s="1"/>
  <c r="G73" i="16"/>
  <c r="AG73" i="16" s="1"/>
  <c r="L31" i="16"/>
  <c r="M31" i="16" s="1"/>
  <c r="T73" i="16"/>
  <c r="AF62" i="16"/>
  <c r="T62" i="16"/>
  <c r="F113" i="16"/>
  <c r="J46" i="16"/>
  <c r="K46" i="16" s="1"/>
  <c r="G27" i="16"/>
  <c r="AF112" i="16"/>
  <c r="T112" i="16"/>
  <c r="C86" i="16"/>
  <c r="C74" i="16"/>
  <c r="C75" i="16" s="1"/>
  <c r="C76" i="16" s="1"/>
  <c r="L34" i="16" l="1"/>
  <c r="M34" i="16" s="1"/>
  <c r="L51" i="16"/>
  <c r="M51" i="16" s="1"/>
  <c r="L42" i="16"/>
  <c r="M42" i="16" s="1"/>
  <c r="AG76" i="16"/>
  <c r="U76" i="16"/>
  <c r="K43" i="16"/>
  <c r="G75" i="16" s="1"/>
  <c r="T127" i="16"/>
  <c r="D114" i="16"/>
  <c r="AF88" i="16"/>
  <c r="G100" i="16"/>
  <c r="AT83" i="16"/>
  <c r="L36" i="16"/>
  <c r="M36" i="16" s="1"/>
  <c r="AX82" i="16"/>
  <c r="D127" i="16"/>
  <c r="BB83" i="16"/>
  <c r="BB82" i="16" s="1"/>
  <c r="BB81" i="16" s="1"/>
  <c r="BB80" i="16" s="1"/>
  <c r="BB78" i="16" s="1"/>
  <c r="BB77" i="16" s="1"/>
  <c r="BB76" i="16" s="1"/>
  <c r="BB75" i="16" s="1"/>
  <c r="BB74" i="16" s="1"/>
  <c r="BB73" i="16" s="1"/>
  <c r="BB72" i="16" s="1"/>
  <c r="BB71" i="16" s="1"/>
  <c r="BB70" i="16" s="1"/>
  <c r="BB69" i="16" s="1"/>
  <c r="BB68" i="16" s="1"/>
  <c r="BB67" i="16" s="1"/>
  <c r="BB66" i="16" s="1"/>
  <c r="BB65" i="16" s="1"/>
  <c r="BB64" i="16" s="1"/>
  <c r="BB63" i="16" s="1"/>
  <c r="BB62" i="16" s="1"/>
  <c r="BB61" i="16" s="1"/>
  <c r="AA64" i="18"/>
  <c r="AA103" i="18"/>
  <c r="Z128" i="17"/>
  <c r="AA128" i="17" s="1"/>
  <c r="Z125" i="17"/>
  <c r="AA125" i="17" s="1"/>
  <c r="Z89" i="17"/>
  <c r="AA89" i="17" s="1"/>
  <c r="Z88" i="17"/>
  <c r="AA88" i="17" s="1"/>
  <c r="AA103" i="17"/>
  <c r="AA90" i="17"/>
  <c r="Z112" i="17"/>
  <c r="AA112" i="17" s="1"/>
  <c r="Z76" i="17"/>
  <c r="AA76" i="17" s="1"/>
  <c r="Z114" i="17"/>
  <c r="AA114" i="17" s="1"/>
  <c r="Z73" i="17"/>
  <c r="AA73" i="17" s="1"/>
  <c r="AA64" i="17"/>
  <c r="Z113" i="17"/>
  <c r="AA113" i="17" s="1"/>
  <c r="C98" i="16"/>
  <c r="C87" i="16"/>
  <c r="C88" i="16" s="1"/>
  <c r="C89" i="16" s="1"/>
  <c r="AF113" i="16"/>
  <c r="T113" i="16"/>
  <c r="AG125" i="16"/>
  <c r="U125" i="16"/>
  <c r="U61" i="16"/>
  <c r="AG61" i="16"/>
  <c r="AF60" i="16"/>
  <c r="T60" i="16"/>
  <c r="AG88" i="16"/>
  <c r="U88" i="16"/>
  <c r="L50" i="16"/>
  <c r="M50" i="16" s="1"/>
  <c r="L43" i="16"/>
  <c r="M43" i="16" s="1"/>
  <c r="AG98" i="16"/>
  <c r="U98" i="16"/>
  <c r="AG100" i="16"/>
  <c r="U100" i="16"/>
  <c r="AG101" i="16"/>
  <c r="U101" i="16"/>
  <c r="AG112" i="16"/>
  <c r="U112" i="16"/>
  <c r="U62" i="16"/>
  <c r="AG62" i="16"/>
  <c r="U73" i="16"/>
  <c r="G126" i="16"/>
  <c r="L47" i="16"/>
  <c r="M47" i="16" s="1"/>
  <c r="G124" i="16"/>
  <c r="L35" i="16"/>
  <c r="M35" i="16" s="1"/>
  <c r="AG63" i="16"/>
  <c r="U63" i="16"/>
  <c r="G99" i="16"/>
  <c r="L39" i="16"/>
  <c r="M39" i="16" s="1"/>
  <c r="L38" i="16"/>
  <c r="M38" i="16" s="1"/>
  <c r="L32" i="16"/>
  <c r="M32" i="16" s="1"/>
  <c r="G113" i="16"/>
  <c r="L46" i="16"/>
  <c r="M46" i="16" s="1"/>
  <c r="T126" i="16"/>
  <c r="AF126" i="16"/>
  <c r="G114" i="16"/>
  <c r="L52" i="16"/>
  <c r="M52" i="16" s="1"/>
  <c r="G60" i="16"/>
  <c r="L30" i="16"/>
  <c r="M30" i="16" s="1"/>
  <c r="L37" i="16"/>
  <c r="M37" i="16" s="1"/>
  <c r="AG111" i="16"/>
  <c r="U111" i="16"/>
  <c r="AF99" i="16"/>
  <c r="T99" i="16"/>
  <c r="AF87" i="16"/>
  <c r="T87" i="16"/>
  <c r="AF86" i="16"/>
  <c r="T86" i="16"/>
  <c r="AG127" i="16"/>
  <c r="U127" i="16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D9" i="5"/>
  <c r="D10" i="5"/>
  <c r="D11" i="5"/>
  <c r="D12" i="5"/>
  <c r="D13" i="5"/>
  <c r="D8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6" i="5"/>
  <c r="D5" i="5"/>
  <c r="D4" i="5"/>
  <c r="P3" i="5"/>
  <c r="D52" i="5" s="1"/>
  <c r="M3" i="5"/>
  <c r="D45" i="5" s="1"/>
  <c r="J3" i="5"/>
  <c r="D40" i="5" s="1"/>
  <c r="G3" i="5"/>
  <c r="D3" i="5"/>
  <c r="D26" i="5" s="1"/>
  <c r="D31" i="5"/>
  <c r="G319" i="1"/>
  <c r="G320" i="1"/>
  <c r="G321" i="1"/>
  <c r="G322" i="1"/>
  <c r="G323" i="1"/>
  <c r="G324" i="1"/>
  <c r="G325" i="1"/>
  <c r="G308" i="1"/>
  <c r="G309" i="1"/>
  <c r="G310" i="1"/>
  <c r="G311" i="1"/>
  <c r="G312" i="1"/>
  <c r="G313" i="1"/>
  <c r="G314" i="1"/>
  <c r="G315" i="1"/>
  <c r="G316" i="1"/>
  <c r="G317" i="1"/>
  <c r="G318" i="1"/>
  <c r="G307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290" i="1"/>
  <c r="G229" i="1"/>
  <c r="G230" i="1"/>
  <c r="G231" i="1"/>
  <c r="G232" i="1"/>
  <c r="G233" i="1"/>
  <c r="G234" i="1"/>
  <c r="G235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00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17" i="1"/>
  <c r="G418" i="1"/>
  <c r="G419" i="1"/>
  <c r="G420" i="1"/>
  <c r="G421" i="1"/>
  <c r="G422" i="1"/>
  <c r="G416" i="1"/>
  <c r="G407" i="1"/>
  <c r="G408" i="1"/>
  <c r="G409" i="1"/>
  <c r="G410" i="1"/>
  <c r="G411" i="1"/>
  <c r="G412" i="1"/>
  <c r="G413" i="1"/>
  <c r="G414" i="1"/>
  <c r="G415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381" i="1"/>
  <c r="G382" i="1"/>
  <c r="G383" i="1"/>
  <c r="G384" i="1"/>
  <c r="G385" i="1"/>
  <c r="G386" i="1"/>
  <c r="G387" i="1"/>
  <c r="G388" i="1"/>
  <c r="G389" i="1"/>
  <c r="G390" i="1"/>
  <c r="G380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6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471" i="1"/>
  <c r="G472" i="1"/>
  <c r="G473" i="1"/>
  <c r="G474" i="1"/>
  <c r="G475" i="1"/>
  <c r="G476" i="1"/>
  <c r="G477" i="1"/>
  <c r="G478" i="1"/>
  <c r="G479" i="1"/>
  <c r="G480" i="1"/>
  <c r="G470" i="1"/>
  <c r="AG75" i="16" l="1"/>
  <c r="U75" i="16"/>
  <c r="I98" i="16"/>
  <c r="J98" i="16" s="1"/>
  <c r="AT82" i="16"/>
  <c r="AX81" i="16"/>
  <c r="AA129" i="17"/>
  <c r="AA77" i="17"/>
  <c r="AA116" i="17"/>
  <c r="U74" i="16"/>
  <c r="AG114" i="16"/>
  <c r="U114" i="16"/>
  <c r="AG113" i="16"/>
  <c r="U113" i="16"/>
  <c r="AG87" i="16"/>
  <c r="U87" i="16"/>
  <c r="AG89" i="16"/>
  <c r="U89" i="16"/>
  <c r="U60" i="16"/>
  <c r="I60" i="16"/>
  <c r="J60" i="16" s="1"/>
  <c r="AG60" i="16"/>
  <c r="AG86" i="16"/>
  <c r="U86" i="16"/>
  <c r="I86" i="16"/>
  <c r="J86" i="16" s="1"/>
  <c r="AG99" i="16"/>
  <c r="AE98" i="16" s="1"/>
  <c r="U99" i="16"/>
  <c r="W98" i="16" s="1"/>
  <c r="L98" i="16" s="1"/>
  <c r="AG126" i="16"/>
  <c r="U126" i="16"/>
  <c r="I111" i="16"/>
  <c r="J111" i="16" s="1"/>
  <c r="I124" i="16"/>
  <c r="J124" i="16" s="1"/>
  <c r="AG124" i="16"/>
  <c r="U124" i="16"/>
  <c r="I73" i="16"/>
  <c r="J73" i="16" s="1"/>
  <c r="AE73" i="16"/>
  <c r="C99" i="16"/>
  <c r="C100" i="16" s="1"/>
  <c r="C101" i="16" s="1"/>
  <c r="C111" i="16"/>
  <c r="D50" i="5"/>
  <c r="D47" i="5"/>
  <c r="D51" i="5"/>
  <c r="D49" i="5"/>
  <c r="D48" i="5"/>
  <c r="D42" i="5"/>
  <c r="D43" i="5"/>
  <c r="D44" i="5"/>
  <c r="D46" i="5"/>
  <c r="D41" i="5"/>
  <c r="D38" i="5"/>
  <c r="D35" i="5"/>
  <c r="D39" i="5"/>
  <c r="D37" i="5"/>
  <c r="D36" i="5"/>
  <c r="D32" i="5"/>
  <c r="D29" i="5"/>
  <c r="D33" i="5"/>
  <c r="D30" i="5"/>
  <c r="D34" i="5"/>
  <c r="D24" i="5"/>
  <c r="D28" i="5"/>
  <c r="D23" i="5"/>
  <c r="D27" i="5"/>
  <c r="D25" i="5"/>
  <c r="W73" i="16" l="1"/>
  <c r="L73" i="16" s="1"/>
  <c r="AC111" i="16"/>
  <c r="AD111" i="16" s="1"/>
  <c r="BA68" i="16" s="1"/>
  <c r="AE111" i="16"/>
  <c r="AT81" i="16"/>
  <c r="AX80" i="16"/>
  <c r="V111" i="16"/>
  <c r="V98" i="16"/>
  <c r="K98" i="16" s="1"/>
  <c r="Z98" i="16" s="1"/>
  <c r="AA98" i="16" s="1"/>
  <c r="C124" i="16"/>
  <c r="C112" i="16"/>
  <c r="AE124" i="16"/>
  <c r="AC124" i="16"/>
  <c r="AD124" i="16" s="1"/>
  <c r="V73" i="16"/>
  <c r="K73" i="16" s="1"/>
  <c r="Z75" i="16" s="1"/>
  <c r="AA75" i="16" s="1"/>
  <c r="AC86" i="16"/>
  <c r="AD86" i="16" s="1"/>
  <c r="AE86" i="16"/>
  <c r="AC73" i="16"/>
  <c r="AD73" i="16" s="1"/>
  <c r="AC98" i="16"/>
  <c r="AD98" i="16" s="1"/>
  <c r="AE60" i="16"/>
  <c r="AC60" i="16"/>
  <c r="AD60" i="16" s="1"/>
  <c r="V86" i="16"/>
  <c r="W86" i="16"/>
  <c r="L86" i="16" s="1"/>
  <c r="AH111" i="16"/>
  <c r="W111" i="16"/>
  <c r="L111" i="16" s="1"/>
  <c r="W124" i="16"/>
  <c r="L124" i="16" s="1"/>
  <c r="V124" i="16"/>
  <c r="W60" i="16"/>
  <c r="L60" i="16" s="1"/>
  <c r="V60" i="16"/>
  <c r="BA62" i="16" l="1"/>
  <c r="AW63" i="16"/>
  <c r="AW67" i="16"/>
  <c r="AW61" i="16"/>
  <c r="AW60" i="16"/>
  <c r="AW65" i="16"/>
  <c r="C113" i="16"/>
  <c r="AH76" i="16"/>
  <c r="AH74" i="16"/>
  <c r="AH75" i="16"/>
  <c r="AH73" i="16"/>
  <c r="Z76" i="16"/>
  <c r="AA76" i="16" s="1"/>
  <c r="Z74" i="16"/>
  <c r="AA74" i="16" s="1"/>
  <c r="Z73" i="16"/>
  <c r="AA73" i="16" s="1"/>
  <c r="AH114" i="16"/>
  <c r="AH113" i="16"/>
  <c r="AH112" i="16"/>
  <c r="BA70" i="16"/>
  <c r="BA74" i="16"/>
  <c r="BA60" i="16"/>
  <c r="BA78" i="16"/>
  <c r="BA66" i="16"/>
  <c r="BA83" i="16"/>
  <c r="BA64" i="16"/>
  <c r="BA72" i="16"/>
  <c r="BA76" i="16"/>
  <c r="BA80" i="16"/>
  <c r="BA61" i="16"/>
  <c r="BA65" i="16"/>
  <c r="BA69" i="16"/>
  <c r="BA73" i="16"/>
  <c r="BA77" i="16"/>
  <c r="BA82" i="16"/>
  <c r="BA63" i="16"/>
  <c r="BA67" i="16"/>
  <c r="BA71" i="16"/>
  <c r="BA75" i="16"/>
  <c r="BA79" i="16"/>
  <c r="BA84" i="16"/>
  <c r="BA81" i="16"/>
  <c r="AY60" i="16"/>
  <c r="AY84" i="16"/>
  <c r="AY83" i="16"/>
  <c r="AY82" i="16"/>
  <c r="C125" i="16"/>
  <c r="AU60" i="16"/>
  <c r="AU84" i="16"/>
  <c r="AU83" i="16"/>
  <c r="BC60" i="16"/>
  <c r="BC83" i="16"/>
  <c r="BC82" i="16"/>
  <c r="BC81" i="16"/>
  <c r="BC80" i="16"/>
  <c r="BC79" i="16"/>
  <c r="BC77" i="16"/>
  <c r="BC76" i="16"/>
  <c r="BC75" i="16"/>
  <c r="BC74" i="16"/>
  <c r="BC73" i="16"/>
  <c r="BC72" i="16"/>
  <c r="BC71" i="16"/>
  <c r="BC70" i="16"/>
  <c r="BC69" i="16"/>
  <c r="BC68" i="16"/>
  <c r="BC67" i="16"/>
  <c r="BC66" i="16"/>
  <c r="BC65" i="16"/>
  <c r="BC64" i="16"/>
  <c r="BC63" i="16"/>
  <c r="BC62" i="16"/>
  <c r="BC84" i="16"/>
  <c r="BC61" i="16"/>
  <c r="AY81" i="16"/>
  <c r="AY80" i="16"/>
  <c r="AX79" i="16"/>
  <c r="AS61" i="16"/>
  <c r="AS79" i="16"/>
  <c r="AS74" i="16"/>
  <c r="AS71" i="16"/>
  <c r="AS68" i="16"/>
  <c r="AS65" i="16"/>
  <c r="AS62" i="16"/>
  <c r="AS63" i="16"/>
  <c r="AS83" i="16"/>
  <c r="AS80" i="16"/>
  <c r="AS78" i="16"/>
  <c r="AS73" i="16"/>
  <c r="AS69" i="16"/>
  <c r="AS66" i="16"/>
  <c r="AS84" i="16"/>
  <c r="AS82" i="16"/>
  <c r="AS81" i="16"/>
  <c r="AS77" i="16"/>
  <c r="AS76" i="16"/>
  <c r="AS75" i="16"/>
  <c r="AS72" i="16"/>
  <c r="AS70" i="16"/>
  <c r="AS67" i="16"/>
  <c r="AS64" i="16"/>
  <c r="AS60" i="16"/>
  <c r="AU81" i="16"/>
  <c r="AT80" i="16"/>
  <c r="AW84" i="16"/>
  <c r="AW83" i="16"/>
  <c r="AW82" i="16"/>
  <c r="AW81" i="16"/>
  <c r="AW80" i="16"/>
  <c r="AW79" i="16"/>
  <c r="AW78" i="16"/>
  <c r="AW77" i="16"/>
  <c r="AW76" i="16"/>
  <c r="AW75" i="16"/>
  <c r="AW74" i="16"/>
  <c r="AW73" i="16"/>
  <c r="AW72" i="16"/>
  <c r="AW71" i="16"/>
  <c r="AW70" i="16"/>
  <c r="AW69" i="16"/>
  <c r="AW68" i="16"/>
  <c r="AW66" i="16"/>
  <c r="AW64" i="16"/>
  <c r="AW62" i="16"/>
  <c r="AU82" i="16"/>
  <c r="K124" i="16"/>
  <c r="Z127" i="16" s="1"/>
  <c r="AA127" i="16" s="1"/>
  <c r="K60" i="16"/>
  <c r="Z61" i="16" s="1"/>
  <c r="AA61" i="16" s="1"/>
  <c r="AH62" i="16"/>
  <c r="AH63" i="16"/>
  <c r="AH61" i="16"/>
  <c r="AH60" i="16"/>
  <c r="Z99" i="16"/>
  <c r="AA99" i="16" s="1"/>
  <c r="AH87" i="16"/>
  <c r="AH88" i="16"/>
  <c r="AH89" i="16"/>
  <c r="AH86" i="16"/>
  <c r="Z100" i="16"/>
  <c r="AA100" i="16" s="1"/>
  <c r="K86" i="16"/>
  <c r="Z86" i="16" s="1"/>
  <c r="AA86" i="16" s="1"/>
  <c r="AH101" i="16"/>
  <c r="AH100" i="16"/>
  <c r="AH99" i="16"/>
  <c r="AH98" i="16"/>
  <c r="Z101" i="16"/>
  <c r="AA101" i="16" s="1"/>
  <c r="AH127" i="16"/>
  <c r="AH126" i="16"/>
  <c r="AH125" i="16"/>
  <c r="AH124" i="16"/>
  <c r="K111" i="16"/>
  <c r="Z112" i="16" s="1"/>
  <c r="AA112" i="16" s="1"/>
  <c r="C114" i="16" l="1"/>
  <c r="Z63" i="16"/>
  <c r="AA63" i="16" s="1"/>
  <c r="Z60" i="16"/>
  <c r="AA60" i="16" s="1"/>
  <c r="Z62" i="16"/>
  <c r="AA62" i="16" s="1"/>
  <c r="AY79" i="16"/>
  <c r="AX78" i="16"/>
  <c r="C126" i="16"/>
  <c r="AU80" i="16"/>
  <c r="AT79" i="16"/>
  <c r="Z124" i="16"/>
  <c r="AA124" i="16" s="1"/>
  <c r="Z125" i="16"/>
  <c r="AA125" i="16" s="1"/>
  <c r="Z126" i="16"/>
  <c r="AA126" i="16" s="1"/>
  <c r="Z111" i="16"/>
  <c r="AA111" i="16" s="1"/>
  <c r="Z114" i="16"/>
  <c r="AA114" i="16" s="1"/>
  <c r="Z89" i="16"/>
  <c r="AA89" i="16" s="1"/>
  <c r="AA102" i="16"/>
  <c r="Z87" i="16"/>
  <c r="AA87" i="16" s="1"/>
  <c r="Z113" i="16"/>
  <c r="AA113" i="16" s="1"/>
  <c r="Z88" i="16"/>
  <c r="AA88" i="16" s="1"/>
  <c r="AA77" i="16"/>
  <c r="AA64" i="16" l="1"/>
  <c r="C127" i="16"/>
  <c r="AU79" i="16"/>
  <c r="AT78" i="16"/>
  <c r="AY78" i="16"/>
  <c r="AX77" i="16"/>
  <c r="AA115" i="16"/>
  <c r="AA128" i="16"/>
  <c r="AA90" i="16"/>
  <c r="AU78" i="16" l="1"/>
  <c r="AT77" i="16"/>
  <c r="AY77" i="16"/>
  <c r="AX76" i="16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26" i="1"/>
  <c r="F326" i="1" s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597" i="1"/>
  <c r="C598" i="1"/>
  <c r="C599" i="1"/>
  <c r="C600" i="1"/>
  <c r="C601" i="1"/>
  <c r="C602" i="1"/>
  <c r="C603" i="1"/>
  <c r="C604" i="1"/>
  <c r="C605" i="1"/>
  <c r="C596" i="1"/>
  <c r="AU77" i="16" l="1"/>
  <c r="AT76" i="16"/>
  <c r="AY76" i="16"/>
  <c r="AX75" i="16"/>
  <c r="E326" i="1"/>
  <c r="G326" i="1"/>
  <c r="AU76" i="16" l="1"/>
  <c r="AT75" i="16"/>
  <c r="AY75" i="16"/>
  <c r="AX74" i="16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F604" i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F110" i="1"/>
  <c r="F111" i="1"/>
  <c r="F112" i="1"/>
  <c r="F113" i="1"/>
  <c r="F114" i="1"/>
  <c r="F115" i="1"/>
  <c r="G115" i="1" s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G362" i="1" s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G452" i="1" s="1"/>
  <c r="F453" i="1"/>
  <c r="G453" i="1" s="1"/>
  <c r="F454" i="1"/>
  <c r="G454" i="1" s="1"/>
  <c r="F455" i="1"/>
  <c r="G455" i="1" s="1"/>
  <c r="F456" i="1"/>
  <c r="G456" i="1" s="1"/>
  <c r="F457" i="1"/>
  <c r="G457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G465" i="1" s="1"/>
  <c r="F466" i="1"/>
  <c r="G466" i="1" s="1"/>
  <c r="F467" i="1"/>
  <c r="G467" i="1" s="1"/>
  <c r="F468" i="1"/>
  <c r="G468" i="1" s="1"/>
  <c r="F469" i="1"/>
  <c r="G469" i="1" s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 s="1"/>
  <c r="F548" i="1"/>
  <c r="G548" i="1" s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5" i="1"/>
  <c r="G555" i="1" s="1"/>
  <c r="F556" i="1"/>
  <c r="G556" i="1" s="1"/>
  <c r="F557" i="1"/>
  <c r="G557" i="1" s="1"/>
  <c r="F558" i="1"/>
  <c r="G558" i="1" s="1"/>
  <c r="F559" i="1"/>
  <c r="G559" i="1" s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E115" i="1"/>
  <c r="AY74" i="16" l="1"/>
  <c r="AX73" i="16"/>
  <c r="AU75" i="16"/>
  <c r="AT74" i="16"/>
  <c r="E109" i="1"/>
  <c r="G109" i="1"/>
  <c r="E628" i="1"/>
  <c r="G628" i="1"/>
  <c r="E616" i="1"/>
  <c r="G616" i="1"/>
  <c r="E603" i="1"/>
  <c r="G603" i="1"/>
  <c r="E463" i="1"/>
  <c r="E447" i="1"/>
  <c r="E435" i="1"/>
  <c r="E419" i="1"/>
  <c r="E375" i="1"/>
  <c r="E363" i="1"/>
  <c r="E343" i="1"/>
  <c r="G343" i="1"/>
  <c r="E331" i="1"/>
  <c r="G331" i="1"/>
  <c r="E286" i="1"/>
  <c r="E274" i="1"/>
  <c r="E262" i="1"/>
  <c r="G262" i="1"/>
  <c r="E246" i="1"/>
  <c r="G246" i="1"/>
  <c r="E190" i="1"/>
  <c r="E627" i="1"/>
  <c r="G627" i="1"/>
  <c r="E611" i="1"/>
  <c r="G611" i="1"/>
  <c r="E598" i="1"/>
  <c r="E554" i="1"/>
  <c r="E538" i="1"/>
  <c r="G538" i="1"/>
  <c r="E522" i="1"/>
  <c r="G522" i="1"/>
  <c r="E510" i="1"/>
  <c r="G510" i="1"/>
  <c r="E466" i="1"/>
  <c r="E454" i="1"/>
  <c r="E442" i="1"/>
  <c r="E422" i="1"/>
  <c r="E378" i="1"/>
  <c r="E366" i="1"/>
  <c r="E358" i="1"/>
  <c r="G358" i="1"/>
  <c r="E350" i="1"/>
  <c r="G350" i="1"/>
  <c r="E342" i="1"/>
  <c r="G342" i="1"/>
  <c r="E330" i="1"/>
  <c r="G330" i="1"/>
  <c r="E289" i="1"/>
  <c r="E277" i="1"/>
  <c r="E269" i="1"/>
  <c r="G269" i="1"/>
  <c r="E265" i="1"/>
  <c r="G265" i="1"/>
  <c r="E257" i="1"/>
  <c r="G257" i="1"/>
  <c r="E249" i="1"/>
  <c r="G249" i="1"/>
  <c r="E241" i="1"/>
  <c r="G241" i="1"/>
  <c r="E197" i="1"/>
  <c r="E189" i="1"/>
  <c r="E181" i="1"/>
  <c r="G181" i="1"/>
  <c r="E173" i="1"/>
  <c r="G173" i="1"/>
  <c r="E165" i="1"/>
  <c r="G165" i="1"/>
  <c r="E161" i="1"/>
  <c r="G161" i="1"/>
  <c r="E153" i="1"/>
  <c r="G153" i="1"/>
  <c r="E624" i="1"/>
  <c r="G624" i="1"/>
  <c r="E612" i="1"/>
  <c r="G612" i="1"/>
  <c r="E559" i="1"/>
  <c r="E551" i="1"/>
  <c r="E543" i="1"/>
  <c r="E535" i="1"/>
  <c r="G535" i="1"/>
  <c r="E527" i="1"/>
  <c r="G527" i="1"/>
  <c r="E519" i="1"/>
  <c r="G519" i="1"/>
  <c r="E511" i="1"/>
  <c r="G511" i="1"/>
  <c r="E459" i="1"/>
  <c r="E451" i="1"/>
  <c r="E439" i="1"/>
  <c r="E427" i="1"/>
  <c r="E371" i="1"/>
  <c r="E359" i="1"/>
  <c r="G359" i="1"/>
  <c r="E351" i="1"/>
  <c r="G351" i="1"/>
  <c r="E339" i="1"/>
  <c r="G339" i="1"/>
  <c r="E327" i="1"/>
  <c r="G327" i="1"/>
  <c r="E282" i="1"/>
  <c r="E270" i="1"/>
  <c r="G270" i="1"/>
  <c r="E258" i="1"/>
  <c r="G258" i="1"/>
  <c r="E250" i="1"/>
  <c r="G250" i="1"/>
  <c r="E238" i="1"/>
  <c r="G238" i="1"/>
  <c r="E194" i="1"/>
  <c r="E182" i="1"/>
  <c r="E174" i="1"/>
  <c r="G174" i="1"/>
  <c r="E166" i="1"/>
  <c r="G166" i="1"/>
  <c r="E631" i="1"/>
  <c r="G631" i="1"/>
  <c r="E619" i="1"/>
  <c r="G619" i="1"/>
  <c r="E607" i="1"/>
  <c r="G607" i="1"/>
  <c r="E550" i="1"/>
  <c r="E542" i="1"/>
  <c r="E530" i="1"/>
  <c r="G530" i="1"/>
  <c r="E518" i="1"/>
  <c r="G518" i="1"/>
  <c r="E506" i="1"/>
  <c r="G506" i="1"/>
  <c r="E462" i="1"/>
  <c r="E446" i="1"/>
  <c r="E438" i="1"/>
  <c r="E426" i="1"/>
  <c r="E418" i="1"/>
  <c r="E374" i="1"/>
  <c r="E370" i="1"/>
  <c r="E362" i="1"/>
  <c r="E354" i="1"/>
  <c r="G354" i="1"/>
  <c r="E346" i="1"/>
  <c r="G346" i="1"/>
  <c r="E338" i="1"/>
  <c r="G338" i="1"/>
  <c r="E334" i="1"/>
  <c r="G334" i="1"/>
  <c r="E281" i="1"/>
  <c r="E273" i="1"/>
  <c r="E261" i="1"/>
  <c r="G261" i="1"/>
  <c r="E253" i="1"/>
  <c r="G253" i="1"/>
  <c r="E245" i="1"/>
  <c r="G245" i="1"/>
  <c r="E237" i="1"/>
  <c r="G237" i="1"/>
  <c r="E193" i="1"/>
  <c r="E185" i="1"/>
  <c r="E177" i="1"/>
  <c r="G177" i="1"/>
  <c r="E169" i="1"/>
  <c r="G169" i="1"/>
  <c r="E157" i="1"/>
  <c r="G157" i="1"/>
  <c r="E149" i="1"/>
  <c r="G149" i="1"/>
  <c r="E630" i="1"/>
  <c r="G630" i="1"/>
  <c r="E626" i="1"/>
  <c r="G626" i="1"/>
  <c r="E622" i="1"/>
  <c r="G622" i="1"/>
  <c r="E618" i="1"/>
  <c r="G618" i="1"/>
  <c r="E614" i="1"/>
  <c r="G614" i="1"/>
  <c r="E610" i="1"/>
  <c r="G610" i="1"/>
  <c r="E606" i="1"/>
  <c r="G606" i="1"/>
  <c r="E601" i="1"/>
  <c r="E597" i="1"/>
  <c r="E557" i="1"/>
  <c r="E553" i="1"/>
  <c r="E549" i="1"/>
  <c r="E545" i="1"/>
  <c r="E541" i="1"/>
  <c r="G541" i="1"/>
  <c r="E537" i="1"/>
  <c r="G537" i="1"/>
  <c r="E533" i="1"/>
  <c r="G533" i="1"/>
  <c r="E529" i="1"/>
  <c r="G529" i="1"/>
  <c r="E525" i="1"/>
  <c r="G525" i="1"/>
  <c r="E521" i="1"/>
  <c r="G521" i="1"/>
  <c r="E517" i="1"/>
  <c r="G517" i="1"/>
  <c r="E513" i="1"/>
  <c r="G513" i="1"/>
  <c r="E509" i="1"/>
  <c r="G509" i="1"/>
  <c r="E469" i="1"/>
  <c r="E465" i="1"/>
  <c r="E461" i="1"/>
  <c r="E457" i="1"/>
  <c r="E453" i="1"/>
  <c r="E449" i="1"/>
  <c r="E445" i="1"/>
  <c r="E441" i="1"/>
  <c r="E437" i="1"/>
  <c r="E433" i="1"/>
  <c r="E429" i="1"/>
  <c r="E425" i="1"/>
  <c r="E421" i="1"/>
  <c r="E417" i="1"/>
  <c r="E377" i="1"/>
  <c r="E373" i="1"/>
  <c r="E369" i="1"/>
  <c r="E365" i="1"/>
  <c r="E361" i="1"/>
  <c r="G361" i="1"/>
  <c r="E357" i="1"/>
  <c r="G357" i="1"/>
  <c r="E353" i="1"/>
  <c r="G353" i="1"/>
  <c r="E349" i="1"/>
  <c r="G349" i="1"/>
  <c r="E345" i="1"/>
  <c r="G345" i="1"/>
  <c r="E341" i="1"/>
  <c r="G341" i="1"/>
  <c r="E337" i="1"/>
  <c r="G337" i="1"/>
  <c r="E333" i="1"/>
  <c r="G333" i="1"/>
  <c r="E329" i="1"/>
  <c r="G329" i="1"/>
  <c r="E288" i="1"/>
  <c r="E284" i="1"/>
  <c r="E280" i="1"/>
  <c r="E276" i="1"/>
  <c r="E272" i="1"/>
  <c r="E268" i="1"/>
  <c r="G268" i="1"/>
  <c r="E264" i="1"/>
  <c r="G264" i="1"/>
  <c r="E260" i="1"/>
  <c r="G260" i="1"/>
  <c r="E256" i="1"/>
  <c r="G256" i="1"/>
  <c r="E252" i="1"/>
  <c r="G252" i="1"/>
  <c r="E248" i="1"/>
  <c r="G248" i="1"/>
  <c r="E244" i="1"/>
  <c r="G244" i="1"/>
  <c r="E240" i="1"/>
  <c r="G240" i="1"/>
  <c r="E236" i="1"/>
  <c r="G236" i="1"/>
  <c r="E196" i="1"/>
  <c r="E192" i="1"/>
  <c r="E188" i="1"/>
  <c r="E184" i="1"/>
  <c r="E180" i="1"/>
  <c r="G180" i="1"/>
  <c r="E176" i="1"/>
  <c r="G176" i="1"/>
  <c r="E172" i="1"/>
  <c r="G172" i="1"/>
  <c r="E168" i="1"/>
  <c r="G168" i="1"/>
  <c r="E164" i="1"/>
  <c r="G164" i="1"/>
  <c r="E160" i="1"/>
  <c r="G160" i="1"/>
  <c r="E156" i="1"/>
  <c r="G156" i="1"/>
  <c r="E152" i="1"/>
  <c r="G152" i="1"/>
  <c r="E148" i="1"/>
  <c r="G148" i="1"/>
  <c r="E56" i="1"/>
  <c r="G56" i="1"/>
  <c r="E620" i="1"/>
  <c r="G620" i="1"/>
  <c r="E608" i="1"/>
  <c r="G608" i="1"/>
  <c r="E599" i="1"/>
  <c r="E555" i="1"/>
  <c r="E547" i="1"/>
  <c r="E539" i="1"/>
  <c r="G539" i="1"/>
  <c r="E531" i="1"/>
  <c r="G531" i="1"/>
  <c r="E523" i="1"/>
  <c r="G523" i="1"/>
  <c r="E515" i="1"/>
  <c r="G515" i="1"/>
  <c r="E507" i="1"/>
  <c r="G507" i="1"/>
  <c r="E467" i="1"/>
  <c r="E455" i="1"/>
  <c r="E443" i="1"/>
  <c r="E431" i="1"/>
  <c r="E423" i="1"/>
  <c r="E379" i="1"/>
  <c r="E367" i="1"/>
  <c r="E355" i="1"/>
  <c r="G355" i="1"/>
  <c r="E347" i="1"/>
  <c r="G347" i="1"/>
  <c r="E335" i="1"/>
  <c r="G335" i="1"/>
  <c r="E278" i="1"/>
  <c r="E266" i="1"/>
  <c r="G266" i="1"/>
  <c r="E254" i="1"/>
  <c r="G254" i="1"/>
  <c r="E242" i="1"/>
  <c r="G242" i="1"/>
  <c r="E198" i="1"/>
  <c r="E186" i="1"/>
  <c r="E178" i="1"/>
  <c r="G178" i="1"/>
  <c r="E170" i="1"/>
  <c r="G170" i="1"/>
  <c r="E162" i="1"/>
  <c r="G162" i="1"/>
  <c r="E158" i="1"/>
  <c r="G158" i="1"/>
  <c r="E154" i="1"/>
  <c r="G154" i="1"/>
  <c r="E150" i="1"/>
  <c r="G150" i="1"/>
  <c r="E146" i="1"/>
  <c r="G146" i="1"/>
  <c r="E604" i="1"/>
  <c r="G604" i="1"/>
  <c r="E623" i="1"/>
  <c r="G623" i="1"/>
  <c r="E615" i="1"/>
  <c r="G615" i="1"/>
  <c r="E602" i="1"/>
  <c r="E558" i="1"/>
  <c r="E546" i="1"/>
  <c r="E534" i="1"/>
  <c r="G534" i="1"/>
  <c r="E526" i="1"/>
  <c r="G526" i="1"/>
  <c r="E514" i="1"/>
  <c r="G514" i="1"/>
  <c r="E458" i="1"/>
  <c r="E450" i="1"/>
  <c r="E434" i="1"/>
  <c r="E430" i="1"/>
  <c r="E285" i="1"/>
  <c r="E629" i="1"/>
  <c r="G629" i="1"/>
  <c r="E625" i="1"/>
  <c r="G625" i="1"/>
  <c r="E621" i="1"/>
  <c r="G621" i="1"/>
  <c r="E617" i="1"/>
  <c r="G617" i="1"/>
  <c r="E613" i="1"/>
  <c r="G613" i="1"/>
  <c r="E609" i="1"/>
  <c r="G609" i="1"/>
  <c r="E605" i="1"/>
  <c r="G605" i="1"/>
  <c r="E600" i="1"/>
  <c r="E596" i="1"/>
  <c r="E556" i="1"/>
  <c r="E552" i="1"/>
  <c r="E548" i="1"/>
  <c r="E544" i="1"/>
  <c r="E540" i="1"/>
  <c r="G540" i="1"/>
  <c r="E536" i="1"/>
  <c r="G536" i="1"/>
  <c r="E532" i="1"/>
  <c r="G532" i="1"/>
  <c r="E528" i="1"/>
  <c r="G528" i="1"/>
  <c r="E524" i="1"/>
  <c r="G524" i="1"/>
  <c r="E520" i="1"/>
  <c r="G520" i="1"/>
  <c r="E516" i="1"/>
  <c r="G516" i="1"/>
  <c r="E512" i="1"/>
  <c r="G512" i="1"/>
  <c r="E508" i="1"/>
  <c r="G508" i="1"/>
  <c r="E468" i="1"/>
  <c r="E464" i="1"/>
  <c r="E460" i="1"/>
  <c r="E456" i="1"/>
  <c r="E452" i="1"/>
  <c r="E448" i="1"/>
  <c r="E444" i="1"/>
  <c r="E440" i="1"/>
  <c r="E436" i="1"/>
  <c r="E432" i="1"/>
  <c r="E428" i="1"/>
  <c r="E424" i="1"/>
  <c r="E420" i="1"/>
  <c r="E416" i="1"/>
  <c r="E376" i="1"/>
  <c r="E372" i="1"/>
  <c r="E368" i="1"/>
  <c r="E364" i="1"/>
  <c r="E360" i="1"/>
  <c r="G360" i="1"/>
  <c r="E356" i="1"/>
  <c r="G356" i="1"/>
  <c r="E352" i="1"/>
  <c r="G352" i="1"/>
  <c r="E348" i="1"/>
  <c r="G348" i="1"/>
  <c r="E344" i="1"/>
  <c r="G344" i="1"/>
  <c r="E340" i="1"/>
  <c r="G340" i="1"/>
  <c r="E336" i="1"/>
  <c r="G336" i="1"/>
  <c r="E332" i="1"/>
  <c r="G332" i="1"/>
  <c r="E328" i="1"/>
  <c r="G328" i="1"/>
  <c r="E287" i="1"/>
  <c r="E283" i="1"/>
  <c r="E279" i="1"/>
  <c r="E275" i="1"/>
  <c r="E271" i="1"/>
  <c r="G271" i="1"/>
  <c r="E267" i="1"/>
  <c r="G267" i="1"/>
  <c r="E263" i="1"/>
  <c r="G263" i="1"/>
  <c r="E259" i="1"/>
  <c r="G259" i="1"/>
  <c r="E255" i="1"/>
  <c r="G255" i="1"/>
  <c r="E251" i="1"/>
  <c r="G251" i="1"/>
  <c r="E247" i="1"/>
  <c r="G247" i="1"/>
  <c r="E243" i="1"/>
  <c r="G243" i="1"/>
  <c r="E239" i="1"/>
  <c r="G239" i="1"/>
  <c r="E199" i="1"/>
  <c r="E195" i="1"/>
  <c r="E191" i="1"/>
  <c r="E187" i="1"/>
  <c r="E183" i="1"/>
  <c r="E179" i="1"/>
  <c r="G179" i="1"/>
  <c r="E175" i="1"/>
  <c r="G175" i="1"/>
  <c r="E171" i="1"/>
  <c r="G171" i="1"/>
  <c r="E167" i="1"/>
  <c r="G167" i="1"/>
  <c r="E163" i="1"/>
  <c r="G163" i="1"/>
  <c r="E159" i="1"/>
  <c r="G159" i="1"/>
  <c r="E155" i="1"/>
  <c r="G155" i="1"/>
  <c r="E151" i="1"/>
  <c r="G151" i="1"/>
  <c r="E147" i="1"/>
  <c r="G147" i="1"/>
  <c r="E587" i="1"/>
  <c r="E575" i="1"/>
  <c r="E563" i="1"/>
  <c r="E499" i="1"/>
  <c r="E491" i="1"/>
  <c r="E483" i="1"/>
  <c r="E475" i="1"/>
  <c r="E318" i="1"/>
  <c r="E310" i="1"/>
  <c r="E302" i="1"/>
  <c r="E294" i="1"/>
  <c r="E290" i="1"/>
  <c r="E234" i="1"/>
  <c r="E226" i="1"/>
  <c r="E218" i="1"/>
  <c r="E210" i="1"/>
  <c r="E202" i="1"/>
  <c r="E138" i="1"/>
  <c r="G138" i="1"/>
  <c r="E130" i="1"/>
  <c r="G130" i="1"/>
  <c r="E122" i="1"/>
  <c r="G122" i="1"/>
  <c r="E114" i="1"/>
  <c r="G114" i="1"/>
  <c r="E594" i="1"/>
  <c r="E578" i="1"/>
  <c r="E570" i="1"/>
  <c r="E502" i="1"/>
  <c r="E490" i="1"/>
  <c r="E478" i="1"/>
  <c r="E410" i="1"/>
  <c r="E402" i="1"/>
  <c r="E394" i="1"/>
  <c r="E386" i="1"/>
  <c r="E321" i="1"/>
  <c r="E305" i="1"/>
  <c r="E301" i="1"/>
  <c r="E233" i="1"/>
  <c r="E221" i="1"/>
  <c r="E213" i="1"/>
  <c r="E201" i="1"/>
  <c r="E145" i="1"/>
  <c r="G145" i="1"/>
  <c r="E137" i="1"/>
  <c r="G137" i="1"/>
  <c r="E133" i="1"/>
  <c r="G133" i="1"/>
  <c r="E125" i="1"/>
  <c r="G125" i="1"/>
  <c r="E117" i="1"/>
  <c r="G117" i="1"/>
  <c r="E595" i="1"/>
  <c r="E579" i="1"/>
  <c r="E567" i="1"/>
  <c r="E503" i="1"/>
  <c r="E495" i="1"/>
  <c r="E487" i="1"/>
  <c r="E479" i="1"/>
  <c r="E471" i="1"/>
  <c r="E415" i="1"/>
  <c r="E411" i="1"/>
  <c r="E407" i="1"/>
  <c r="E403" i="1"/>
  <c r="E399" i="1"/>
  <c r="E395" i="1"/>
  <c r="E391" i="1"/>
  <c r="E387" i="1"/>
  <c r="E383" i="1"/>
  <c r="E322" i="1"/>
  <c r="E314" i="1"/>
  <c r="E306" i="1"/>
  <c r="E298" i="1"/>
  <c r="E230" i="1"/>
  <c r="E222" i="1"/>
  <c r="E214" i="1"/>
  <c r="E206" i="1"/>
  <c r="E142" i="1"/>
  <c r="G142" i="1"/>
  <c r="E134" i="1"/>
  <c r="G134" i="1"/>
  <c r="E126" i="1"/>
  <c r="G126" i="1"/>
  <c r="E118" i="1"/>
  <c r="G118" i="1"/>
  <c r="E110" i="1"/>
  <c r="G110" i="1"/>
  <c r="E590" i="1"/>
  <c r="E582" i="1"/>
  <c r="E566" i="1"/>
  <c r="E498" i="1"/>
  <c r="E486" i="1"/>
  <c r="E474" i="1"/>
  <c r="E470" i="1"/>
  <c r="E325" i="1"/>
  <c r="E313" i="1"/>
  <c r="E293" i="1"/>
  <c r="E225" i="1"/>
  <c r="E209" i="1"/>
  <c r="E141" i="1"/>
  <c r="G141" i="1"/>
  <c r="E129" i="1"/>
  <c r="G129" i="1"/>
  <c r="E121" i="1"/>
  <c r="G121" i="1"/>
  <c r="E113" i="1"/>
  <c r="G113" i="1"/>
  <c r="E593" i="1"/>
  <c r="E589" i="1"/>
  <c r="E585" i="1"/>
  <c r="E581" i="1"/>
  <c r="E577" i="1"/>
  <c r="E573" i="1"/>
  <c r="E569" i="1"/>
  <c r="E565" i="1"/>
  <c r="E561" i="1"/>
  <c r="E505" i="1"/>
  <c r="E501" i="1"/>
  <c r="E497" i="1"/>
  <c r="E493" i="1"/>
  <c r="E489" i="1"/>
  <c r="E485" i="1"/>
  <c r="E481" i="1"/>
  <c r="E477" i="1"/>
  <c r="E473" i="1"/>
  <c r="E413" i="1"/>
  <c r="E409" i="1"/>
  <c r="E405" i="1"/>
  <c r="E401" i="1"/>
  <c r="E397" i="1"/>
  <c r="E393" i="1"/>
  <c r="E389" i="1"/>
  <c r="E385" i="1"/>
  <c r="E381" i="1"/>
  <c r="E324" i="1"/>
  <c r="E320" i="1"/>
  <c r="E316" i="1"/>
  <c r="E312" i="1"/>
  <c r="E308" i="1"/>
  <c r="E304" i="1"/>
  <c r="E300" i="1"/>
  <c r="E296" i="1"/>
  <c r="E292" i="1"/>
  <c r="E232" i="1"/>
  <c r="E228" i="1"/>
  <c r="E224" i="1"/>
  <c r="E220" i="1"/>
  <c r="E216" i="1"/>
  <c r="E212" i="1"/>
  <c r="E208" i="1"/>
  <c r="E204" i="1"/>
  <c r="E200" i="1"/>
  <c r="E144" i="1"/>
  <c r="G144" i="1"/>
  <c r="E140" i="1"/>
  <c r="G140" i="1"/>
  <c r="E136" i="1"/>
  <c r="G136" i="1"/>
  <c r="E132" i="1"/>
  <c r="G132" i="1"/>
  <c r="E128" i="1"/>
  <c r="G128" i="1"/>
  <c r="E124" i="1"/>
  <c r="G124" i="1"/>
  <c r="E120" i="1"/>
  <c r="G120" i="1"/>
  <c r="E116" i="1"/>
  <c r="G116" i="1"/>
  <c r="E112" i="1"/>
  <c r="G112" i="1"/>
  <c r="E591" i="1"/>
  <c r="E583" i="1"/>
  <c r="E571" i="1"/>
  <c r="E586" i="1"/>
  <c r="E574" i="1"/>
  <c r="E562" i="1"/>
  <c r="E494" i="1"/>
  <c r="E482" i="1"/>
  <c r="E414" i="1"/>
  <c r="E406" i="1"/>
  <c r="E398" i="1"/>
  <c r="E390" i="1"/>
  <c r="E382" i="1"/>
  <c r="E317" i="1"/>
  <c r="E309" i="1"/>
  <c r="E297" i="1"/>
  <c r="E229" i="1"/>
  <c r="E217" i="1"/>
  <c r="E205" i="1"/>
  <c r="E592" i="1"/>
  <c r="E588" i="1"/>
  <c r="E584" i="1"/>
  <c r="E580" i="1"/>
  <c r="E576" i="1"/>
  <c r="E572" i="1"/>
  <c r="E568" i="1"/>
  <c r="E564" i="1"/>
  <c r="E560" i="1"/>
  <c r="E504" i="1"/>
  <c r="E500" i="1"/>
  <c r="E496" i="1"/>
  <c r="E492" i="1"/>
  <c r="E488" i="1"/>
  <c r="E484" i="1"/>
  <c r="E480" i="1"/>
  <c r="E476" i="1"/>
  <c r="E472" i="1"/>
  <c r="E412" i="1"/>
  <c r="E408" i="1"/>
  <c r="E404" i="1"/>
  <c r="E400" i="1"/>
  <c r="E396" i="1"/>
  <c r="E392" i="1"/>
  <c r="E388" i="1"/>
  <c r="E384" i="1"/>
  <c r="E380" i="1"/>
  <c r="E323" i="1"/>
  <c r="E319" i="1"/>
  <c r="E315" i="1"/>
  <c r="E311" i="1"/>
  <c r="E307" i="1"/>
  <c r="E303" i="1"/>
  <c r="E299" i="1"/>
  <c r="E295" i="1"/>
  <c r="E291" i="1"/>
  <c r="E235" i="1"/>
  <c r="E231" i="1"/>
  <c r="E227" i="1"/>
  <c r="E223" i="1"/>
  <c r="E219" i="1"/>
  <c r="E215" i="1"/>
  <c r="E211" i="1"/>
  <c r="E207" i="1"/>
  <c r="E203" i="1"/>
  <c r="E143" i="1"/>
  <c r="G143" i="1"/>
  <c r="E139" i="1"/>
  <c r="G139" i="1"/>
  <c r="E135" i="1"/>
  <c r="G135" i="1"/>
  <c r="E131" i="1"/>
  <c r="G131" i="1"/>
  <c r="E127" i="1"/>
  <c r="G127" i="1"/>
  <c r="E123" i="1"/>
  <c r="G123" i="1"/>
  <c r="E119" i="1"/>
  <c r="G119" i="1"/>
  <c r="E111" i="1"/>
  <c r="G111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2" i="1"/>
  <c r="F3" i="1"/>
  <c r="F4" i="1"/>
  <c r="F5" i="1"/>
  <c r="F6" i="1"/>
  <c r="F2" i="1"/>
  <c r="G2" i="1" s="1"/>
  <c r="C23" i="2"/>
  <c r="D23" i="2" s="1"/>
  <c r="C22" i="2"/>
  <c r="D22" i="2" s="1"/>
  <c r="C21" i="2"/>
  <c r="D21" i="2" s="1"/>
  <c r="C7" i="2"/>
  <c r="D7" i="2" s="1"/>
  <c r="C6" i="2"/>
  <c r="D6" i="2" s="1"/>
  <c r="C20" i="2"/>
  <c r="D20" i="2" s="1"/>
  <c r="C5" i="2"/>
  <c r="D5" i="2" s="1"/>
  <c r="C4" i="2"/>
  <c r="D4" i="2" s="1"/>
  <c r="C3" i="2"/>
  <c r="D3" i="2" s="1"/>
  <c r="C19" i="2"/>
  <c r="D19" i="2" s="1"/>
  <c r="C2" i="2"/>
  <c r="D2" i="2" s="1"/>
  <c r="AU74" i="16" l="1"/>
  <c r="AT73" i="16"/>
  <c r="AY73" i="16"/>
  <c r="AX72" i="16"/>
  <c r="E3" i="1"/>
  <c r="G3" i="1"/>
  <c r="E6" i="1"/>
  <c r="G6" i="1"/>
  <c r="E5" i="1"/>
  <c r="G5" i="1"/>
  <c r="E4" i="1"/>
  <c r="G4" i="1"/>
  <c r="E2" i="1"/>
  <c r="P3" i="2"/>
  <c r="P4" i="2" s="1"/>
  <c r="P5" i="2" s="1"/>
  <c r="AY72" i="16" l="1"/>
  <c r="AX71" i="16"/>
  <c r="AU73" i="16"/>
  <c r="AT72" i="16"/>
  <c r="D20" i="5"/>
  <c r="F18" i="5"/>
  <c r="E17" i="5"/>
  <c r="D16" i="5"/>
  <c r="F19" i="5"/>
  <c r="E18" i="5"/>
  <c r="D17" i="5"/>
  <c r="F15" i="5"/>
  <c r="F20" i="5"/>
  <c r="E19" i="5"/>
  <c r="D18" i="5"/>
  <c r="F16" i="5"/>
  <c r="E15" i="5"/>
  <c r="E16" i="5"/>
  <c r="E20" i="5"/>
  <c r="D15" i="5"/>
  <c r="D19" i="5"/>
  <c r="F17" i="5"/>
  <c r="J15" i="5"/>
  <c r="N15" i="5"/>
  <c r="R15" i="5"/>
  <c r="K16" i="5"/>
  <c r="O16" i="5"/>
  <c r="H17" i="5"/>
  <c r="L17" i="5"/>
  <c r="P17" i="5"/>
  <c r="I18" i="5"/>
  <c r="M18" i="5"/>
  <c r="Q18" i="5"/>
  <c r="J19" i="5"/>
  <c r="N19" i="5"/>
  <c r="K15" i="5"/>
  <c r="O15" i="5"/>
  <c r="H16" i="5"/>
  <c r="L16" i="5"/>
  <c r="P16" i="5"/>
  <c r="I17" i="5"/>
  <c r="M17" i="5"/>
  <c r="Q17" i="5"/>
  <c r="J18" i="5"/>
  <c r="N18" i="5"/>
  <c r="R18" i="5"/>
  <c r="K19" i="5"/>
  <c r="O19" i="5"/>
  <c r="H20" i="5"/>
  <c r="L20" i="5"/>
  <c r="P20" i="5"/>
  <c r="G16" i="5"/>
  <c r="G20" i="5"/>
  <c r="H15" i="5"/>
  <c r="P15" i="5"/>
  <c r="M16" i="5"/>
  <c r="J17" i="5"/>
  <c r="R17" i="5"/>
  <c r="L15" i="5"/>
  <c r="I16" i="5"/>
  <c r="Q16" i="5"/>
  <c r="N17" i="5"/>
  <c r="K18" i="5"/>
  <c r="Q15" i="5"/>
  <c r="K17" i="5"/>
  <c r="O18" i="5"/>
  <c r="L19" i="5"/>
  <c r="R19" i="5"/>
  <c r="M20" i="5"/>
  <c r="R20" i="5"/>
  <c r="G19" i="5"/>
  <c r="N16" i="5"/>
  <c r="P19" i="5"/>
  <c r="O20" i="5"/>
  <c r="G17" i="5"/>
  <c r="R16" i="5"/>
  <c r="Q19" i="5"/>
  <c r="G18" i="5"/>
  <c r="J16" i="5"/>
  <c r="O17" i="5"/>
  <c r="P18" i="5"/>
  <c r="M19" i="5"/>
  <c r="I20" i="5"/>
  <c r="N20" i="5"/>
  <c r="G15" i="5"/>
  <c r="I15" i="5"/>
  <c r="H18" i="5"/>
  <c r="H19" i="5"/>
  <c r="J20" i="5"/>
  <c r="M15" i="5"/>
  <c r="E41" i="5" s="1"/>
  <c r="L18" i="5"/>
  <c r="I19" i="5"/>
  <c r="K20" i="5"/>
  <c r="Q20" i="5"/>
  <c r="AU72" i="16" l="1"/>
  <c r="AT71" i="16"/>
  <c r="AY71" i="16"/>
  <c r="AX70" i="16"/>
  <c r="E51" i="5"/>
  <c r="F51" i="5"/>
  <c r="E43" i="5"/>
  <c r="F43" i="5"/>
  <c r="E44" i="5"/>
  <c r="F44" i="5"/>
  <c r="E45" i="5"/>
  <c r="F45" i="5"/>
  <c r="E25" i="5"/>
  <c r="E50" i="5"/>
  <c r="F50" i="5"/>
  <c r="E46" i="5"/>
  <c r="F46" i="5"/>
  <c r="E47" i="5"/>
  <c r="F47" i="5"/>
  <c r="F48" i="5"/>
  <c r="E48" i="5"/>
  <c r="F49" i="5"/>
  <c r="E49" i="5"/>
  <c r="E52" i="5"/>
  <c r="F52" i="5"/>
  <c r="F25" i="5"/>
  <c r="F28" i="5"/>
  <c r="E28" i="5"/>
  <c r="F24" i="5"/>
  <c r="E24" i="5"/>
  <c r="E29" i="5"/>
  <c r="F29" i="5"/>
  <c r="F31" i="5"/>
  <c r="E31" i="5"/>
  <c r="F32" i="5"/>
  <c r="E32" i="5"/>
  <c r="F30" i="5"/>
  <c r="E30" i="5"/>
  <c r="F38" i="5"/>
  <c r="E38" i="5"/>
  <c r="F39" i="5"/>
  <c r="E39" i="5"/>
  <c r="F41" i="5"/>
  <c r="F40" i="5"/>
  <c r="E40" i="5"/>
  <c r="F36" i="5"/>
  <c r="E36" i="5"/>
  <c r="E33" i="5"/>
  <c r="F33" i="5"/>
  <c r="E37" i="5"/>
  <c r="F37" i="5"/>
  <c r="F27" i="5"/>
  <c r="E27" i="5"/>
  <c r="F26" i="5"/>
  <c r="E26" i="5"/>
  <c r="F42" i="5"/>
  <c r="E42" i="5"/>
  <c r="F34" i="5"/>
  <c r="E34" i="5"/>
  <c r="F35" i="5"/>
  <c r="E35" i="5"/>
  <c r="F23" i="5"/>
  <c r="E23" i="5"/>
  <c r="AY70" i="16" l="1"/>
  <c r="AX69" i="16"/>
  <c r="AU71" i="16"/>
  <c r="AT70" i="16"/>
  <c r="AU70" i="16" l="1"/>
  <c r="AT69" i="16"/>
  <c r="AY69" i="16"/>
  <c r="AX68" i="16"/>
  <c r="AU69" i="16" l="1"/>
  <c r="AT68" i="16"/>
  <c r="AY68" i="16"/>
  <c r="AX67" i="16"/>
  <c r="AU68" i="16" l="1"/>
  <c r="AT67" i="16"/>
  <c r="AY67" i="16"/>
  <c r="AX66" i="16"/>
  <c r="AY66" i="16" l="1"/>
  <c r="AX65" i="16"/>
  <c r="AU67" i="16"/>
  <c r="AT66" i="16"/>
  <c r="AU66" i="16" l="1"/>
  <c r="AT65" i="16"/>
  <c r="AY65" i="16"/>
  <c r="AX64" i="16"/>
  <c r="AY64" i="16" l="1"/>
  <c r="AX63" i="16"/>
  <c r="AU65" i="16"/>
  <c r="AT64" i="16"/>
  <c r="AU64" i="16" l="1"/>
  <c r="AT63" i="16"/>
  <c r="AY63" i="16"/>
  <c r="AX62" i="16"/>
  <c r="AU63" i="16" l="1"/>
  <c r="AT62" i="16"/>
  <c r="AX61" i="16"/>
  <c r="AY61" i="16" s="1"/>
  <c r="AY62" i="16"/>
  <c r="AT61" i="16" l="1"/>
  <c r="AU61" i="16" s="1"/>
</calcChain>
</file>

<file path=xl/sharedStrings.xml><?xml version="1.0" encoding="utf-8"?>
<sst xmlns="http://schemas.openxmlformats.org/spreadsheetml/2006/main" count="7418" uniqueCount="1318">
  <si>
    <t>Client ID</t>
  </si>
  <si>
    <t>Battelle ID</t>
  </si>
  <si>
    <t>55469-36-16</t>
  </si>
  <si>
    <t>G3223-FS</t>
  </si>
  <si>
    <t>Result (ng/L)</t>
  </si>
  <si>
    <t>Qaul</t>
  </si>
  <si>
    <t>7.55</t>
  </si>
  <si>
    <t>J</t>
  </si>
  <si>
    <t>8.52</t>
  </si>
  <si>
    <t>U</t>
  </si>
  <si>
    <t>5.21</t>
  </si>
  <si>
    <t>2.84</t>
  </si>
  <si>
    <t>5.68</t>
  </si>
  <si>
    <t>43.5</t>
  </si>
  <si>
    <t/>
  </si>
  <si>
    <t>55469-36-17</t>
  </si>
  <si>
    <t>G3224-FS</t>
  </si>
  <si>
    <t>15.4</t>
  </si>
  <si>
    <t>4.26</t>
  </si>
  <si>
    <t>17.6</t>
  </si>
  <si>
    <t>105</t>
  </si>
  <si>
    <t>45.9</t>
  </si>
  <si>
    <t>PFHxA</t>
  </si>
  <si>
    <t>PFOA</t>
  </si>
  <si>
    <t>PFNA</t>
  </si>
  <si>
    <t>PFBS</t>
  </si>
  <si>
    <t>PFOS</t>
  </si>
  <si>
    <t>8:2FTS</t>
  </si>
  <si>
    <t>55469-36-18</t>
  </si>
  <si>
    <t>G3225-FS</t>
  </si>
  <si>
    <t>15.5</t>
  </si>
  <si>
    <t>7.20</t>
  </si>
  <si>
    <t>15.8</t>
  </si>
  <si>
    <t>16.5</t>
  </si>
  <si>
    <t>3.48</t>
  </si>
  <si>
    <t>56.9</t>
  </si>
  <si>
    <t>55469-36-19</t>
  </si>
  <si>
    <t>G3226-FS</t>
  </si>
  <si>
    <t>15400</t>
  </si>
  <si>
    <t>D</t>
  </si>
  <si>
    <t>7000</t>
  </si>
  <si>
    <t>6920</t>
  </si>
  <si>
    <t>21500</t>
  </si>
  <si>
    <t>7350</t>
  </si>
  <si>
    <t>7770</t>
  </si>
  <si>
    <t>55469-36-20</t>
  </si>
  <si>
    <t>G3227-FS</t>
  </si>
  <si>
    <t>15300</t>
  </si>
  <si>
    <t>8040</t>
  </si>
  <si>
    <t>6310</t>
  </si>
  <si>
    <t>18300</t>
  </si>
  <si>
    <t>7550</t>
  </si>
  <si>
    <t>4460</t>
  </si>
  <si>
    <t>55469-36-21</t>
  </si>
  <si>
    <t>G3228-FS</t>
  </si>
  <si>
    <t>15500</t>
  </si>
  <si>
    <t>8610</t>
  </si>
  <si>
    <t>7200</t>
  </si>
  <si>
    <t>22100</t>
  </si>
  <si>
    <t>8180</t>
  </si>
  <si>
    <t>8960</t>
  </si>
  <si>
    <t>55469-36-22</t>
  </si>
  <si>
    <t>G3229-FS</t>
  </si>
  <si>
    <t>49300</t>
  </si>
  <si>
    <t>28200</t>
  </si>
  <si>
    <t>22300</t>
  </si>
  <si>
    <t>54700</t>
  </si>
  <si>
    <t>28500</t>
  </si>
  <si>
    <t>20600</t>
  </si>
  <si>
    <t>55469-36-23</t>
  </si>
  <si>
    <t>G3230-FS</t>
  </si>
  <si>
    <t>46700</t>
  </si>
  <si>
    <t>25300</t>
  </si>
  <si>
    <t>21800</t>
  </si>
  <si>
    <t>61400</t>
  </si>
  <si>
    <t>24700</t>
  </si>
  <si>
    <t>23500</t>
  </si>
  <si>
    <t>SDG</t>
  </si>
  <si>
    <t>L20-1496</t>
  </si>
  <si>
    <t>L20-1497</t>
  </si>
  <si>
    <t>L20-1498</t>
  </si>
  <si>
    <t>L20-1499</t>
  </si>
  <si>
    <t>L20-1500</t>
  </si>
  <si>
    <t>L20-1501</t>
  </si>
  <si>
    <t>55469-36-24</t>
  </si>
  <si>
    <t>G3231-FS</t>
  </si>
  <si>
    <t>46500</t>
  </si>
  <si>
    <t>26200</t>
  </si>
  <si>
    <t>24900</t>
  </si>
  <si>
    <t>26900</t>
  </si>
  <si>
    <t>25500</t>
  </si>
  <si>
    <t>55469-36-25</t>
  </si>
  <si>
    <t>G3232-FS</t>
  </si>
  <si>
    <t>100000</t>
  </si>
  <si>
    <t>60500</t>
  </si>
  <si>
    <t>55700</t>
  </si>
  <si>
    <t>131000</t>
  </si>
  <si>
    <t>51800</t>
  </si>
  <si>
    <t>55800</t>
  </si>
  <si>
    <t>55469-36-26</t>
  </si>
  <si>
    <t>G3233-FS</t>
  </si>
  <si>
    <t>121000</t>
  </si>
  <si>
    <t>64700</t>
  </si>
  <si>
    <t>49700</t>
  </si>
  <si>
    <t>138000</t>
  </si>
  <si>
    <t>52800</t>
  </si>
  <si>
    <t>44500</t>
  </si>
  <si>
    <t>55469-36-27</t>
  </si>
  <si>
    <t>G3234-FS</t>
  </si>
  <si>
    <t>139000</t>
  </si>
  <si>
    <t>63200</t>
  </si>
  <si>
    <t>60200</t>
  </si>
  <si>
    <t>160000</t>
  </si>
  <si>
    <t>71800</t>
  </si>
  <si>
    <t>41700</t>
  </si>
  <si>
    <t>55469-36-28</t>
  </si>
  <si>
    <t>G3235-FS</t>
  </si>
  <si>
    <t>685000</t>
  </si>
  <si>
    <t>437000</t>
  </si>
  <si>
    <t>347000</t>
  </si>
  <si>
    <t>871000</t>
  </si>
  <si>
    <t>382000</t>
  </si>
  <si>
    <t>486000</t>
  </si>
  <si>
    <t>55469-36-29</t>
  </si>
  <si>
    <t>G3236-FS</t>
  </si>
  <si>
    <t>835000</t>
  </si>
  <si>
    <t>485000</t>
  </si>
  <si>
    <t>474000</t>
  </si>
  <si>
    <t>798000</t>
  </si>
  <si>
    <t>438000</t>
  </si>
  <si>
    <t>586000</t>
  </si>
  <si>
    <t>55469-36-30</t>
  </si>
  <si>
    <t>G3237-FS</t>
  </si>
  <si>
    <t>613000</t>
  </si>
  <si>
    <t>479000</t>
  </si>
  <si>
    <t>298000</t>
  </si>
  <si>
    <t>932000</t>
  </si>
  <si>
    <t>380000</t>
  </si>
  <si>
    <t>291000</t>
  </si>
  <si>
    <t>55469-36-34</t>
  </si>
  <si>
    <t>G3238-FS</t>
  </si>
  <si>
    <t>56.6</t>
  </si>
  <si>
    <t>B</t>
  </si>
  <si>
    <t>16.8</t>
  </si>
  <si>
    <t>36.3</t>
  </si>
  <si>
    <t>23.0</t>
  </si>
  <si>
    <t>2.48</t>
  </si>
  <si>
    <t>30.9</t>
  </si>
  <si>
    <t>55469-36-35</t>
  </si>
  <si>
    <t>G3239-FS</t>
  </si>
  <si>
    <t>69.1</t>
  </si>
  <si>
    <t>15.2</t>
  </si>
  <si>
    <t>25.8</t>
  </si>
  <si>
    <t>30.6</t>
  </si>
  <si>
    <t>36.2</t>
  </si>
  <si>
    <t>55469-36-36</t>
  </si>
  <si>
    <t>G3240-FS</t>
  </si>
  <si>
    <t>68.6</t>
  </si>
  <si>
    <t>13.8</t>
  </si>
  <si>
    <t>30.1</t>
  </si>
  <si>
    <t>39.3</t>
  </si>
  <si>
    <t>5.56</t>
  </si>
  <si>
    <t>23.4</t>
  </si>
  <si>
    <t>Sorbent Materials</t>
  </si>
  <si>
    <t>Abbreviation</t>
  </si>
  <si>
    <t>Final Sieved Amount Needed (mg)</t>
  </si>
  <si>
    <t>Starting Pre-Sieve Amount Needed (mg)</t>
  </si>
  <si>
    <t>LRB #</t>
  </si>
  <si>
    <t>LRB Page #</t>
  </si>
  <si>
    <t>Sample #</t>
  </si>
  <si>
    <t>Sample Label</t>
  </si>
  <si>
    <t>Replicate</t>
  </si>
  <si>
    <r>
      <rPr>
        <b/>
        <u/>
        <sz val="11"/>
        <color theme="1"/>
        <rFont val="Calibri"/>
        <family val="2"/>
        <scheme val="minor"/>
      </rPr>
      <t>Sample Description</t>
    </r>
    <r>
      <rPr>
        <b/>
        <sz val="11"/>
        <color theme="1"/>
        <rFont val="Calibri"/>
        <family val="2"/>
        <scheme val="minor"/>
      </rPr>
      <t xml:space="preserve">
(Left Justified = Isotherm Study,                      -  
-                      Right Justified = Kinetics Study,
Center Justified = Both Studies,
</t>
    </r>
    <r>
      <rPr>
        <b/>
        <i/>
        <sz val="11"/>
        <color theme="1"/>
        <rFont val="Calibri"/>
        <family val="2"/>
        <scheme val="minor"/>
      </rPr>
      <t>Italics</t>
    </r>
    <r>
      <rPr>
        <b/>
        <sz val="11"/>
        <color theme="1"/>
        <rFont val="Calibri"/>
        <family val="2"/>
        <scheme val="minor"/>
      </rPr>
      <t xml:space="preserve"> = pH Samples)                                          -</t>
    </r>
  </si>
  <si>
    <t>Sorbent Mass Needed (mg)</t>
  </si>
  <si>
    <t>Gerbs Hemp Seed Meal</t>
  </si>
  <si>
    <t>HSM</t>
  </si>
  <si>
    <t>Day0-A</t>
  </si>
  <si>
    <t>Check the pH of the 0.01M NaCl solution when prepared</t>
  </si>
  <si>
    <t>uL</t>
  </si>
  <si>
    <t>per sample tube</t>
  </si>
  <si>
    <t>Espoma Blood Meal</t>
  </si>
  <si>
    <t>BM1</t>
  </si>
  <si>
    <t>Day0-B</t>
  </si>
  <si>
    <t>samples</t>
  </si>
  <si>
    <t>Slaughterhouse Waste</t>
  </si>
  <si>
    <t>SHW</t>
  </si>
  <si>
    <t>Day0-C</t>
  </si>
  <si>
    <t>total volume needed</t>
  </si>
  <si>
    <t>Gerbs Hemp Seed Meal + Espoma Blood Meal (1:1)</t>
  </si>
  <si>
    <t>HSM+BM1(1:1)</t>
  </si>
  <si>
    <t>mL</t>
  </si>
  <si>
    <t>of PFAS stocks needed</t>
  </si>
  <si>
    <t>Granular Activated Carbon</t>
  </si>
  <si>
    <t>GAC</t>
  </si>
  <si>
    <t>* Will make 6 stocks at 10 mL each to cover all concentrations</t>
  </si>
  <si>
    <t>Ottawa Sand</t>
  </si>
  <si>
    <t>OTS</t>
  </si>
  <si>
    <t>Note: Day0 samples may be shipped for analysis immediately after study or stored in cold storage.</t>
  </si>
  <si>
    <t>Sorbent Target Masses</t>
  </si>
  <si>
    <t>S</t>
  </si>
  <si>
    <t>mg</t>
  </si>
  <si>
    <t>Day20-A</t>
  </si>
  <si>
    <t>PFAS Concentrations</t>
  </si>
  <si>
    <t>P</t>
  </si>
  <si>
    <t>Number of Samples</t>
  </si>
  <si>
    <r>
      <t>Stock Volume Needed (m</t>
    </r>
    <r>
      <rPr>
        <b/>
        <sz val="9.9"/>
        <color theme="1"/>
        <rFont val="Calibri"/>
        <family val="2"/>
      </rPr>
      <t>L)</t>
    </r>
    <r>
      <rPr>
        <b/>
        <sz val="11"/>
        <color theme="1"/>
        <rFont val="Calibri"/>
        <family val="2"/>
        <scheme val="minor"/>
      </rPr>
      <t>*</t>
    </r>
  </si>
  <si>
    <t>Day20-B</t>
  </si>
  <si>
    <t>µg/L</t>
  </si>
  <si>
    <t>Day20-C</t>
  </si>
  <si>
    <t>*Will make 10 mL stock for each conc. as done previously.</t>
  </si>
  <si>
    <t>pHs to Test</t>
  </si>
  <si>
    <t>H</t>
  </si>
  <si>
    <t>N/A</t>
  </si>
  <si>
    <t>pH</t>
  </si>
  <si>
    <t>Color Code:</t>
  </si>
  <si>
    <t>Negative Controls</t>
  </si>
  <si>
    <t>Positive Controls</t>
  </si>
  <si>
    <t>Hemp Seed Meal + Blood Meal Sorbent Mix</t>
  </si>
  <si>
    <t>Day1-A</t>
  </si>
  <si>
    <t>Day1-B</t>
  </si>
  <si>
    <t>Day1-C</t>
  </si>
  <si>
    <t>Day5-A</t>
  </si>
  <si>
    <t>Day5-B</t>
  </si>
  <si>
    <t>Day5-C</t>
  </si>
  <si>
    <t>Day10-A</t>
  </si>
  <si>
    <t>Day10-B</t>
  </si>
  <si>
    <t>Day10-C</t>
  </si>
  <si>
    <t>Samples for pH testing over course of study period</t>
  </si>
  <si>
    <t>pH-A</t>
  </si>
  <si>
    <t>Day 0,1,5,10,20</t>
  </si>
  <si>
    <t>pH-B</t>
  </si>
  <si>
    <t>pH-C</t>
  </si>
  <si>
    <t>55469-36-157</t>
  </si>
  <si>
    <t>55469-36-158</t>
  </si>
  <si>
    <t>55469-36-159</t>
  </si>
  <si>
    <t>Kinetic (K), Isotherm (A), Both (B)</t>
  </si>
  <si>
    <t>A</t>
  </si>
  <si>
    <t>K</t>
  </si>
  <si>
    <t>Exp Type</t>
  </si>
  <si>
    <t>Full Sample ID</t>
  </si>
  <si>
    <t>Sorbent mass (mg)</t>
  </si>
  <si>
    <t>Nominad PFAS Conc.</t>
  </si>
  <si>
    <t>-</t>
  </si>
  <si>
    <t>Analyte</t>
  </si>
  <si>
    <t>Sorbent type</t>
  </si>
  <si>
    <t>Time (days)</t>
  </si>
  <si>
    <t>PFAS-S0-P10-Day20-A</t>
  </si>
  <si>
    <t>PFAS-S0-P10-Day20-B</t>
  </si>
  <si>
    <t>PFAS-S0-P10-Day20-C</t>
  </si>
  <si>
    <t>PFAS-S0-P50-Day20-A</t>
  </si>
  <si>
    <t>PFAS-S0-P50-Day20-B</t>
  </si>
  <si>
    <t>PFAS-S0-P50-Day20-C</t>
  </si>
  <si>
    <t>PFAS-S0-P500-Day20-A</t>
  </si>
  <si>
    <t>PFAS-S0-P500-Day20-B</t>
  </si>
  <si>
    <t>PFAS-S0-P500-Day20-C</t>
  </si>
  <si>
    <t>55469-36-37</t>
  </si>
  <si>
    <t>G3241-FS</t>
  </si>
  <si>
    <t>11900</t>
  </si>
  <si>
    <t>6080</t>
  </si>
  <si>
    <t>4940</t>
  </si>
  <si>
    <t>17000</t>
  </si>
  <si>
    <t>3300</t>
  </si>
  <si>
    <t>3810</t>
  </si>
  <si>
    <t>G3242-FS</t>
  </si>
  <si>
    <t>12000</t>
  </si>
  <si>
    <t>6210</t>
  </si>
  <si>
    <t>5580</t>
  </si>
  <si>
    <t>17400</t>
  </si>
  <si>
    <t>5230</t>
  </si>
  <si>
    <t>6330</t>
  </si>
  <si>
    <t>55469-36-38</t>
  </si>
  <si>
    <t>55469-36-39</t>
  </si>
  <si>
    <t>G3243-FS</t>
  </si>
  <si>
    <t>12700</t>
  </si>
  <si>
    <t>5010</t>
  </si>
  <si>
    <t>3460</t>
  </si>
  <si>
    <t>16200</t>
  </si>
  <si>
    <t>2560</t>
  </si>
  <si>
    <t>4120</t>
  </si>
  <si>
    <t>55469-36-40</t>
  </si>
  <si>
    <t>G3244-FS</t>
  </si>
  <si>
    <t>40600</t>
  </si>
  <si>
    <t>22700</t>
  </si>
  <si>
    <t>16100</t>
  </si>
  <si>
    <t>50400</t>
  </si>
  <si>
    <t>10000</t>
  </si>
  <si>
    <t>10800</t>
  </si>
  <si>
    <t>55469-36-41</t>
  </si>
  <si>
    <t>G3245-FS</t>
  </si>
  <si>
    <t>41800</t>
  </si>
  <si>
    <t>25200</t>
  </si>
  <si>
    <t>17100</t>
  </si>
  <si>
    <t>50800</t>
  </si>
  <si>
    <t>19500</t>
  </si>
  <si>
    <t>18700</t>
  </si>
  <si>
    <t>55469-36-42</t>
  </si>
  <si>
    <t>G3246-FS</t>
  </si>
  <si>
    <t>26400</t>
  </si>
  <si>
    <t>19900</t>
  </si>
  <si>
    <t>60900</t>
  </si>
  <si>
    <t>14100</t>
  </si>
  <si>
    <t>16800</t>
  </si>
  <si>
    <t>55469-36-55</t>
  </si>
  <si>
    <t>G3247-FS</t>
  </si>
  <si>
    <t>99400</t>
  </si>
  <si>
    <t>42500</t>
  </si>
  <si>
    <t>38900</t>
  </si>
  <si>
    <t>120000</t>
  </si>
  <si>
    <t>35500</t>
  </si>
  <si>
    <t>34900</t>
  </si>
  <si>
    <t>55469-36-56</t>
  </si>
  <si>
    <t>G3248-FS</t>
  </si>
  <si>
    <t>111000</t>
  </si>
  <si>
    <t>58300</t>
  </si>
  <si>
    <t>33900</t>
  </si>
  <si>
    <t>146000</t>
  </si>
  <si>
    <t>29700</t>
  </si>
  <si>
    <t>55469-36-57</t>
  </si>
  <si>
    <t>G3249-FS</t>
  </si>
  <si>
    <t>9910</t>
  </si>
  <si>
    <t>4360</t>
  </si>
  <si>
    <t>3540</t>
  </si>
  <si>
    <t>11800</t>
  </si>
  <si>
    <t>2680</t>
  </si>
  <si>
    <t>2830</t>
  </si>
  <si>
    <t>55469-36-58</t>
  </si>
  <si>
    <t>G3250-FS</t>
  </si>
  <si>
    <t>535000</t>
  </si>
  <si>
    <t>292000</t>
  </si>
  <si>
    <t>187000</t>
  </si>
  <si>
    <t>600000</t>
  </si>
  <si>
    <t>129000</t>
  </si>
  <si>
    <t>147000</t>
  </si>
  <si>
    <t>55469-36-59</t>
  </si>
  <si>
    <t>G3251-FS</t>
  </si>
  <si>
    <t>620000</t>
  </si>
  <si>
    <t>279000</t>
  </si>
  <si>
    <t>234000</t>
  </si>
  <si>
    <t>676000</t>
  </si>
  <si>
    <t>162000</t>
  </si>
  <si>
    <t>163000</t>
  </si>
  <si>
    <t>55469-36-60</t>
  </si>
  <si>
    <t>G3252-FS</t>
  </si>
  <si>
    <t>575000</t>
  </si>
  <si>
    <t>252000</t>
  </si>
  <si>
    <t>232000</t>
  </si>
  <si>
    <t>716000</t>
  </si>
  <si>
    <t>173000</t>
  </si>
  <si>
    <t>161000</t>
  </si>
  <si>
    <t>55469-36-64</t>
  </si>
  <si>
    <t>G3253-FS</t>
  </si>
  <si>
    <t>106</t>
  </si>
  <si>
    <t>20.3</t>
  </si>
  <si>
    <t>12.6</t>
  </si>
  <si>
    <t>36.8</t>
  </si>
  <si>
    <t>3.79</t>
  </si>
  <si>
    <t>24.7</t>
  </si>
  <si>
    <t>55469-36-65</t>
  </si>
  <si>
    <t>G3254-FS</t>
  </si>
  <si>
    <t>62.5</t>
  </si>
  <si>
    <t>11.6</t>
  </si>
  <si>
    <t>11.5</t>
  </si>
  <si>
    <t>40.1</t>
  </si>
  <si>
    <t>4.12</t>
  </si>
  <si>
    <t>16.1</t>
  </si>
  <si>
    <t>55469-36-66</t>
  </si>
  <si>
    <t>G3255-FS</t>
  </si>
  <si>
    <t>60.8</t>
  </si>
  <si>
    <t>7.78</t>
  </si>
  <si>
    <t>8.68</t>
  </si>
  <si>
    <t>34.8</t>
  </si>
  <si>
    <t>2.76</t>
  </si>
  <si>
    <t>15.0</t>
  </si>
  <si>
    <t>55469-36-67</t>
  </si>
  <si>
    <t>G3256-FS</t>
  </si>
  <si>
    <t>1490</t>
  </si>
  <si>
    <t>932</t>
  </si>
  <si>
    <t>905</t>
  </si>
  <si>
    <t>1140</t>
  </si>
  <si>
    <t>55469-36-68</t>
  </si>
  <si>
    <t>G3257-FS</t>
  </si>
  <si>
    <t>12400</t>
  </si>
  <si>
    <t>2980</t>
  </si>
  <si>
    <t>2200</t>
  </si>
  <si>
    <t>14200</t>
  </si>
  <si>
    <t>1780</t>
  </si>
  <si>
    <t>1840</t>
  </si>
  <si>
    <t>55469-36-69</t>
  </si>
  <si>
    <t>G3258-FS</t>
  </si>
  <si>
    <t>9980</t>
  </si>
  <si>
    <t>2340</t>
  </si>
  <si>
    <t>1510</t>
  </si>
  <si>
    <t>13200</t>
  </si>
  <si>
    <t>1250</t>
  </si>
  <si>
    <t>1920</t>
  </si>
  <si>
    <t>55469-36-70</t>
  </si>
  <si>
    <t>G3259-FS</t>
  </si>
  <si>
    <t>7090</t>
  </si>
  <si>
    <t>4340</t>
  </si>
  <si>
    <t>4060</t>
  </si>
  <si>
    <t>6910</t>
  </si>
  <si>
    <t>55469-36-71</t>
  </si>
  <si>
    <t>G3260-FS</t>
  </si>
  <si>
    <t>39300</t>
  </si>
  <si>
    <t>9970</t>
  </si>
  <si>
    <t>5900</t>
  </si>
  <si>
    <t>48900</t>
  </si>
  <si>
    <t>5920</t>
  </si>
  <si>
    <t>5030</t>
  </si>
  <si>
    <t>55469-36-72</t>
  </si>
  <si>
    <t>G3261-FS</t>
  </si>
  <si>
    <t>40500</t>
  </si>
  <si>
    <t>9600</t>
  </si>
  <si>
    <t>7150</t>
  </si>
  <si>
    <t>54400</t>
  </si>
  <si>
    <t>6400</t>
  </si>
  <si>
    <t>8820</t>
  </si>
  <si>
    <t>55469-36-85</t>
  </si>
  <si>
    <t>G3262-FS</t>
  </si>
  <si>
    <t>81300</t>
  </si>
  <si>
    <t>20500</t>
  </si>
  <si>
    <t>14600</t>
  </si>
  <si>
    <t>108000</t>
  </si>
  <si>
    <t>10900</t>
  </si>
  <si>
    <t>11200</t>
  </si>
  <si>
    <t>55469-36-86</t>
  </si>
  <si>
    <t>G3263-FS</t>
  </si>
  <si>
    <t>88300</t>
  </si>
  <si>
    <t>20400</t>
  </si>
  <si>
    <t>9030</t>
  </si>
  <si>
    <t>101000</t>
  </si>
  <si>
    <t>8510</t>
  </si>
  <si>
    <t>11400</t>
  </si>
  <si>
    <t>55469-36-87</t>
  </si>
  <si>
    <t>G3264-FS</t>
  </si>
  <si>
    <t>67400</t>
  </si>
  <si>
    <t>15900</t>
  </si>
  <si>
    <t>10200</t>
  </si>
  <si>
    <t>95100</t>
  </si>
  <si>
    <t>9230</t>
  </si>
  <si>
    <t>55469-36-88</t>
  </si>
  <si>
    <t>G3265-FS</t>
  </si>
  <si>
    <t>349000</t>
  </si>
  <si>
    <t>103000</t>
  </si>
  <si>
    <t>49900</t>
  </si>
  <si>
    <t>498000</t>
  </si>
  <si>
    <t>50300</t>
  </si>
  <si>
    <t>62200</t>
  </si>
  <si>
    <t>55469-36-89</t>
  </si>
  <si>
    <t>G3266-FS</t>
  </si>
  <si>
    <t>493000</t>
  </si>
  <si>
    <t>99000</t>
  </si>
  <si>
    <t>660000</t>
  </si>
  <si>
    <t>78200</t>
  </si>
  <si>
    <t>68300</t>
  </si>
  <si>
    <t>55469-36-90</t>
  </si>
  <si>
    <t>G3267-FS</t>
  </si>
  <si>
    <t>439000</t>
  </si>
  <si>
    <t>107000</t>
  </si>
  <si>
    <t>597000</t>
  </si>
  <si>
    <t>49800</t>
  </si>
  <si>
    <t>49600</t>
  </si>
  <si>
    <t>55469-36-94</t>
  </si>
  <si>
    <t>G3268-FS</t>
  </si>
  <si>
    <t>61.5</t>
  </si>
  <si>
    <t>23.1</t>
  </si>
  <si>
    <t>80.3</t>
  </si>
  <si>
    <t>64.5</t>
  </si>
  <si>
    <t>25.4</t>
  </si>
  <si>
    <t>55469-36-95</t>
  </si>
  <si>
    <t>G3269-FS</t>
  </si>
  <si>
    <t>210</t>
  </si>
  <si>
    <t>50.2</t>
  </si>
  <si>
    <t>53.4</t>
  </si>
  <si>
    <t>231</t>
  </si>
  <si>
    <t>22.0</t>
  </si>
  <si>
    <t>31.0</t>
  </si>
  <si>
    <t>55469-36-96</t>
  </si>
  <si>
    <t>G3270-FS</t>
  </si>
  <si>
    <t>50.5</t>
  </si>
  <si>
    <t>104</t>
  </si>
  <si>
    <t>89.4</t>
  </si>
  <si>
    <t>25.3</t>
  </si>
  <si>
    <t>33.7</t>
  </si>
  <si>
    <t>55469-36-97</t>
  </si>
  <si>
    <t>G3271-FS</t>
  </si>
  <si>
    <t>9900</t>
  </si>
  <si>
    <t>5330</t>
  </si>
  <si>
    <t>4870</t>
  </si>
  <si>
    <t>14400</t>
  </si>
  <si>
    <t>3730</t>
  </si>
  <si>
    <t>3520</t>
  </si>
  <si>
    <t>55469-36-98</t>
  </si>
  <si>
    <t>G3272-FS</t>
  </si>
  <si>
    <t>11700</t>
  </si>
  <si>
    <t>4930</t>
  </si>
  <si>
    <t>4180</t>
  </si>
  <si>
    <t>15700</t>
  </si>
  <si>
    <t>4390</t>
  </si>
  <si>
    <t>3440</t>
  </si>
  <si>
    <t>55469-36-99</t>
  </si>
  <si>
    <t>G3273-FS</t>
  </si>
  <si>
    <t>12300</t>
  </si>
  <si>
    <t>6360</t>
  </si>
  <si>
    <t>5460</t>
  </si>
  <si>
    <t>18400</t>
  </si>
  <si>
    <t>4970</t>
  </si>
  <si>
    <t>4620</t>
  </si>
  <si>
    <t>55469-36-100</t>
  </si>
  <si>
    <t>G3274-FS</t>
  </si>
  <si>
    <t>26000</t>
  </si>
  <si>
    <t>20000</t>
  </si>
  <si>
    <t>67500</t>
  </si>
  <si>
    <t>16500</t>
  </si>
  <si>
    <t>55469-36-101</t>
  </si>
  <si>
    <t>G3275-FS</t>
  </si>
  <si>
    <t>69700</t>
  </si>
  <si>
    <t>31300</t>
  </si>
  <si>
    <t>27500</t>
  </si>
  <si>
    <t>71600</t>
  </si>
  <si>
    <t>23000</t>
  </si>
  <si>
    <t>55469-36-102</t>
  </si>
  <si>
    <t>G3276-FS</t>
  </si>
  <si>
    <t>48000</t>
  </si>
  <si>
    <t>22600</t>
  </si>
  <si>
    <t>19200</t>
  </si>
  <si>
    <t>55300</t>
  </si>
  <si>
    <t>21000</t>
  </si>
  <si>
    <t>55469-37-115</t>
  </si>
  <si>
    <t>G3277-FS</t>
  </si>
  <si>
    <t>140000</t>
  </si>
  <si>
    <t>64200</t>
  </si>
  <si>
    <t>189000</t>
  </si>
  <si>
    <t>43200</t>
  </si>
  <si>
    <t>39700</t>
  </si>
  <si>
    <t>G3278-FS</t>
  </si>
  <si>
    <t>55469-37-116</t>
  </si>
  <si>
    <t>106000</t>
  </si>
  <si>
    <t>136000</t>
  </si>
  <si>
    <t>36100</t>
  </si>
  <si>
    <t>55469-37-117</t>
  </si>
  <si>
    <t>G3279-FS</t>
  </si>
  <si>
    <t>134000</t>
  </si>
  <si>
    <t>61900</t>
  </si>
  <si>
    <t>41400</t>
  </si>
  <si>
    <t>137000</t>
  </si>
  <si>
    <t>40700</t>
  </si>
  <si>
    <t>32900</t>
  </si>
  <si>
    <t>55469-37-118</t>
  </si>
  <si>
    <t>G3280-FS</t>
  </si>
  <si>
    <t>673000</t>
  </si>
  <si>
    <t>285000</t>
  </si>
  <si>
    <t>818000</t>
  </si>
  <si>
    <t>211000</t>
  </si>
  <si>
    <t>186000</t>
  </si>
  <si>
    <t>55469-37-119</t>
  </si>
  <si>
    <t>G3281-FS</t>
  </si>
  <si>
    <t>633000</t>
  </si>
  <si>
    <t>376000</t>
  </si>
  <si>
    <t>943000</t>
  </si>
  <si>
    <t>269000</t>
  </si>
  <si>
    <t>55469-37-120</t>
  </si>
  <si>
    <t>G3282-FS</t>
  </si>
  <si>
    <t>863000</t>
  </si>
  <si>
    <t>374000</t>
  </si>
  <si>
    <t>413000</t>
  </si>
  <si>
    <t>897000</t>
  </si>
  <si>
    <t>271000</t>
  </si>
  <si>
    <t>148000</t>
  </si>
  <si>
    <t>55469-37-124</t>
  </si>
  <si>
    <t>G3283-FS</t>
  </si>
  <si>
    <t>38.8</t>
  </si>
  <si>
    <t>18.2</t>
  </si>
  <si>
    <t>26.7</t>
  </si>
  <si>
    <t>38.3</t>
  </si>
  <si>
    <t>10.7</t>
  </si>
  <si>
    <t>11.8</t>
  </si>
  <si>
    <t>55469-37-125</t>
  </si>
  <si>
    <t>G3284-FS</t>
  </si>
  <si>
    <t>30.7</t>
  </si>
  <si>
    <t>13.3</t>
  </si>
  <si>
    <t>26.5</t>
  </si>
  <si>
    <t>34.7</t>
  </si>
  <si>
    <t>85.7</t>
  </si>
  <si>
    <t>13.4</t>
  </si>
  <si>
    <t>55469-37-126</t>
  </si>
  <si>
    <t>G3285-FS</t>
  </si>
  <si>
    <t>32.9</t>
  </si>
  <si>
    <t>14.3</t>
  </si>
  <si>
    <t>40.0</t>
  </si>
  <si>
    <t>16.2</t>
  </si>
  <si>
    <t>55469-37-127</t>
  </si>
  <si>
    <t>G3286-FS</t>
  </si>
  <si>
    <t>14300</t>
  </si>
  <si>
    <t>5480</t>
  </si>
  <si>
    <t>2900</t>
  </si>
  <si>
    <t>1860</t>
  </si>
  <si>
    <t>2090</t>
  </si>
  <si>
    <t>55469-37-128</t>
  </si>
  <si>
    <t>G3287-FS</t>
  </si>
  <si>
    <t>18500</t>
  </si>
  <si>
    <t>9050</t>
  </si>
  <si>
    <t>24600</t>
  </si>
  <si>
    <t>3240</t>
  </si>
  <si>
    <t>2490</t>
  </si>
  <si>
    <t>55469-37-129</t>
  </si>
  <si>
    <t>G3288-FS</t>
  </si>
  <si>
    <t>13300</t>
  </si>
  <si>
    <t>21600</t>
  </si>
  <si>
    <t>3570</t>
  </si>
  <si>
    <t>3160</t>
  </si>
  <si>
    <t>55469-37-130</t>
  </si>
  <si>
    <t>G3289-FS</t>
  </si>
  <si>
    <t>26700</t>
  </si>
  <si>
    <t>76800</t>
  </si>
  <si>
    <t>55469-37-131</t>
  </si>
  <si>
    <t>G3290-FS</t>
  </si>
  <si>
    <t>55600</t>
  </si>
  <si>
    <t>23200</t>
  </si>
  <si>
    <t>76300</t>
  </si>
  <si>
    <t>55469-37-132</t>
  </si>
  <si>
    <t>G3291-FS</t>
  </si>
  <si>
    <t>65000</t>
  </si>
  <si>
    <t>26600</t>
  </si>
  <si>
    <t>17200</t>
  </si>
  <si>
    <t>69600</t>
  </si>
  <si>
    <t>11300</t>
  </si>
  <si>
    <t>55469-37-145</t>
  </si>
  <si>
    <t>G3292-FS</t>
  </si>
  <si>
    <t>149000</t>
  </si>
  <si>
    <t>60400</t>
  </si>
  <si>
    <t>35000</t>
  </si>
  <si>
    <t>188000</t>
  </si>
  <si>
    <t>20200</t>
  </si>
  <si>
    <t>25700</t>
  </si>
  <si>
    <t>55469-37-146</t>
  </si>
  <si>
    <t>G3293-FS</t>
  </si>
  <si>
    <t>145000</t>
  </si>
  <si>
    <t>35600</t>
  </si>
  <si>
    <t>191000</t>
  </si>
  <si>
    <t>31500</t>
  </si>
  <si>
    <t>37400</t>
  </si>
  <si>
    <t>55469-37-147</t>
  </si>
  <si>
    <t>G3294-FS</t>
  </si>
  <si>
    <t>99800</t>
  </si>
  <si>
    <t>52000</t>
  </si>
  <si>
    <t>325000</t>
  </si>
  <si>
    <t>44700</t>
  </si>
  <si>
    <t>66100</t>
  </si>
  <si>
    <t>G3295-FS</t>
  </si>
  <si>
    <t>55469-37-148</t>
  </si>
  <si>
    <t>882000</t>
  </si>
  <si>
    <t>217000</t>
  </si>
  <si>
    <t>1140000</t>
  </si>
  <si>
    <t>182000</t>
  </si>
  <si>
    <t>227000</t>
  </si>
  <si>
    <t>55469-37-149</t>
  </si>
  <si>
    <t>G3296-FS</t>
  </si>
  <si>
    <t>1170000</t>
  </si>
  <si>
    <t>406000</t>
  </si>
  <si>
    <t>1470000</t>
  </si>
  <si>
    <t>264000</t>
  </si>
  <si>
    <t>55469-37-150</t>
  </si>
  <si>
    <t>G3297-FS</t>
  </si>
  <si>
    <t>369000</t>
  </si>
  <si>
    <t>206000</t>
  </si>
  <si>
    <t>1150000</t>
  </si>
  <si>
    <t>169000</t>
  </si>
  <si>
    <t>224000</t>
  </si>
  <si>
    <t>55469-37-154</t>
  </si>
  <si>
    <t>G3298-FS</t>
  </si>
  <si>
    <t>3.88</t>
  </si>
  <si>
    <t>2.22</t>
  </si>
  <si>
    <t>11.4</t>
  </si>
  <si>
    <t>55469-37-155</t>
  </si>
  <si>
    <t>G3299-FS</t>
  </si>
  <si>
    <t>5.91</t>
  </si>
  <si>
    <t>3.38</t>
  </si>
  <si>
    <t>2.93</t>
  </si>
  <si>
    <t>13.6</t>
  </si>
  <si>
    <t>9.74</t>
  </si>
  <si>
    <t>11.1</t>
  </si>
  <si>
    <t>55469-37-156</t>
  </si>
  <si>
    <t>G3300-FS</t>
  </si>
  <si>
    <t>33.6</t>
  </si>
  <si>
    <t>41.9</t>
  </si>
  <si>
    <t>78.1</t>
  </si>
  <si>
    <t>10.6</t>
  </si>
  <si>
    <t>20.5</t>
  </si>
  <si>
    <t>55469-37-157</t>
  </si>
  <si>
    <t>G3301-FS</t>
  </si>
  <si>
    <t>2050</t>
  </si>
  <si>
    <t>1530</t>
  </si>
  <si>
    <t>1580</t>
  </si>
  <si>
    <t>1460</t>
  </si>
  <si>
    <t>1810</t>
  </si>
  <si>
    <t>2440</t>
  </si>
  <si>
    <t>55469-37-158</t>
  </si>
  <si>
    <t>G3302-FS</t>
  </si>
  <si>
    <t>1910</t>
  </si>
  <si>
    <t>1360</t>
  </si>
  <si>
    <t>1450</t>
  </si>
  <si>
    <t>1600</t>
  </si>
  <si>
    <t>2030</t>
  </si>
  <si>
    <t>55469-37-159</t>
  </si>
  <si>
    <t>G3303-FS</t>
  </si>
  <si>
    <t>2110</t>
  </si>
  <si>
    <t>1700</t>
  </si>
  <si>
    <t>1730</t>
  </si>
  <si>
    <t>1760</t>
  </si>
  <si>
    <t>2010</t>
  </si>
  <si>
    <t>55469-37-160</t>
  </si>
  <si>
    <t>G3304-FS</t>
  </si>
  <si>
    <t>4640</t>
  </si>
  <si>
    <t>4480</t>
  </si>
  <si>
    <t>4420</t>
  </si>
  <si>
    <t>2930</t>
  </si>
  <si>
    <t>4370</t>
  </si>
  <si>
    <t>6060</t>
  </si>
  <si>
    <t>55469-37-161</t>
  </si>
  <si>
    <t>G3305-FS</t>
  </si>
  <si>
    <t>4520</t>
  </si>
  <si>
    <t>4400</t>
  </si>
  <si>
    <t>4200</t>
  </si>
  <si>
    <t>7270</t>
  </si>
  <si>
    <t>55469-37-162</t>
  </si>
  <si>
    <t>G3306-FS</t>
  </si>
  <si>
    <t>4830</t>
  </si>
  <si>
    <t>4670</t>
  </si>
  <si>
    <t>3130</t>
  </si>
  <si>
    <t>4960</t>
  </si>
  <si>
    <t>6430</t>
  </si>
  <si>
    <t>55469-37-175</t>
  </si>
  <si>
    <t>G3307-FS</t>
  </si>
  <si>
    <t>12100</t>
  </si>
  <si>
    <t>9450</t>
  </si>
  <si>
    <t>16300</t>
  </si>
  <si>
    <t>55469-37-176</t>
  </si>
  <si>
    <t>G3308-FS</t>
  </si>
  <si>
    <t>15800</t>
  </si>
  <si>
    <t>10700</t>
  </si>
  <si>
    <t>22900</t>
  </si>
  <si>
    <t>55469-37-177</t>
  </si>
  <si>
    <t>G3309-FS</t>
  </si>
  <si>
    <t>11000</t>
  </si>
  <si>
    <t>8300</t>
  </si>
  <si>
    <t>6550</t>
  </si>
  <si>
    <t>10600</t>
  </si>
  <si>
    <t>55469-37-178</t>
  </si>
  <si>
    <t>G3310-FS</t>
  </si>
  <si>
    <t>79300</t>
  </si>
  <si>
    <t>64100</t>
  </si>
  <si>
    <t>65600</t>
  </si>
  <si>
    <t>48700</t>
  </si>
  <si>
    <t>84600</t>
  </si>
  <si>
    <t>86600</t>
  </si>
  <si>
    <t>55469-37-179</t>
  </si>
  <si>
    <t>G3311-FS</t>
  </si>
  <si>
    <t>74600</t>
  </si>
  <si>
    <t>73500</t>
  </si>
  <si>
    <t>80200</t>
  </si>
  <si>
    <t>59400</t>
  </si>
  <si>
    <t>91300</t>
  </si>
  <si>
    <t>84500</t>
  </si>
  <si>
    <t>55469-37-180</t>
  </si>
  <si>
    <t>G3312-FS</t>
  </si>
  <si>
    <t>72900</t>
  </si>
  <si>
    <t>70800</t>
  </si>
  <si>
    <t>68000</t>
  </si>
  <si>
    <t>44200</t>
  </si>
  <si>
    <t>72000</t>
  </si>
  <si>
    <t>117000</t>
  </si>
  <si>
    <t>55469-37-184</t>
  </si>
  <si>
    <t>G3313-FS</t>
  </si>
  <si>
    <t>21.2</t>
  </si>
  <si>
    <t>8.19</t>
  </si>
  <si>
    <t>10.9</t>
  </si>
  <si>
    <t>20.7</t>
  </si>
  <si>
    <t>17.4</t>
  </si>
  <si>
    <t>55469-37-185</t>
  </si>
  <si>
    <t>G3314-FS</t>
  </si>
  <si>
    <t>5.79</t>
  </si>
  <si>
    <t>14.4</t>
  </si>
  <si>
    <t>17.0</t>
  </si>
  <si>
    <t>4.79</t>
  </si>
  <si>
    <t>7.02</t>
  </si>
  <si>
    <t>55469-37-186</t>
  </si>
  <si>
    <t>G3315-FS</t>
  </si>
  <si>
    <t>5.83</t>
  </si>
  <si>
    <t>12.7</t>
  </si>
  <si>
    <t>13.1</t>
  </si>
  <si>
    <t>13.9</t>
  </si>
  <si>
    <t>3.49</t>
  </si>
  <si>
    <t>55469-37-187</t>
  </si>
  <si>
    <t>G3316-FS</t>
  </si>
  <si>
    <t>9260</t>
  </si>
  <si>
    <t>7300</t>
  </si>
  <si>
    <t>25000</t>
  </si>
  <si>
    <t>9870</t>
  </si>
  <si>
    <t>8150</t>
  </si>
  <si>
    <t>55469-37-188</t>
  </si>
  <si>
    <t>G3317-FS</t>
  </si>
  <si>
    <t>21300</t>
  </si>
  <si>
    <t>32100</t>
  </si>
  <si>
    <t>12900</t>
  </si>
  <si>
    <t>11100</t>
  </si>
  <si>
    <t>55469-37-189</t>
  </si>
  <si>
    <t>G3318-FS</t>
  </si>
  <si>
    <t>8600</t>
  </si>
  <si>
    <t>6810</t>
  </si>
  <si>
    <t>8680</t>
  </si>
  <si>
    <t>7690</t>
  </si>
  <si>
    <t>55469-37-190</t>
  </si>
  <si>
    <t>G3319-FS</t>
  </si>
  <si>
    <t>64300</t>
  </si>
  <si>
    <t>36000</t>
  </si>
  <si>
    <t>27100</t>
  </si>
  <si>
    <t>75900</t>
  </si>
  <si>
    <t>43500</t>
  </si>
  <si>
    <t>55469-37-191</t>
  </si>
  <si>
    <t>G3320-FS</t>
  </si>
  <si>
    <t>59100</t>
  </si>
  <si>
    <t>33600</t>
  </si>
  <si>
    <t>27400</t>
  </si>
  <si>
    <t>73100</t>
  </si>
  <si>
    <t>31600</t>
  </si>
  <si>
    <t>30800</t>
  </si>
  <si>
    <t>55469-37-192</t>
  </si>
  <si>
    <t>G3321-FS</t>
  </si>
  <si>
    <t>53600</t>
  </si>
  <si>
    <t>25800</t>
  </si>
  <si>
    <t>78900</t>
  </si>
  <si>
    <t>29600</t>
  </si>
  <si>
    <t>32300</t>
  </si>
  <si>
    <t>55469-19-205</t>
  </si>
  <si>
    <t>G3322-FS</t>
  </si>
  <si>
    <t>72700</t>
  </si>
  <si>
    <t>165000</t>
  </si>
  <si>
    <t>79000</t>
  </si>
  <si>
    <t>86200</t>
  </si>
  <si>
    <t>55469-19-206</t>
  </si>
  <si>
    <t>G3323-FS</t>
  </si>
  <si>
    <t>77000</t>
  </si>
  <si>
    <t>58100</t>
  </si>
  <si>
    <t>143000</t>
  </si>
  <si>
    <t>118000</t>
  </si>
  <si>
    <t>55469-19-207</t>
  </si>
  <si>
    <t>G3324-FS</t>
  </si>
  <si>
    <t>80100</t>
  </si>
  <si>
    <t>67200</t>
  </si>
  <si>
    <t>178000</t>
  </si>
  <si>
    <t>78400</t>
  </si>
  <si>
    <t>92100</t>
  </si>
  <si>
    <t>55469-19-208</t>
  </si>
  <si>
    <t>G3325-FS</t>
  </si>
  <si>
    <t>767000</t>
  </si>
  <si>
    <t>407000</t>
  </si>
  <si>
    <t>333000</t>
  </si>
  <si>
    <t>888000</t>
  </si>
  <si>
    <t>459000</t>
  </si>
  <si>
    <t>55469-19-209</t>
  </si>
  <si>
    <t>G3326-FS</t>
  </si>
  <si>
    <t>790000</t>
  </si>
  <si>
    <t>433000</t>
  </si>
  <si>
    <t>317000</t>
  </si>
  <si>
    <t>986000</t>
  </si>
  <si>
    <t>472000</t>
  </si>
  <si>
    <t>446000</t>
  </si>
  <si>
    <t>55469-19-210</t>
  </si>
  <si>
    <t>G3327-FS</t>
  </si>
  <si>
    <t>801000</t>
  </si>
  <si>
    <t>429000</t>
  </si>
  <si>
    <t>367000</t>
  </si>
  <si>
    <t>1160000</t>
  </si>
  <si>
    <t>464000</t>
  </si>
  <si>
    <t>480000</t>
  </si>
  <si>
    <t>Result with NDs set to 0 (ng/L)</t>
  </si>
  <si>
    <t>55469-37-205</t>
  </si>
  <si>
    <t>55469-36-115</t>
  </si>
  <si>
    <t>55469-36-116</t>
  </si>
  <si>
    <t>55469-36-117</t>
  </si>
  <si>
    <t>55469-36-118</t>
  </si>
  <si>
    <t>55469-36-119</t>
  </si>
  <si>
    <t>55469-36-120</t>
  </si>
  <si>
    <t>In the results table</t>
  </si>
  <si>
    <t>In the study plan</t>
  </si>
  <si>
    <t>55469-36-1</t>
  </si>
  <si>
    <t>BLANK-S0-P0-Day0-A</t>
  </si>
  <si>
    <t>55469-36-2</t>
  </si>
  <si>
    <t>BLANK-S0-P0-Day0-B</t>
  </si>
  <si>
    <t>55469-36-3</t>
  </si>
  <si>
    <t>BLANK-S0-P0-Day0-C</t>
  </si>
  <si>
    <t>55469-36-4</t>
  </si>
  <si>
    <t>PFAS-S0-P10-Day0-A</t>
  </si>
  <si>
    <t>55469-36-5</t>
  </si>
  <si>
    <t>PFAS-S0-P10-Day0-B</t>
  </si>
  <si>
    <t>55469-36-6</t>
  </si>
  <si>
    <t>PFAS-S0-P10-Day0-C</t>
  </si>
  <si>
    <t>55469-36-7</t>
  </si>
  <si>
    <t>PFAS-S0-P50-Day0-A</t>
  </si>
  <si>
    <t>55469-36-8</t>
  </si>
  <si>
    <t>PFAS-S0-P50-Day0-B</t>
  </si>
  <si>
    <t>55469-36-9</t>
  </si>
  <si>
    <t>PFAS-S0-P50-Day0-C</t>
  </si>
  <si>
    <t>55469-36-10</t>
  </si>
  <si>
    <t>PFAS-S0-P100-Day0-A</t>
  </si>
  <si>
    <t>55469-36-11</t>
  </si>
  <si>
    <t>PFAS-S0-P100-Day0-B</t>
  </si>
  <si>
    <t>55469-36-12</t>
  </si>
  <si>
    <t>PFAS-S0-P100-Day0-C</t>
  </si>
  <si>
    <t>55469-36-13</t>
  </si>
  <si>
    <t>PFAS-S0-P500-Day0-A</t>
  </si>
  <si>
    <t>55469-36-14</t>
  </si>
  <si>
    <t>PFAS-S0-P500-Day0-B</t>
  </si>
  <si>
    <t>55469-36-15</t>
  </si>
  <si>
    <t>PFAS-S0-P500-Day0-C</t>
  </si>
  <si>
    <t>BLANK-S0-P0-Day20-A</t>
  </si>
  <si>
    <t>BLANK-S0-P0-Day20-B</t>
  </si>
  <si>
    <t>BLANK-S0-P0-Day20-C</t>
  </si>
  <si>
    <t>PFAS-S0-P100-Day20-A</t>
  </si>
  <si>
    <t>PFAS-S0-P100-Day20-B</t>
  </si>
  <si>
    <t>PFAS-S0-P100-Day20-C</t>
  </si>
  <si>
    <t>55469-36-31</t>
  </si>
  <si>
    <t>HSM-S50-P0-Day0-A</t>
  </si>
  <si>
    <t>55469-36-32</t>
  </si>
  <si>
    <t>HSM-S50-P0-Day0-B</t>
  </si>
  <si>
    <t>55469-36-33</t>
  </si>
  <si>
    <t>HSM-S50-P0-Day0-C</t>
  </si>
  <si>
    <t>HSM-S50-P0-Day20-A</t>
  </si>
  <si>
    <t>HSM-S50-P0-Day20-B</t>
  </si>
  <si>
    <t>HSM-S50-P0-Day20-C</t>
  </si>
  <si>
    <t>HSM-S50-P10-Day20-A</t>
  </si>
  <si>
    <t>HSM-S50-P10-Day20-B</t>
  </si>
  <si>
    <t>HSM-S50-P10-Day20-C</t>
  </si>
  <si>
    <t>HSM-S50-P50-Day20-A</t>
  </si>
  <si>
    <t>HSM-S50-P50-Day20-B</t>
  </si>
  <si>
    <t>HSM-S50-P50-Day20-C</t>
  </si>
  <si>
    <t>55469-36-43</t>
  </si>
  <si>
    <t>HSM-S50-P100-Day0-A</t>
  </si>
  <si>
    <t>55469-36-44</t>
  </si>
  <si>
    <t>HSM-S50-P100-Day0-B</t>
  </si>
  <si>
    <t>55469-36-45</t>
  </si>
  <si>
    <t>HSM-S50-P100-Day0-C</t>
  </si>
  <si>
    <t>55469-36-46</t>
  </si>
  <si>
    <t>HSM-S50-P100-Day1-A</t>
  </si>
  <si>
    <t>55469-36-47</t>
  </si>
  <si>
    <t>HSM-S50-P100-Day1-B</t>
  </si>
  <si>
    <t>55469-36-48</t>
  </si>
  <si>
    <t>HSM-S50-P100-Day1-C</t>
  </si>
  <si>
    <t>55469-36-49</t>
  </si>
  <si>
    <t>HSM-S50-P100-Day5-A</t>
  </si>
  <si>
    <t>55469-36-50</t>
  </si>
  <si>
    <t>HSM-S50-P100-Day5-B</t>
  </si>
  <si>
    <t>55469-36-51</t>
  </si>
  <si>
    <t>HSM-S50-P100-Day5-C</t>
  </si>
  <si>
    <t>55469-36-52</t>
  </si>
  <si>
    <t>HSM-S50-P100-Day10-A</t>
  </si>
  <si>
    <t>55469-36-53</t>
  </si>
  <si>
    <t>HSM-S50-P100-Day10-B</t>
  </si>
  <si>
    <t>55469-36-54</t>
  </si>
  <si>
    <t>HSM-S50-P100-Day10-C</t>
  </si>
  <si>
    <t>HSM-S50-P100-Day20-A</t>
  </si>
  <si>
    <t>HSM-S50-P100-Day20-B</t>
  </si>
  <si>
    <t>HSM-S50-P100-Day20-C</t>
  </si>
  <si>
    <t>HSM-S50-P500-Day20-A</t>
  </si>
  <si>
    <t>HSM-S50-P500-Day20-B</t>
  </si>
  <si>
    <t>HSM-S50-P500-Day20-C</t>
  </si>
  <si>
    <t>55469-36-61</t>
  </si>
  <si>
    <t>BM1-S50-P0-Day0-A</t>
  </si>
  <si>
    <t>55469-36-62</t>
  </si>
  <si>
    <t>BM1-S50-P0-Day0-B</t>
  </si>
  <si>
    <t>55469-36-63</t>
  </si>
  <si>
    <t>BM1-S50-P0-Day0-C</t>
  </si>
  <si>
    <t>BM1-S50-P0-Day20-A</t>
  </si>
  <si>
    <t>BM1-S50-P0-Day20-B</t>
  </si>
  <si>
    <t>BM1-S50-P0-Day20-C</t>
  </si>
  <si>
    <t>BM1-S50-P10-Day20-A</t>
  </si>
  <si>
    <t>BM1-S50-P10-Day20-B</t>
  </si>
  <si>
    <t>BM1-S50-P10-Day20-C</t>
  </si>
  <si>
    <t>BM1-S50-P50-Day20-A</t>
  </si>
  <si>
    <t>BM1-S50-P50-Day20-B</t>
  </si>
  <si>
    <t>BM1-S50-P50-Day20-C</t>
  </si>
  <si>
    <t>55469-36-73</t>
  </si>
  <si>
    <t>BM1-S50-P100-Day0-A</t>
  </si>
  <si>
    <t>55469-36-74</t>
  </si>
  <si>
    <t>BM1-S50-P100-Day0-B</t>
  </si>
  <si>
    <t>55469-36-75</t>
  </si>
  <si>
    <t>BM1-S50-P100-Day0-C</t>
  </si>
  <si>
    <t>55469-36-76</t>
  </si>
  <si>
    <t>BM1-S50-P100-Day1-A</t>
  </si>
  <si>
    <t>55469-36-77</t>
  </si>
  <si>
    <t>BM1-S50-P100-Day1-B</t>
  </si>
  <si>
    <t>55469-36-78</t>
  </si>
  <si>
    <t>BM1-S50-P100-Day1-C</t>
  </si>
  <si>
    <t>55469-36-79</t>
  </si>
  <si>
    <t>BM1-S50-P100-Day5-A</t>
  </si>
  <si>
    <t>55469-36-80</t>
  </si>
  <si>
    <t>BM1-S50-P100-Day5-B</t>
  </si>
  <si>
    <t>55469-36-81</t>
  </si>
  <si>
    <t>BM1-S50-P100-Day5-C</t>
  </si>
  <si>
    <t>55469-36-82</t>
  </si>
  <si>
    <t>BM1-S50-P100-Day10-A</t>
  </si>
  <si>
    <t>55469-36-83</t>
  </si>
  <si>
    <t>BM1-S50-P100-Day10-B</t>
  </si>
  <si>
    <t>55469-36-84</t>
  </si>
  <si>
    <t>BM1-S50-P100-Day10-C</t>
  </si>
  <si>
    <t>BM1-S50-P100-Day20-A</t>
  </si>
  <si>
    <t>BM1-S50-P100-Day20-B</t>
  </si>
  <si>
    <t>BM1-S50-P100-Day20-C</t>
  </si>
  <si>
    <t>BM1-S50-P500-Day20-A</t>
  </si>
  <si>
    <t>BM1-S50-P500-Day20-B</t>
  </si>
  <si>
    <t>BM1-S50-P500-Day20-C</t>
  </si>
  <si>
    <t>55469-36-91</t>
  </si>
  <si>
    <t>SHW-S50-P0-Day0-A</t>
  </si>
  <si>
    <t>55469-36-92</t>
  </si>
  <si>
    <t>SHW-S50-P0-Day0-B</t>
  </si>
  <si>
    <t>55469-36-93</t>
  </si>
  <si>
    <t>SHW-S50-P0-Day0-C</t>
  </si>
  <si>
    <t>SHW-S50-P0-Day20-A</t>
  </si>
  <si>
    <t>SHW-S50-P0-Day20-B</t>
  </si>
  <si>
    <t>SHW-S50-P0-Day20-C</t>
  </si>
  <si>
    <t>SHW-S50-P10-Day20-A</t>
  </si>
  <si>
    <t>SHW-S50-P10-Day20-B</t>
  </si>
  <si>
    <t>SHW-S50-P10-Day20-C</t>
  </si>
  <si>
    <t>SHW-S50-P50-Day20-A</t>
  </si>
  <si>
    <t>SHW-S50-P50-Day20-B</t>
  </si>
  <si>
    <t>SHW-S50-P50-Day20-C</t>
  </si>
  <si>
    <t>55469-36-103</t>
  </si>
  <si>
    <t>SHW-S50-P100-Day0-A</t>
  </si>
  <si>
    <t>55469-36-104</t>
  </si>
  <si>
    <t>SHW-S50-P100-Day0-B</t>
  </si>
  <si>
    <t>55469-36-105</t>
  </si>
  <si>
    <t>SHW-S50-P100-Day0-C</t>
  </si>
  <si>
    <t>55469-36-106</t>
  </si>
  <si>
    <t>SHW-S50-P100-Day1-A</t>
  </si>
  <si>
    <t>55469-36-107</t>
  </si>
  <si>
    <t>SHW-S50-P100-Day1-B</t>
  </si>
  <si>
    <t>55469-36-108</t>
  </si>
  <si>
    <t>SHW-S50-P100-Day1-C</t>
  </si>
  <si>
    <t>55469-36-109</t>
  </si>
  <si>
    <t>SHW-S50-P100-Day5-A</t>
  </si>
  <si>
    <t>55469-36-110</t>
  </si>
  <si>
    <t>SHW-S50-P100-Day5-B</t>
  </si>
  <si>
    <t>55469-36-111</t>
  </si>
  <si>
    <t>SHW-S50-P100-Day5-C</t>
  </si>
  <si>
    <t>55469-36-112</t>
  </si>
  <si>
    <t>SHW-S50-P100-Day10-A</t>
  </si>
  <si>
    <t>55469-36-113</t>
  </si>
  <si>
    <t>SHW-S50-P100-Day10-B</t>
  </si>
  <si>
    <t>55469-36-114</t>
  </si>
  <si>
    <t>SHW-S50-P100-Day10-C</t>
  </si>
  <si>
    <t>SHW-S50-P100-Day20-A</t>
  </si>
  <si>
    <t>SHW-S50-P100-Day20-B</t>
  </si>
  <si>
    <t>SHW-S50-P100-Day20-C</t>
  </si>
  <si>
    <t>SHW-S50-P500-Day20-A</t>
  </si>
  <si>
    <t>SHW-S50-P500-Day20-B</t>
  </si>
  <si>
    <t>SHW-S50-P500-Day20-C</t>
  </si>
  <si>
    <t>55469-37-121</t>
  </si>
  <si>
    <t>HSM+BM1(1:1)-S50-P0-Day0-A</t>
  </si>
  <si>
    <t>55469-37-122</t>
  </si>
  <si>
    <t>HSM+BM1(1:1)-S50-P0-Day0-B</t>
  </si>
  <si>
    <t>55469-37-123</t>
  </si>
  <si>
    <t>HSM+BM1(1:1)-S50-P0-Day0-C</t>
  </si>
  <si>
    <t>HSM+BM1(1:1)-S50-P0-Day20-A</t>
  </si>
  <si>
    <t>HSM+BM1(1:1)-S50-P0-Day20-B</t>
  </si>
  <si>
    <t>HSM+BM1(1:1)-S50-P0-Day20-C</t>
  </si>
  <si>
    <t>HSM+BM1(1:1)-S50-P10-Day20-A</t>
  </si>
  <si>
    <t>HSM+BM1(1:1)-S50-P10-Day20-B</t>
  </si>
  <si>
    <t>HSM+BM1(1:1)-S50-P10-Day20-C</t>
  </si>
  <si>
    <t>HSM+BM1(1:1)-S50-P50-Day20-A</t>
  </si>
  <si>
    <t>HSM+BM1(1:1)-S50-P50-Day20-B</t>
  </si>
  <si>
    <t>HSM+BM1(1:1)-S50-P50-Day20-C</t>
  </si>
  <si>
    <t>55469-37-133</t>
  </si>
  <si>
    <t>HSM+BM1(1:1)-S50-P100-Day0-A</t>
  </si>
  <si>
    <t>55469-37-134</t>
  </si>
  <si>
    <t>HSM+BM1(1:1)-S50-P100-Day0-B</t>
  </si>
  <si>
    <t>55469-37-135</t>
  </si>
  <si>
    <t>HSM+BM1(1:1)-S50-P100-Day0-C</t>
  </si>
  <si>
    <t>55469-37-136</t>
  </si>
  <si>
    <t>HSM+BM1(1:1)-S50-P100-Day1-A</t>
  </si>
  <si>
    <t>55469-37-137</t>
  </si>
  <si>
    <t>HSM+BM1(1:1)-S50-P100-Day1-B</t>
  </si>
  <si>
    <t>55469-37-138</t>
  </si>
  <si>
    <t>HSM+BM1(1:1)-S50-P100-Day1-C</t>
  </si>
  <si>
    <t>55469-37-139</t>
  </si>
  <si>
    <t>HSM+BM1(1:1)-S50-P100-Day5-A</t>
  </si>
  <si>
    <t>55469-37-140</t>
  </si>
  <si>
    <t>HSM+BM1(1:1)-S50-P100-Day5-B</t>
  </si>
  <si>
    <t>55469-37-141</t>
  </si>
  <si>
    <t>HSM+BM1(1:1)-S50-P100-Day5-C</t>
  </si>
  <si>
    <t>55469-37-142</t>
  </si>
  <si>
    <t>HSM+BM1(1:1)-S50-P100-Day10-A</t>
  </si>
  <si>
    <t>55469-37-143</t>
  </si>
  <si>
    <t>HSM+BM1(1:1)-S50-P100-Day10-B</t>
  </si>
  <si>
    <t>55469-37-144</t>
  </si>
  <si>
    <t>HSM+BM1(1:1)-S50-P100-Day10-C</t>
  </si>
  <si>
    <t>HSM+BM1(1:1)-S50-P100-Day20-A</t>
  </si>
  <si>
    <t>HSM+BM1(1:1)-S50-P100-Day20-B</t>
  </si>
  <si>
    <t>HSM+BM1(1:1)-S50-P100-Day20-C</t>
  </si>
  <si>
    <t>HSM+BM1(1:1)-S50-P500-Day20-A</t>
  </si>
  <si>
    <t>HSM+BM1(1:1)-S50-P500-Day20-B</t>
  </si>
  <si>
    <t>HSM+BM1(1:1)-S50-P500-Day20-C</t>
  </si>
  <si>
    <t>55469-37-151</t>
  </si>
  <si>
    <t>GAC-S50-P0-Day0-A</t>
  </si>
  <si>
    <t>55469-37-152</t>
  </si>
  <si>
    <t>GAC-S50-P0-Day0-B</t>
  </si>
  <si>
    <t>55469-37-153</t>
  </si>
  <si>
    <t>GAC-S50-P0-Day0-C</t>
  </si>
  <si>
    <t>GAC-S50-P0-Day20-A</t>
  </si>
  <si>
    <t>GAC-S50-P0-Day20-B</t>
  </si>
  <si>
    <t>GAC-S50-P0-Day20-C</t>
  </si>
  <si>
    <t>GAC-S50-P10-Day20-A</t>
  </si>
  <si>
    <t>GAC-S50-P10-Day20-B</t>
  </si>
  <si>
    <t>GAC-S50-P10-Day20-C</t>
  </si>
  <si>
    <t>GAC-S50-P50-Day20-A</t>
  </si>
  <si>
    <t>GAC-S50-P50-Day20-B</t>
  </si>
  <si>
    <t>GAC-S50-P50-Day20-C</t>
  </si>
  <si>
    <t>55469-37-163</t>
  </si>
  <si>
    <t>GAC-S50-P100-Day0-A</t>
  </si>
  <si>
    <t>55469-37-164</t>
  </si>
  <si>
    <t>GAC-S50-P100-Day0-B</t>
  </si>
  <si>
    <t>55469-37-165</t>
  </si>
  <si>
    <t>GAC-S50-P100-Day0-C</t>
  </si>
  <si>
    <t>55469-37-166</t>
  </si>
  <si>
    <t>GAC-S50-P100-Day1-A</t>
  </si>
  <si>
    <t>55469-37-167</t>
  </si>
  <si>
    <t>GAC-S50-P100-Day1-B</t>
  </si>
  <si>
    <t>55469-37-168</t>
  </si>
  <si>
    <t>GAC-S50-P100-Day1-C</t>
  </si>
  <si>
    <t>55469-37-169</t>
  </si>
  <si>
    <t>GAC-S50-P100-Day5-A</t>
  </si>
  <si>
    <t>55469-37-170</t>
  </si>
  <si>
    <t>GAC-S50-P100-Day5-B</t>
  </si>
  <si>
    <t>55469-37-171</t>
  </si>
  <si>
    <t>GAC-S50-P100-Day5-C</t>
  </si>
  <si>
    <t>55469-37-172</t>
  </si>
  <si>
    <t>GAC-S50-P100-Day10-A</t>
  </si>
  <si>
    <t>55469-37-173</t>
  </si>
  <si>
    <t>GAC-S50-P100-Day10-B</t>
  </si>
  <si>
    <t>55469-37-174</t>
  </si>
  <si>
    <t>GAC-S50-P100-Day10-C</t>
  </si>
  <si>
    <t>GAC-S50-P100-Day20-A</t>
  </si>
  <si>
    <t>GAC-S50-P100-Day20-B</t>
  </si>
  <si>
    <t>GAC-S50-P100-Day20-C</t>
  </si>
  <si>
    <t>GAC-S50-P500-Day20-A</t>
  </si>
  <si>
    <t>GAC-S50-P500-Day20-B</t>
  </si>
  <si>
    <t>GAC-S50-P500-Day20-C</t>
  </si>
  <si>
    <t>55469-37-181</t>
  </si>
  <si>
    <t>OTS-S50-P0-Day0-A</t>
  </si>
  <si>
    <t>55469-37-182</t>
  </si>
  <si>
    <t>OTS-S50-P0-Day0-B</t>
  </si>
  <si>
    <t>55469-37-183</t>
  </si>
  <si>
    <t>OTS-S50-P0-Day0-C</t>
  </si>
  <si>
    <t>OTS-S50-P0-Day20-A</t>
  </si>
  <si>
    <t>OTS-S50-P0-Day20-B</t>
  </si>
  <si>
    <t>OTS-S50-P0-Day20-C</t>
  </si>
  <si>
    <t>OTS-S50-P10-Day20-A</t>
  </si>
  <si>
    <t>OTS-S50-P10-Day20-B</t>
  </si>
  <si>
    <t>OTS-S50-P10-Day20-C</t>
  </si>
  <si>
    <t>OTS-S50-P50-Day20-A</t>
  </si>
  <si>
    <t>OTS-S50-P50-Day20-B</t>
  </si>
  <si>
    <t>OTS-S50-P50-Day20-C</t>
  </si>
  <si>
    <t>55469-37-193</t>
  </si>
  <si>
    <t>OTS-S50-P100-Day0-A</t>
  </si>
  <si>
    <t>55469-37-194</t>
  </si>
  <si>
    <t>OTS-S50-P100-Day0-B</t>
  </si>
  <si>
    <t>55469-37-195</t>
  </si>
  <si>
    <t>OTS-S50-P100-Day0-C</t>
  </si>
  <si>
    <t>55469-37-196</t>
  </si>
  <si>
    <t>OTS-S50-P100-Day1-A</t>
  </si>
  <si>
    <t>55469-37-197</t>
  </si>
  <si>
    <t>OTS-S50-P100-Day1-B</t>
  </si>
  <si>
    <t>55469-37-198</t>
  </si>
  <si>
    <t>OTS-S50-P100-Day1-C</t>
  </si>
  <si>
    <t>55469-37-199</t>
  </si>
  <si>
    <t>OTS-S50-P100-Day5-A</t>
  </si>
  <si>
    <t>55469-37-200</t>
  </si>
  <si>
    <t>OTS-S50-P100-Day5-B</t>
  </si>
  <si>
    <t>55469-37-201</t>
  </si>
  <si>
    <t>OTS-S50-P100-Day5-C</t>
  </si>
  <si>
    <t>55469-37-202</t>
  </si>
  <si>
    <t>OTS-S50-P100-Day10-A</t>
  </si>
  <si>
    <t>55469-37-203</t>
  </si>
  <si>
    <t>OTS-S50-P100-Day10-B</t>
  </si>
  <si>
    <t>55469-37-204</t>
  </si>
  <si>
    <t>OTS-S50-P100-Day10-C</t>
  </si>
  <si>
    <t>OTS-S50-P100-Day20-A</t>
  </si>
  <si>
    <t>55469-37-206</t>
  </si>
  <si>
    <t>OTS-S50-P100-Day20-B</t>
  </si>
  <si>
    <t>55469-37-207</t>
  </si>
  <si>
    <t>OTS-S50-P100-Day20-C</t>
  </si>
  <si>
    <t>55469-37-208</t>
  </si>
  <si>
    <t>OTS-S50-P500-Day20-A</t>
  </si>
  <si>
    <t>55469-37-209</t>
  </si>
  <si>
    <t>OTS-S50-P500-Day20-B</t>
  </si>
  <si>
    <t>55469-37-210</t>
  </si>
  <si>
    <t>OTS-S50-P500-Day20-C</t>
  </si>
  <si>
    <t>55469-37-211</t>
  </si>
  <si>
    <t>BM1-S50-P100-pH-A</t>
  </si>
  <si>
    <t>55469-37-212</t>
  </si>
  <si>
    <t>BM1-S50-P100-pH-B</t>
  </si>
  <si>
    <t>55469-37-213</t>
  </si>
  <si>
    <t>BM1-S50-P100-pH-C</t>
  </si>
  <si>
    <t>55469-37-214</t>
  </si>
  <si>
    <t>SHW-S50-P100-pH-A</t>
  </si>
  <si>
    <t>55469-37-215</t>
  </si>
  <si>
    <t>SHW-S50-P100-pH-B</t>
  </si>
  <si>
    <t>55469-37-216</t>
  </si>
  <si>
    <t>SHW-S50-P100-pH-C</t>
  </si>
  <si>
    <t>55469-37-217</t>
  </si>
  <si>
    <t>HSM-S50-P100-pH-A</t>
  </si>
  <si>
    <t>55469-37-218</t>
  </si>
  <si>
    <t>HSM-S50-P100-pH-B</t>
  </si>
  <si>
    <t>55469-37-219</t>
  </si>
  <si>
    <t>HSM-S50-P100-pH-C</t>
  </si>
  <si>
    <t>HSM+BM1(1:1)-S50-P100-pH-A</t>
  </si>
  <si>
    <t>HSM+BM1(1:1)-S50-P100-pH-B</t>
  </si>
  <si>
    <t>HSM+BM1(1:1)-S50-P100-pH-C</t>
  </si>
  <si>
    <t>55469-37-223</t>
  </si>
  <si>
    <t>GAC-S50-P100-pH-A</t>
  </si>
  <si>
    <t>55469-37-224</t>
  </si>
  <si>
    <t>GAC-S50-P100-pH-B</t>
  </si>
  <si>
    <t>55469-37-225</t>
  </si>
  <si>
    <t>GAC-S50-P100-pH-C</t>
  </si>
  <si>
    <t>55469-37-226</t>
  </si>
  <si>
    <t>OTS-S50-P100-pH-A</t>
  </si>
  <si>
    <t>55469-37-227</t>
  </si>
  <si>
    <t>OTS-S50-P100-pH-B</t>
  </si>
  <si>
    <t>55469-37-228</t>
  </si>
  <si>
    <t>OTS-S50-P100-pH-C</t>
  </si>
  <si>
    <t>55469-37-229</t>
  </si>
  <si>
    <t>BM1-S50-P0-pH-A</t>
  </si>
  <si>
    <t>55469-37-230</t>
  </si>
  <si>
    <t>BM1-S50-P0-pH-B</t>
  </si>
  <si>
    <t>55469-37-231</t>
  </si>
  <si>
    <t>BM1-S50-P0-pH-C</t>
  </si>
  <si>
    <t>55469-37-232</t>
  </si>
  <si>
    <t>SHW-S50-P0-pH-A</t>
  </si>
  <si>
    <t>55469-37-233</t>
  </si>
  <si>
    <t>SHW-S50-P0-pH-B</t>
  </si>
  <si>
    <t>55469-37-234</t>
  </si>
  <si>
    <t>SHW-S50-P0-pH-C</t>
  </si>
  <si>
    <t>55469-37-235</t>
  </si>
  <si>
    <t>HSM-S50-P0-pH-A</t>
  </si>
  <si>
    <t>55469-37-236</t>
  </si>
  <si>
    <t>HSM-S50-P0-pH-B</t>
  </si>
  <si>
    <t>55469-37-237</t>
  </si>
  <si>
    <t>HSM-S50-P0-pH-C</t>
  </si>
  <si>
    <t>HSM+BM1(1:1)-S50-P0-pH-A</t>
  </si>
  <si>
    <t>HSM+BM1(1:1)-S50-P0-pH-B</t>
  </si>
  <si>
    <t>HSM+BM1(1:1)-S50-P0-pH-C</t>
  </si>
  <si>
    <t>55469-37-241</t>
  </si>
  <si>
    <t>GAC-S50-P0-pH-A</t>
  </si>
  <si>
    <t>55469-37-242</t>
  </si>
  <si>
    <t>GAC-S50-P0-pH-B</t>
  </si>
  <si>
    <t>55469-37-243</t>
  </si>
  <si>
    <t>GAC-S50-P0-pH-C</t>
  </si>
  <si>
    <t>55469-37-244</t>
  </si>
  <si>
    <t>OTS-S50-P0-pH-A</t>
  </si>
  <si>
    <t>55469-37-245</t>
  </si>
  <si>
    <t>OTS-S50-P0-pH-B</t>
  </si>
  <si>
    <t>55469-37-246</t>
  </si>
  <si>
    <t>OTS-S50-P0-pH-C</t>
  </si>
  <si>
    <t>Sample ID</t>
  </si>
  <si>
    <t>Lookup ID</t>
  </si>
  <si>
    <t>Average</t>
  </si>
  <si>
    <t>St Dev</t>
  </si>
  <si>
    <t>Final water concentration (ng/L)</t>
  </si>
  <si>
    <t>Exp ID</t>
  </si>
  <si>
    <r>
      <t>Free,C</t>
    </r>
    <r>
      <rPr>
        <b/>
        <vertAlign val="subscript"/>
        <sz val="11"/>
        <color theme="1"/>
        <rFont val="Calibri"/>
        <family val="2"/>
        <scheme val="minor"/>
      </rPr>
      <t>w</t>
    </r>
    <r>
      <rPr>
        <b/>
        <sz val="11"/>
        <color theme="1"/>
        <rFont val="Calibri"/>
        <family val="2"/>
        <scheme val="minor"/>
      </rPr>
      <t xml:space="preserve"> (ug/L)</t>
    </r>
  </si>
  <si>
    <t>C t0 (ug/L)</t>
  </si>
  <si>
    <t>Bound (ug/L)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</si>
  <si>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g/Kg)</t>
    </r>
  </si>
  <si>
    <t>Kd (L/kg)</t>
  </si>
  <si>
    <t>Log Kd (log L/kg)</t>
  </si>
  <si>
    <t>From Ctrl</t>
  </si>
  <si>
    <t>Final water concentration (ng/L) _ Values</t>
  </si>
  <si>
    <t>Nominal PFAS Conc.</t>
  </si>
  <si>
    <t>% St Dev</t>
  </si>
  <si>
    <t>Adsorption isotherms</t>
  </si>
  <si>
    <t>Sorbent</t>
  </si>
  <si>
    <t>Con. Level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</si>
  <si>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(L/kg)</t>
    </r>
  </si>
  <si>
    <r>
      <t>Log K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(log L/kg)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</si>
  <si>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L</t>
    </r>
    <r>
      <rPr>
        <b/>
        <sz val="11"/>
        <color theme="1"/>
        <rFont val="Calibri"/>
        <family val="2"/>
        <scheme val="minor"/>
      </rPr>
      <t xml:space="preserve"> (L/kg)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</si>
  <si>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 xml:space="preserve">max </t>
    </r>
    <r>
      <rPr>
        <b/>
        <sz val="11"/>
        <color theme="1"/>
        <rFont val="Calibri"/>
        <family val="2"/>
        <scheme val="minor"/>
      </rPr>
      <t>(ug/kg)</t>
    </r>
  </si>
  <si>
    <t>Free,Cw (ug/L)</t>
  </si>
  <si>
    <t>CS (µg/Kg)</t>
  </si>
  <si>
    <t>1/aq</t>
  </si>
  <si>
    <t>1/solid</t>
  </si>
  <si>
    <t>1/slope</t>
  </si>
  <si>
    <t>intercept</t>
  </si>
  <si>
    <t>Fit param 1</t>
  </si>
  <si>
    <t>Fit param 2</t>
  </si>
  <si>
    <t>Modelec conc. in solid (ug/kg)</t>
  </si>
  <si>
    <t>Square difference</t>
  </si>
  <si>
    <r>
      <t>log K</t>
    </r>
    <r>
      <rPr>
        <b/>
        <vertAlign val="subscript"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  {log [(ug/kg)(ug/L)]</t>
    </r>
    <r>
      <rPr>
        <b/>
        <vertAlign val="superscript"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}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</si>
  <si>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[(ug/kg)(ug/L)]</t>
    </r>
    <r>
      <rPr>
        <b/>
        <vertAlign val="superscript"/>
        <sz val="11"/>
        <color theme="1"/>
        <rFont val="Calibri"/>
        <family val="2"/>
        <scheme val="minor"/>
      </rPr>
      <t>n</t>
    </r>
  </si>
  <si>
    <t>n</t>
  </si>
  <si>
    <t>log water conc. (ug/L)</t>
  </si>
  <si>
    <t>log solid conc. (ug/kg)</t>
  </si>
  <si>
    <t>Freundlich Modeled Conc solid (ug/kg)</t>
  </si>
  <si>
    <t>SS diff:</t>
  </si>
  <si>
    <t>Input Data</t>
  </si>
  <si>
    <t>Langmuir Model</t>
  </si>
  <si>
    <t>Freundlich Model</t>
  </si>
  <si>
    <t>Deleted data (circled in the graph)</t>
  </si>
  <si>
    <r>
      <t>This spreadsheet utilizes formulas and reference,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C00000"/>
        <rFont val="Calibri"/>
        <family val="2"/>
        <scheme val="minor"/>
      </rPr>
      <t>do not delete any of the tabs colored dark grey</t>
    </r>
    <r>
      <rPr>
        <sz val="14"/>
        <color theme="1"/>
        <rFont val="Calibri"/>
        <family val="2"/>
        <scheme val="minor"/>
      </rPr>
      <t>.</t>
    </r>
  </si>
  <si>
    <r>
      <t xml:space="preserve">Also </t>
    </r>
    <r>
      <rPr>
        <sz val="14"/>
        <color rgb="FFC00000"/>
        <rFont val="Calibri"/>
        <family val="2"/>
        <scheme val="minor"/>
      </rPr>
      <t>do not insert columns to the All data tab</t>
    </r>
    <r>
      <rPr>
        <sz val="11"/>
        <color theme="1"/>
        <rFont val="Calibri"/>
        <family val="2"/>
        <scheme val="minor"/>
      </rPr>
      <t>, except at the end of the the spreadsheet (after column P).</t>
    </r>
  </si>
  <si>
    <t>This spreadsheet can be easily adapted for the use with new sets of data, which can be added to the bottom of All data sheet.</t>
  </si>
  <si>
    <t>Updating IDs in any of the blue shaded tabs will automatically calculated and plot all the data with the exception of:</t>
  </si>
  <si>
    <t>- Plot titles have to be updated manually</t>
  </si>
  <si>
    <t>- Solver has to be used to minimize sum of squares for Langmuir isotherm by adjusting Fit parameter 1 and Fit parameter 2 (simultaneously)</t>
  </si>
  <si>
    <t>Average (ng/L)</t>
  </si>
  <si>
    <t>St Dev (ng/L)</t>
  </si>
  <si>
    <t>For plotting only:</t>
  </si>
  <si>
    <t>8:2 FTS</t>
  </si>
  <si>
    <t>This rep was excluded to to significantly different results than the other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</si>
</sst>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.9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23" fillId="21" borderId="0" applyNumberFormat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2" fontId="2" fillId="0" borderId="2" xfId="0" applyNumberFormat="1" applyFont="1" applyFill="1" applyBorder="1"/>
    <xf numFmtId="2" fontId="2" fillId="0" borderId="0" xfId="0" applyNumberFormat="1" applyFont="1" applyFill="1" applyBorder="1"/>
    <xf numFmtId="2" fontId="0" fillId="0" borderId="1" xfId="0" applyNumberFormat="1" applyFill="1" applyBorder="1"/>
    <xf numFmtId="0" fontId="1" fillId="3" borderId="3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4" borderId="3" xfId="0" applyFont="1" applyFill="1" applyBorder="1"/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7" borderId="3" xfId="0" applyFont="1" applyFill="1" applyBorder="1" applyAlignment="1">
      <alignment horizontal="left"/>
    </xf>
    <xf numFmtId="0" fontId="0" fillId="7" borderId="3" xfId="0" applyFill="1" applyBorder="1" applyAlignment="1">
      <alignment horizontal="center"/>
    </xf>
    <xf numFmtId="0" fontId="1" fillId="8" borderId="3" xfId="0" applyFont="1" applyFill="1" applyBorder="1"/>
    <xf numFmtId="0" fontId="0" fillId="8" borderId="3" xfId="0" applyFill="1" applyBorder="1" applyAlignment="1">
      <alignment horizontal="center"/>
    </xf>
    <xf numFmtId="0" fontId="1" fillId="9" borderId="3" xfId="0" applyFont="1" applyFill="1" applyBorder="1"/>
    <xf numFmtId="0" fontId="0" fillId="9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/>
    <xf numFmtId="0" fontId="1" fillId="11" borderId="3" xfId="0" applyFont="1" applyFill="1" applyBorder="1"/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>
      <alignment horizontal="center" vertical="center"/>
    </xf>
    <xf numFmtId="0" fontId="1" fillId="12" borderId="3" xfId="0" applyFont="1" applyFill="1" applyBorder="1"/>
    <xf numFmtId="0" fontId="0" fillId="12" borderId="3" xfId="0" applyFill="1" applyBorder="1" applyAlignment="1">
      <alignment horizontal="center"/>
    </xf>
    <xf numFmtId="0" fontId="6" fillId="0" borderId="0" xfId="0" applyFont="1"/>
    <xf numFmtId="0" fontId="1" fillId="3" borderId="5" xfId="0" applyFont="1" applyFill="1" applyBorder="1"/>
    <xf numFmtId="0" fontId="1" fillId="3" borderId="3" xfId="0" applyFont="1" applyFill="1" applyBorder="1"/>
    <xf numFmtId="0" fontId="0" fillId="10" borderId="3" xfId="0" applyFill="1" applyBorder="1" applyAlignment="1">
      <alignment horizontal="left"/>
    </xf>
    <xf numFmtId="0" fontId="0" fillId="0" borderId="3" xfId="0" applyBorder="1"/>
    <xf numFmtId="0" fontId="0" fillId="0" borderId="5" xfId="0" applyBorder="1"/>
    <xf numFmtId="0" fontId="6" fillId="0" borderId="3" xfId="0" applyFont="1" applyBorder="1"/>
    <xf numFmtId="0" fontId="1" fillId="3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right"/>
    </xf>
    <xf numFmtId="0" fontId="0" fillId="7" borderId="3" xfId="0" applyFill="1" applyBorder="1" applyAlignment="1">
      <alignment horizontal="left"/>
    </xf>
    <xf numFmtId="0" fontId="0" fillId="7" borderId="3" xfId="0" applyFill="1" applyBorder="1" applyAlignment="1">
      <alignment horizontal="right"/>
    </xf>
    <xf numFmtId="0" fontId="0" fillId="8" borderId="3" xfId="0" applyFill="1" applyBorder="1" applyAlignment="1">
      <alignment horizontal="left"/>
    </xf>
    <xf numFmtId="0" fontId="0" fillId="8" borderId="3" xfId="0" applyFill="1" applyBorder="1" applyAlignment="1">
      <alignment horizontal="right"/>
    </xf>
    <xf numFmtId="0" fontId="0" fillId="9" borderId="3" xfId="0" applyFill="1" applyBorder="1" applyAlignment="1">
      <alignment horizontal="left"/>
    </xf>
    <xf numFmtId="0" fontId="0" fillId="9" borderId="3" xfId="0" applyFill="1" applyBorder="1" applyAlignment="1">
      <alignment horizontal="right"/>
    </xf>
    <xf numFmtId="0" fontId="0" fillId="11" borderId="3" xfId="0" applyFill="1" applyBorder="1" applyAlignment="1">
      <alignment horizontal="left"/>
    </xf>
    <xf numFmtId="0" fontId="0" fillId="11" borderId="3" xfId="0" applyFill="1" applyBorder="1" applyAlignment="1">
      <alignment horizontal="right"/>
    </xf>
    <xf numFmtId="0" fontId="0" fillId="12" borderId="3" xfId="0" applyFill="1" applyBorder="1" applyAlignment="1">
      <alignment horizontal="left"/>
    </xf>
    <xf numFmtId="0" fontId="0" fillId="12" borderId="3" xfId="0" applyFill="1" applyBorder="1" applyAlignment="1">
      <alignment horizontal="right"/>
    </xf>
    <xf numFmtId="0" fontId="0" fillId="12" borderId="6" xfId="0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8" fillId="0" borderId="0" xfId="0" applyFont="1" applyAlignment="1">
      <alignment horizontal="right"/>
    </xf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left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left"/>
    </xf>
    <xf numFmtId="0" fontId="8" fillId="7" borderId="11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left"/>
    </xf>
    <xf numFmtId="0" fontId="8" fillId="9" borderId="11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left"/>
    </xf>
    <xf numFmtId="0" fontId="8" fillId="11" borderId="11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left"/>
    </xf>
    <xf numFmtId="0" fontId="8" fillId="12" borderId="11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8" fillId="12" borderId="13" xfId="0" applyFont="1" applyFill="1" applyBorder="1" applyAlignment="1">
      <alignment horizontal="center"/>
    </xf>
    <xf numFmtId="0" fontId="8" fillId="12" borderId="13" xfId="0" applyFont="1" applyFill="1" applyBorder="1" applyAlignment="1">
      <alignment horizontal="left"/>
    </xf>
    <xf numFmtId="0" fontId="8" fillId="12" borderId="14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left"/>
    </xf>
    <xf numFmtId="0" fontId="8" fillId="7" borderId="5" xfId="0" applyFont="1" applyFill="1" applyBorder="1" applyAlignment="1">
      <alignment horizontal="left"/>
    </xf>
    <xf numFmtId="0" fontId="8" fillId="8" borderId="5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9" borderId="5" xfId="0" applyFont="1" applyFill="1" applyBorder="1" applyAlignment="1">
      <alignment horizontal="left"/>
    </xf>
    <xf numFmtId="0" fontId="8" fillId="11" borderId="5" xfId="0" applyFont="1" applyFill="1" applyBorder="1" applyAlignment="1">
      <alignment horizontal="left"/>
    </xf>
    <xf numFmtId="0" fontId="8" fillId="12" borderId="5" xfId="0" applyFont="1" applyFill="1" applyBorder="1" applyAlignment="1">
      <alignment horizontal="left"/>
    </xf>
    <xf numFmtId="0" fontId="8" fillId="12" borderId="16" xfId="0" applyFont="1" applyFill="1" applyBorder="1" applyAlignment="1">
      <alignment horizontal="left"/>
    </xf>
    <xf numFmtId="2" fontId="0" fillId="0" borderId="0" xfId="0" applyNumberFormat="1" applyFill="1" applyBorder="1"/>
    <xf numFmtId="2" fontId="9" fillId="0" borderId="0" xfId="0" applyNumberFormat="1" applyFont="1" applyFill="1" applyBorder="1"/>
    <xf numFmtId="0" fontId="0" fillId="10" borderId="0" xfId="0" applyFill="1"/>
    <xf numFmtId="0" fontId="2" fillId="13" borderId="0" xfId="0" applyFont="1" applyFill="1"/>
    <xf numFmtId="0" fontId="2" fillId="14" borderId="0" xfId="0" applyFont="1" applyFill="1"/>
    <xf numFmtId="0" fontId="2" fillId="15" borderId="0" xfId="0" applyFont="1" applyFill="1"/>
    <xf numFmtId="0" fontId="2" fillId="16" borderId="0" xfId="0" applyFont="1" applyFill="1"/>
    <xf numFmtId="0" fontId="1" fillId="0" borderId="1" xfId="0" applyFont="1" applyBorder="1" applyAlignment="1">
      <alignment horizontal="right" wrapText="1"/>
    </xf>
    <xf numFmtId="0" fontId="1" fillId="0" borderId="0" xfId="0" applyFont="1"/>
    <xf numFmtId="0" fontId="11" fillId="0" borderId="0" xfId="0" applyFont="1" applyAlignment="1">
      <alignment horizontal="right" wrapText="1"/>
    </xf>
    <xf numFmtId="0" fontId="0" fillId="0" borderId="0" xfId="0" applyBorder="1"/>
    <xf numFmtId="0" fontId="0" fillId="0" borderId="1" xfId="0" applyBorder="1"/>
    <xf numFmtId="0" fontId="0" fillId="0" borderId="19" xfId="0" applyBorder="1"/>
    <xf numFmtId="0" fontId="0" fillId="17" borderId="18" xfId="0" applyFill="1" applyBorder="1"/>
    <xf numFmtId="0" fontId="0" fillId="17" borderId="19" xfId="0" applyFill="1" applyBorder="1" applyAlignment="1">
      <alignment horizontal="right" wrapText="1"/>
    </xf>
    <xf numFmtId="0" fontId="0" fillId="17" borderId="19" xfId="0" applyFill="1" applyBorder="1" applyAlignment="1">
      <alignment horizontal="right"/>
    </xf>
    <xf numFmtId="2" fontId="9" fillId="17" borderId="19" xfId="0" applyNumberFormat="1" applyFont="1" applyFill="1" applyBorder="1"/>
    <xf numFmtId="2" fontId="2" fillId="17" borderId="19" xfId="0" applyNumberFormat="1" applyFont="1" applyFill="1" applyBorder="1"/>
    <xf numFmtId="0" fontId="0" fillId="17" borderId="19" xfId="0" applyFill="1" applyBorder="1" applyAlignment="1">
      <alignment horizontal="left"/>
    </xf>
    <xf numFmtId="0" fontId="0" fillId="17" borderId="19" xfId="0" applyFill="1" applyBorder="1"/>
    <xf numFmtId="0" fontId="0" fillId="17" borderId="20" xfId="0" applyFill="1" applyBorder="1"/>
    <xf numFmtId="0" fontId="0" fillId="17" borderId="0" xfId="0" applyFill="1" applyBorder="1" applyAlignment="1">
      <alignment horizontal="right" wrapText="1"/>
    </xf>
    <xf numFmtId="0" fontId="0" fillId="17" borderId="0" xfId="0" applyFill="1" applyBorder="1" applyAlignment="1">
      <alignment horizontal="right"/>
    </xf>
    <xf numFmtId="2" fontId="9" fillId="17" borderId="0" xfId="0" applyNumberFormat="1" applyFont="1" applyFill="1" applyBorder="1"/>
    <xf numFmtId="2" fontId="2" fillId="17" borderId="0" xfId="0" applyNumberFormat="1" applyFont="1" applyFill="1" applyBorder="1"/>
    <xf numFmtId="0" fontId="0" fillId="17" borderId="0" xfId="0" applyFill="1" applyBorder="1" applyAlignment="1">
      <alignment horizontal="left"/>
    </xf>
    <xf numFmtId="0" fontId="0" fillId="17" borderId="0" xfId="0" applyFill="1" applyBorder="1"/>
    <xf numFmtId="2" fontId="0" fillId="17" borderId="1" xfId="0" applyNumberFormat="1" applyFill="1" applyBorder="1"/>
    <xf numFmtId="2" fontId="2" fillId="17" borderId="2" xfId="0" applyNumberFormat="1" applyFont="1" applyFill="1" applyBorder="1"/>
    <xf numFmtId="0" fontId="0" fillId="17" borderId="21" xfId="0" applyFill="1" applyBorder="1"/>
    <xf numFmtId="0" fontId="0" fillId="17" borderId="1" xfId="0" applyFill="1" applyBorder="1" applyAlignment="1">
      <alignment horizontal="right" wrapText="1"/>
    </xf>
    <xf numFmtId="0" fontId="0" fillId="17" borderId="1" xfId="0" applyFill="1" applyBorder="1" applyAlignment="1">
      <alignment horizontal="right"/>
    </xf>
    <xf numFmtId="2" fontId="9" fillId="17" borderId="1" xfId="0" applyNumberFormat="1" applyFont="1" applyFill="1" applyBorder="1"/>
    <xf numFmtId="0" fontId="0" fillId="17" borderId="1" xfId="0" applyFill="1" applyBorder="1" applyAlignment="1">
      <alignment horizontal="left"/>
    </xf>
    <xf numFmtId="0" fontId="0" fillId="17" borderId="1" xfId="0" applyFill="1" applyBorder="1"/>
    <xf numFmtId="0" fontId="12" fillId="0" borderId="0" xfId="0" applyFont="1"/>
    <xf numFmtId="0" fontId="0" fillId="0" borderId="20" xfId="0" applyBorder="1"/>
    <xf numFmtId="0" fontId="0" fillId="0" borderId="23" xfId="0" applyBorder="1"/>
    <xf numFmtId="0" fontId="0" fillId="0" borderId="21" xfId="0" applyBorder="1"/>
    <xf numFmtId="0" fontId="0" fillId="0" borderId="24" xfId="0" applyBorder="1"/>
    <xf numFmtId="0" fontId="0" fillId="0" borderId="18" xfId="0" applyBorder="1"/>
    <xf numFmtId="0" fontId="0" fillId="0" borderId="22" xfId="0" applyBorder="1"/>
    <xf numFmtId="1" fontId="0" fillId="0" borderId="19" xfId="0" applyNumberFormat="1" applyBorder="1"/>
    <xf numFmtId="1" fontId="0" fillId="0" borderId="22" xfId="0" applyNumberFormat="1" applyBorder="1"/>
    <xf numFmtId="1" fontId="0" fillId="0" borderId="0" xfId="0" applyNumberFormat="1" applyBorder="1"/>
    <xf numFmtId="1" fontId="0" fillId="0" borderId="23" xfId="0" applyNumberFormat="1" applyBorder="1"/>
    <xf numFmtId="1" fontId="0" fillId="0" borderId="1" xfId="0" applyNumberFormat="1" applyBorder="1"/>
    <xf numFmtId="1" fontId="0" fillId="0" borderId="24" xfId="0" applyNumberFormat="1" applyBorder="1"/>
    <xf numFmtId="0" fontId="0" fillId="0" borderId="0" xfId="0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5" xfId="0" applyFont="1" applyBorder="1" applyAlignment="1">
      <alignment wrapText="1"/>
    </xf>
    <xf numFmtId="1" fontId="13" fillId="0" borderId="19" xfId="0" applyNumberFormat="1" applyFont="1" applyBorder="1"/>
    <xf numFmtId="1" fontId="13" fillId="0" borderId="0" xfId="0" applyNumberFormat="1" applyFont="1" applyBorder="1"/>
    <xf numFmtId="1" fontId="13" fillId="0" borderId="1" xfId="0" applyNumberFormat="1" applyFont="1" applyBorder="1"/>
    <xf numFmtId="1" fontId="13" fillId="0" borderId="22" xfId="0" applyNumberFormat="1" applyFont="1" applyBorder="1"/>
    <xf numFmtId="1" fontId="13" fillId="0" borderId="23" xfId="0" applyNumberFormat="1" applyFont="1" applyBorder="1"/>
    <xf numFmtId="1" fontId="13" fillId="0" borderId="24" xfId="0" applyNumberFormat="1" applyFont="1" applyBorder="1"/>
    <xf numFmtId="0" fontId="1" fillId="0" borderId="0" xfId="0" applyFont="1" applyAlignment="1">
      <alignment vertical="center"/>
    </xf>
    <xf numFmtId="0" fontId="0" fillId="0" borderId="20" xfId="0" applyBorder="1" applyAlignment="1"/>
    <xf numFmtId="0" fontId="0" fillId="0" borderId="0" xfId="0" applyBorder="1" applyAlignment="1"/>
    <xf numFmtId="0" fontId="0" fillId="0" borderId="23" xfId="0" applyBorder="1" applyAlignment="1"/>
    <xf numFmtId="164" fontId="0" fillId="0" borderId="23" xfId="0" applyNumberFormat="1" applyBorder="1"/>
    <xf numFmtId="164" fontId="0" fillId="0" borderId="24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1" fillId="0" borderId="0" xfId="0" applyFont="1" applyBorder="1"/>
    <xf numFmtId="0" fontId="17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17" borderId="19" xfId="0" applyFont="1" applyFill="1" applyBorder="1" applyAlignment="1">
      <alignment horizontal="right"/>
    </xf>
    <xf numFmtId="0" fontId="18" fillId="17" borderId="0" xfId="0" applyFont="1" applyFill="1" applyBorder="1" applyAlignment="1">
      <alignment horizontal="right"/>
    </xf>
    <xf numFmtId="0" fontId="18" fillId="17" borderId="1" xfId="0" applyFont="1" applyFill="1" applyBorder="1" applyAlignment="1">
      <alignment horizontal="right"/>
    </xf>
    <xf numFmtId="0" fontId="18" fillId="0" borderId="0" xfId="0" applyFont="1"/>
    <xf numFmtId="1" fontId="0" fillId="0" borderId="18" xfId="0" applyNumberFormat="1" applyBorder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18" fillId="0" borderId="20" xfId="0" applyFont="1" applyBorder="1"/>
    <xf numFmtId="0" fontId="0" fillId="0" borderId="29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7" borderId="2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7" borderId="24" xfId="0" applyFill="1" applyBorder="1" applyAlignment="1">
      <alignment horizontal="center"/>
    </xf>
    <xf numFmtId="0" fontId="0" fillId="18" borderId="21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9" borderId="2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19" borderId="24" xfId="0" applyFill="1" applyBorder="1" applyAlignment="1">
      <alignment horizontal="center"/>
    </xf>
    <xf numFmtId="2" fontId="16" fillId="0" borderId="19" xfId="0" applyNumberFormat="1" applyFont="1" applyBorder="1"/>
    <xf numFmtId="1" fontId="16" fillId="0" borderId="19" xfId="0" applyNumberFormat="1" applyFont="1" applyBorder="1"/>
    <xf numFmtId="2" fontId="16" fillId="0" borderId="0" xfId="0" applyNumberFormat="1" applyFont="1" applyBorder="1"/>
    <xf numFmtId="1" fontId="16" fillId="0" borderId="0" xfId="0" applyNumberFormat="1" applyFont="1" applyBorder="1"/>
    <xf numFmtId="2" fontId="16" fillId="0" borderId="1" xfId="0" applyNumberFormat="1" applyFont="1" applyBorder="1"/>
    <xf numFmtId="1" fontId="16" fillId="0" borderId="1" xfId="0" applyNumberFormat="1" applyFont="1" applyBorder="1"/>
    <xf numFmtId="164" fontId="0" fillId="0" borderId="22" xfId="0" applyNumberFormat="1" applyBorder="1"/>
    <xf numFmtId="0" fontId="16" fillId="0" borderId="0" xfId="0" applyFont="1"/>
    <xf numFmtId="0" fontId="8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6" fillId="0" borderId="3" xfId="0" applyFont="1" applyBorder="1"/>
    <xf numFmtId="0" fontId="16" fillId="0" borderId="0" xfId="0" applyFont="1" applyBorder="1"/>
    <xf numFmtId="0" fontId="16" fillId="0" borderId="19" xfId="0" applyFont="1" applyBorder="1"/>
    <xf numFmtId="0" fontId="16" fillId="0" borderId="1" xfId="0" applyFont="1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applyBorder="1"/>
    <xf numFmtId="0" fontId="0" fillId="0" borderId="28" xfId="0" applyBorder="1"/>
    <xf numFmtId="0" fontId="16" fillId="0" borderId="28" xfId="0" applyFont="1" applyBorder="1"/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9" fontId="10" fillId="0" borderId="22" xfId="1" applyFont="1" applyBorder="1"/>
    <xf numFmtId="9" fontId="10" fillId="0" borderId="23" xfId="1" applyFont="1" applyBorder="1"/>
    <xf numFmtId="9" fontId="10" fillId="0" borderId="24" xfId="1" applyFont="1" applyBorder="1"/>
    <xf numFmtId="0" fontId="21" fillId="0" borderId="0" xfId="0" applyFont="1"/>
    <xf numFmtId="1" fontId="0" fillId="0" borderId="3" xfId="0" applyNumberFormat="1" applyBorder="1"/>
    <xf numFmtId="2" fontId="0" fillId="0" borderId="3" xfId="0" applyNumberFormat="1" applyBorder="1"/>
    <xf numFmtId="0" fontId="20" fillId="0" borderId="3" xfId="0" applyFont="1" applyBorder="1"/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5" xfId="0" applyFont="1" applyBorder="1"/>
    <xf numFmtId="1" fontId="16" fillId="0" borderId="3" xfId="0" applyNumberFormat="1" applyFont="1" applyBorder="1"/>
    <xf numFmtId="1" fontId="20" fillId="0" borderId="0" xfId="0" applyNumberFormat="1" applyFont="1"/>
    <xf numFmtId="164" fontId="16" fillId="0" borderId="3" xfId="0" applyNumberFormat="1" applyFont="1" applyBorder="1"/>
    <xf numFmtId="0" fontId="20" fillId="13" borderId="3" xfId="0" applyFont="1" applyFill="1" applyBorder="1" applyAlignment="1">
      <alignment wrapText="1"/>
    </xf>
    <xf numFmtId="0" fontId="20" fillId="0" borderId="5" xfId="0" applyFont="1" applyBorder="1"/>
    <xf numFmtId="1" fontId="16" fillId="0" borderId="6" xfId="0" applyNumberFormat="1" applyFont="1" applyBorder="1"/>
    <xf numFmtId="1" fontId="20" fillId="16" borderId="17" xfId="0" applyNumberFormat="1" applyFont="1" applyFill="1" applyBorder="1"/>
    <xf numFmtId="2" fontId="0" fillId="0" borderId="19" xfId="0" applyNumberFormat="1" applyFill="1" applyBorder="1"/>
    <xf numFmtId="1" fontId="0" fillId="0" borderId="19" xfId="0" applyNumberFormat="1" applyFill="1" applyBorder="1"/>
    <xf numFmtId="1" fontId="0" fillId="0" borderId="0" xfId="0" applyNumberFormat="1" applyFill="1" applyBorder="1"/>
    <xf numFmtId="1" fontId="0" fillId="0" borderId="1" xfId="0" applyNumberFormat="1" applyFill="1" applyBorder="1"/>
    <xf numFmtId="1" fontId="23" fillId="21" borderId="3" xfId="2" applyNumberFormat="1" applyBorder="1"/>
    <xf numFmtId="1" fontId="23" fillId="21" borderId="0" xfId="2" applyNumberFormat="1" applyBorder="1"/>
    <xf numFmtId="1" fontId="23" fillId="21" borderId="19" xfId="2" applyNumberFormat="1" applyBorder="1"/>
    <xf numFmtId="1" fontId="0" fillId="0" borderId="0" xfId="0" applyNumberFormat="1"/>
    <xf numFmtId="0" fontId="0" fillId="0" borderId="0" xfId="0" quotePrefix="1"/>
    <xf numFmtId="0" fontId="1" fillId="22" borderId="28" xfId="0" applyFont="1" applyFill="1" applyBorder="1" applyAlignment="1">
      <alignment horizontal="center" vertical="center" wrapText="1"/>
    </xf>
    <xf numFmtId="0" fontId="1" fillId="22" borderId="31" xfId="0" applyFont="1" applyFill="1" applyBorder="1" applyAlignment="1">
      <alignment horizontal="center" vertical="center" wrapText="1"/>
    </xf>
    <xf numFmtId="0" fontId="1" fillId="22" borderId="32" xfId="0" applyFont="1" applyFill="1" applyBorder="1" applyAlignment="1">
      <alignment horizontal="center" vertical="center" wrapText="1"/>
    </xf>
    <xf numFmtId="0" fontId="0" fillId="14" borderId="29" xfId="0" applyFont="1" applyFill="1" applyBorder="1" applyAlignment="1">
      <alignment wrapText="1"/>
    </xf>
    <xf numFmtId="0" fontId="0" fillId="14" borderId="28" xfId="0" applyFont="1" applyFill="1" applyBorder="1" applyAlignment="1">
      <alignment wrapText="1"/>
    </xf>
    <xf numFmtId="0" fontId="0" fillId="14" borderId="30" xfId="0" applyFont="1" applyFill="1" applyBorder="1" applyAlignment="1">
      <alignment wrapText="1"/>
    </xf>
    <xf numFmtId="0" fontId="0" fillId="6" borderId="0" xfId="0" applyFill="1"/>
    <xf numFmtId="0" fontId="25" fillId="0" borderId="3" xfId="0" applyFont="1" applyBorder="1" applyAlignment="1">
      <alignment wrapText="1"/>
    </xf>
    <xf numFmtId="0" fontId="26" fillId="0" borderId="0" xfId="0" applyFont="1"/>
    <xf numFmtId="164" fontId="26" fillId="0" borderId="0" xfId="0" applyNumberFormat="1" applyFont="1"/>
    <xf numFmtId="1" fontId="26" fillId="0" borderId="0" xfId="0" applyNumberFormat="1" applyFont="1"/>
    <xf numFmtId="1" fontId="23" fillId="21" borderId="22" xfId="2" applyNumberFormat="1" applyBorder="1"/>
    <xf numFmtId="1" fontId="23" fillId="21" borderId="23" xfId="2" applyNumberFormat="1" applyBorder="1"/>
    <xf numFmtId="1" fontId="23" fillId="21" borderId="24" xfId="2" applyNumberFormat="1" applyBorder="1"/>
    <xf numFmtId="1" fontId="2" fillId="0" borderId="3" xfId="2" applyNumberFormat="1" applyFont="1" applyFill="1" applyBorder="1"/>
    <xf numFmtId="0" fontId="0" fillId="6" borderId="4" xfId="0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20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9" fillId="0" borderId="28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15" borderId="0" xfId="0" applyFont="1" applyFill="1" applyAlignment="1">
      <alignment horizontal="center" vertical="center" wrapText="1"/>
    </xf>
  </cellXfs>
  <cellStyles count="3">
    <cellStyle name="Bad" xfId="2" builtinId="27"/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7D31"/>
      <color rgb="FF264478"/>
      <color rgb="FF4E88BD"/>
      <color rgb="FFFFC000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HSM+BM1 (1:1)   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'HSM+BM1 (1-1)'!$F$60:$F$63</c:f>
              <c:numCache>
                <c:formatCode>0</c:formatCode>
                <c:ptCount val="4"/>
                <c:pt idx="0">
                  <c:v>15.366666666666665</c:v>
                </c:pt>
                <c:pt idx="1">
                  <c:v>57</c:v>
                </c:pt>
                <c:pt idx="2">
                  <c:v>147</c:v>
                </c:pt>
                <c:pt idx="3">
                  <c:v>922.66666666666663</c:v>
                </c:pt>
              </c:numCache>
            </c:numRef>
          </c:xVal>
          <c:yVal>
            <c:numRef>
              <c:f>'HSM+BM1 (1-1)'!$G$60:$G$63</c:f>
              <c:numCache>
                <c:formatCode>0</c:formatCode>
                <c:ptCount val="4"/>
                <c:pt idx="0">
                  <c:v>33.333333333334991</c:v>
                </c:pt>
                <c:pt idx="1">
                  <c:v>-9500</c:v>
                </c:pt>
                <c:pt idx="2">
                  <c:v>-27000</c:v>
                </c:pt>
                <c:pt idx="3">
                  <c:v>-211666.66666666663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75-4872-A5C5-909500F269DA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(1-1)'!$F$60:$F$63</c:f>
              <c:numCache>
                <c:formatCode>0</c:formatCode>
                <c:ptCount val="4"/>
                <c:pt idx="0">
                  <c:v>15.366666666666665</c:v>
                </c:pt>
                <c:pt idx="1">
                  <c:v>57</c:v>
                </c:pt>
                <c:pt idx="2">
                  <c:v>147</c:v>
                </c:pt>
                <c:pt idx="3">
                  <c:v>922.66666666666663</c:v>
                </c:pt>
              </c:numCache>
            </c:numRef>
          </c:xVal>
          <c:yVal>
            <c:numRef>
              <c:f>'HSM+BM1 (1-1)'!$Z$60:$Z$63</c:f>
              <c:numCache>
                <c:formatCode>0</c:formatCode>
                <c:ptCount val="4"/>
                <c:pt idx="0">
                  <c:v>39.269299349540482</c:v>
                </c:pt>
                <c:pt idx="1">
                  <c:v>145.66270062712024</c:v>
                </c:pt>
                <c:pt idx="2">
                  <c:v>375.65647596527077</c:v>
                </c:pt>
                <c:pt idx="3">
                  <c:v>2357.86399141641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75-4872-A5C5-909500F269DA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(1-1)'!$F$60:$F$63</c:f>
              <c:numCache>
                <c:formatCode>0</c:formatCode>
                <c:ptCount val="4"/>
                <c:pt idx="0">
                  <c:v>15.366666666666665</c:v>
                </c:pt>
                <c:pt idx="1">
                  <c:v>57</c:v>
                </c:pt>
                <c:pt idx="2">
                  <c:v>147</c:v>
                </c:pt>
                <c:pt idx="3">
                  <c:v>922.66666666666663</c:v>
                </c:pt>
              </c:numCache>
            </c:numRef>
          </c:xVal>
          <c:yVal>
            <c:numRef>
              <c:f>'HSM+BM1 (1-1)'!$AH$60:$AH$63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75-4872-A5C5-909500F26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'HSM+BM1 (1-1)'!$AF$111:$AF$114</c:f>
              <c:numCache>
                <c:formatCode>General</c:formatCode>
                <c:ptCount val="4"/>
                <c:pt idx="0">
                  <c:v>0.46089784275654788</c:v>
                </c:pt>
                <c:pt idx="1">
                  <c:v>1.0594371878518676</c:v>
                </c:pt>
                <c:pt idx="2">
                  <c:v>1.4124605474299614</c:v>
                </c:pt>
                <c:pt idx="3">
                  <c:v>2.255272505103306</c:v>
                </c:pt>
              </c:numCache>
            </c:numRef>
          </c:xVal>
          <c:yVal>
            <c:numRef>
              <c:f>'HSM+BM1 (1-1)'!$AG$111:$AG$114</c:f>
              <c:numCache>
                <c:formatCode>General</c:formatCode>
                <c:ptCount val="4"/>
                <c:pt idx="0">
                  <c:v>3.6815427260943268</c:v>
                </c:pt>
                <c:pt idx="1">
                  <c:v>4.1827949453501878</c:v>
                </c:pt>
                <c:pt idx="2">
                  <c:v>4.5178554189300284</c:v>
                </c:pt>
                <c:pt idx="3">
                  <c:v>5.3424226808222066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8E-4300-9AF5-D66E9F71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HSM+BM1 (1:1)</a:t>
            </a:r>
            <a:br>
              <a:rPr lang="en-US" sz="1100" baseline="0"/>
            </a:br>
            <a:r>
              <a:rPr lang="en-US" sz="1100" baseline="0"/>
              <a:t>8:2 FTS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'HSM+BM1 (1-1)'!$F$124:$F$127</c:f>
              <c:numCache>
                <c:formatCode>0</c:formatCode>
                <c:ptCount val="4"/>
                <c:pt idx="0">
                  <c:v>2.58</c:v>
                </c:pt>
                <c:pt idx="1">
                  <c:v>13.533333333333333</c:v>
                </c:pt>
                <c:pt idx="2">
                  <c:v>31.55</c:v>
                </c:pt>
                <c:pt idx="3">
                  <c:v>238.33333333333334</c:v>
                </c:pt>
              </c:numCache>
            </c:numRef>
          </c:xVal>
          <c:yVal>
            <c:numRef>
              <c:f>'HSM+BM1 (1-1)'!$G$124:$G$127</c:f>
              <c:numCache>
                <c:formatCode>0</c:formatCode>
                <c:ptCount val="4"/>
                <c:pt idx="0">
                  <c:v>4483.333333333333</c:v>
                </c:pt>
                <c:pt idx="1">
                  <c:v>9666.6666666666661</c:v>
                </c:pt>
                <c:pt idx="2">
                  <c:v>15783.333333333336</c:v>
                </c:pt>
                <c:pt idx="3">
                  <c:v>215999.99999999997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06-4D0F-82AA-0A6A8DFFF63E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(1-1)'!$F$124:$F$127</c:f>
              <c:numCache>
                <c:formatCode>0</c:formatCode>
                <c:ptCount val="4"/>
                <c:pt idx="0">
                  <c:v>2.58</c:v>
                </c:pt>
                <c:pt idx="1">
                  <c:v>13.533333333333333</c:v>
                </c:pt>
                <c:pt idx="2">
                  <c:v>31.55</c:v>
                </c:pt>
                <c:pt idx="3">
                  <c:v>238.33333333333334</c:v>
                </c:pt>
              </c:numCache>
            </c:numRef>
          </c:xVal>
          <c:yVal>
            <c:numRef>
              <c:f>'HSM+BM1 (1-1)'!$Z$124:$Z$127</c:f>
              <c:numCache>
                <c:formatCode>0</c:formatCode>
                <c:ptCount val="4"/>
                <c:pt idx="0">
                  <c:v>2318.9393273865494</c:v>
                </c:pt>
                <c:pt idx="1">
                  <c:v>12163.944814564691</c:v>
                </c:pt>
                <c:pt idx="2">
                  <c:v>28357.56895855513</c:v>
                </c:pt>
                <c:pt idx="3">
                  <c:v>214217.07602234359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06-4D0F-82AA-0A6A8DFFF63E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(1-1)'!$BB$60:$BB$84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0.78588798467926868</c:v>
                </c:pt>
                <c:pt idx="2" formatCode="0">
                  <c:v>1.0075486983067548</c:v>
                </c:pt>
                <c:pt idx="3" formatCode="0">
                  <c:v>1.2917291003932752</c:v>
                </c:pt>
                <c:pt idx="4" formatCode="0">
                  <c:v>1.6560629492221477</c:v>
                </c:pt>
                <c:pt idx="5" formatCode="0">
                  <c:v>2.1231576272078816</c:v>
                </c:pt>
                <c:pt idx="6" formatCode="0">
                  <c:v>2.7219969579588223</c:v>
                </c:pt>
                <c:pt idx="7" formatCode="0">
                  <c:v>3.489739689690798</c:v>
                </c:pt>
                <c:pt idx="8" formatCode="0">
                  <c:v>4.4740252431933305</c:v>
                </c:pt>
                <c:pt idx="9" formatCode="0">
                  <c:v>5.7359297989658087</c:v>
                </c:pt>
                <c:pt idx="10" formatCode="0">
                  <c:v>7.3537561525202673</c:v>
                </c:pt>
                <c:pt idx="11" formatCode="0">
                  <c:v>9.4278925032311118</c:v>
                </c:pt>
                <c:pt idx="12" formatCode="0">
                  <c:v>12.087041670809118</c:v>
                </c:pt>
                <c:pt idx="13" formatCode="0">
                  <c:v>15.4962072702681</c:v>
                </c:pt>
                <c:pt idx="14" formatCode="0">
                  <c:v>19.866932397779614</c:v>
                </c:pt>
                <c:pt idx="15" formatCode="0">
                  <c:v>25.470426150999504</c:v>
                </c:pt>
                <c:pt idx="16" formatCode="0">
                  <c:v>32.654392501281414</c:v>
                </c:pt>
                <c:pt idx="17" formatCode="0">
                  <c:v>41.864605770873609</c:v>
                </c:pt>
                <c:pt idx="18" formatCode="0">
                  <c:v>53.672571501120011</c:v>
                </c:pt>
                <c:pt idx="19" formatCode="0">
                  <c:v>68.810989104000015</c:v>
                </c:pt>
                <c:pt idx="20" formatCode="0">
                  <c:v>88.219216800000012</c:v>
                </c:pt>
                <c:pt idx="21" formatCode="General">
                  <c:v>113.10156000000001</c:v>
                </c:pt>
                <c:pt idx="22" formatCode="General">
                  <c:v>145.00200000000001</c:v>
                </c:pt>
                <c:pt idx="23" formatCode="0">
                  <c:v>185.9</c:v>
                </c:pt>
                <c:pt idx="24" formatCode="0">
                  <c:v>238.33333333333334</c:v>
                </c:pt>
              </c:numCache>
            </c:numRef>
          </c:xVal>
          <c:yVal>
            <c:numRef>
              <c:f>'HSM+BM1 (1-1)'!$BC$60:$BC$84</c:f>
              <c:numCache>
                <c:formatCode>0</c:formatCode>
                <c:ptCount val="25"/>
                <c:pt idx="0">
                  <c:v>0</c:v>
                </c:pt>
                <c:pt idx="1">
                  <c:v>1089.5627847894032</c:v>
                </c:pt>
                <c:pt idx="2">
                  <c:v>1349.1234362779057</c:v>
                </c:pt>
                <c:pt idx="3">
                  <c:v>1670.5178184533072</c:v>
                </c:pt>
                <c:pt idx="4">
                  <c:v>2068.4762466724769</c:v>
                </c:pt>
                <c:pt idx="5">
                  <c:v>2561.2381596801561</c:v>
                </c:pt>
                <c:pt idx="6">
                  <c:v>3171.3880791015408</c:v>
                </c:pt>
                <c:pt idx="7">
                  <c:v>3926.8907150451623</c:v>
                </c:pt>
                <c:pt idx="8">
                  <c:v>4862.372659317225</c:v>
                </c:pt>
                <c:pt idx="9">
                  <c:v>6020.709409480919</c:v>
                </c:pt>
                <c:pt idx="10">
                  <c:v>7454.9904610771155</c:v>
                </c:pt>
                <c:pt idx="11">
                  <c:v>9230.9525331405057</c:v>
                </c:pt>
                <c:pt idx="12">
                  <c:v>11429.992447875207</c:v>
                </c:pt>
                <c:pt idx="13">
                  <c:v>14152.897752366302</c:v>
                </c:pt>
                <c:pt idx="14">
                  <c:v>17524.466066132078</c:v>
                </c:pt>
                <c:pt idx="15">
                  <c:v>21699.224870869144</c:v>
                </c:pt>
                <c:pt idx="16">
                  <c:v>26868.513894784315</c:v>
                </c:pt>
                <c:pt idx="17">
                  <c:v>33269.254695055017</c:v>
                </c:pt>
                <c:pt idx="18">
                  <c:v>41194.809370506322</c:v>
                </c:pt>
                <c:pt idx="19">
                  <c:v>51008.426086701329</c:v>
                </c:pt>
                <c:pt idx="20">
                  <c:v>63159.887655780542</c:v>
                </c:pt>
                <c:pt idx="21">
                  <c:v>78206.126217465338</c:v>
                </c:pt>
                <c:pt idx="22">
                  <c:v>96836.748844064045</c:v>
                </c:pt>
                <c:pt idx="23">
                  <c:v>119905.6439723535</c:v>
                </c:pt>
                <c:pt idx="24">
                  <c:v>148470.11726484771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06-4D0F-82AA-0A6A8DFFF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'HSM+BM1 (1-1)'!$AF$124:$AF$127</c:f>
              <c:numCache>
                <c:formatCode>General</c:formatCode>
                <c:ptCount val="4"/>
                <c:pt idx="0">
                  <c:v>0.41161970596323016</c:v>
                </c:pt>
                <c:pt idx="1">
                  <c:v>1.1314047788575317</c:v>
                </c:pt>
                <c:pt idx="2">
                  <c:v>1.4989993635801531</c:v>
                </c:pt>
                <c:pt idx="3">
                  <c:v>2.377184787081418</c:v>
                </c:pt>
              </c:numCache>
            </c:numRef>
          </c:xVal>
          <c:yVal>
            <c:numRef>
              <c:f>'HSM+BM1 (1-1)'!$AG$124:$AG$127</c:f>
              <c:numCache>
                <c:formatCode>General</c:formatCode>
                <c:ptCount val="4"/>
                <c:pt idx="0">
                  <c:v>3.6516010296187642</c:v>
                </c:pt>
                <c:pt idx="1">
                  <c:v>3.9852767431792935</c:v>
                </c:pt>
                <c:pt idx="2">
                  <c:v>4.1981987286196301</c:v>
                </c:pt>
                <c:pt idx="3">
                  <c:v>5.3344537511509307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70-41C5-9DD6-C4AE040F8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'HSM+BM1 (1-1)'!#REF!</c:f>
            </c:numRef>
          </c:xVal>
          <c:yVal>
            <c:numRef>
              <c:f>'HSM+BM1 (1-1)'!#REF!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79-45C7-89E2-9AEAA038A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HSM+BM1 (1:1) Treatment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No Buffer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27492362634998"/>
          <c:y val="0.1542013888888889"/>
          <c:w val="0.84667953903303084"/>
          <c:h val="0.66226268591426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'HSM+BM1 (1-1)'!$B$30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ED7D3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'HSM+BM1 (1-1)'!$C$36:$C$41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'HSM+BM1 (1-1)'!$M$30:$M$35</c:f>
              <c:numCache>
                <c:formatCode>0.0</c:formatCode>
                <c:ptCount val="6"/>
                <c:pt idx="0">
                  <c:v>0.33629907461037351</c:v>
                </c:pt>
                <c:pt idx="1">
                  <c:v>1.9726403482959209</c:v>
                </c:pt>
                <c:pt idx="2">
                  <c:v>2.7478326789853633</c:v>
                </c:pt>
                <c:pt idx="3">
                  <c:v>0</c:v>
                </c:pt>
                <c:pt idx="4">
                  <c:v>3.220644883337779</c:v>
                </c:pt>
                <c:pt idx="5">
                  <c:v>3.2399813236555342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E-4B5E-839B-FDD9B29CFB1F}"/>
            </c:ext>
          </c:extLst>
        </c:ser>
        <c:ser>
          <c:idx val="1"/>
          <c:order val="1"/>
          <c:tx>
            <c:strRef>
              <c:f>'HSM+BM1 (1-1)'!$B$36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'HSM+BM1 (1-1)'!$C$36:$C$41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'HSM+BM1 (1-1)'!$M$36:$M$41</c:f>
              <c:numCache>
                <c:formatCode>0.0</c:formatCode>
                <c:ptCount val="6"/>
                <c:pt idx="0">
                  <c:v>0</c:v>
                </c:pt>
                <c:pt idx="1">
                  <c:v>1.6214885431662882</c:v>
                </c:pt>
                <c:pt idx="2">
                  <c:v>2.4211698493905125</c:v>
                </c:pt>
                <c:pt idx="3">
                  <c:v>0</c:v>
                </c:pt>
                <c:pt idx="4">
                  <c:v>3.12335775749832</c:v>
                </c:pt>
                <c:pt idx="5">
                  <c:v>2.8538719643217618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8E-4B5E-839B-FDD9B29CFB1F}"/>
            </c:ext>
          </c:extLst>
        </c:ser>
        <c:ser>
          <c:idx val="2"/>
          <c:order val="2"/>
          <c:tx>
            <c:strRef>
              <c:f>'HSM+BM1 (1-1)'!$B$42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rgbClr val="4E88BD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'HSM+BM1 (1-1)'!$C$36:$C$41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'HSM+BM1 (1-1)'!$M$42:$M$47</c:f>
              <c:numCache>
                <c:formatCode>0.0</c:formatCode>
                <c:ptCount val="6"/>
                <c:pt idx="0">
                  <c:v>0</c:v>
                </c:pt>
                <c:pt idx="1">
                  <c:v>1.3886307845372663</c:v>
                </c:pt>
                <c:pt idx="2">
                  <c:v>2.7510783710218845</c:v>
                </c:pt>
                <c:pt idx="3">
                  <c:v>0</c:v>
                </c:pt>
                <c:pt idx="4">
                  <c:v>3.1053948715000672</c:v>
                </c:pt>
                <c:pt idx="5">
                  <c:v>2.6991993650394766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8E-4B5E-839B-FDD9B29CFB1F}"/>
            </c:ext>
          </c:extLst>
        </c:ser>
        <c:ser>
          <c:idx val="3"/>
          <c:order val="3"/>
          <c:tx>
            <c:strRef>
              <c:f>'HSM+BM1 (1-1)'!$B$48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rgbClr val="264478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'HSM+BM1 (1-1)'!$C$36:$C$41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'HSM+BM1 (1-1)'!$M$48:$M$53</c:f>
              <c:numCache>
                <c:formatCode>0.0</c:formatCode>
                <c:ptCount val="6"/>
                <c:pt idx="0">
                  <c:v>0</c:v>
                </c:pt>
                <c:pt idx="1">
                  <c:v>2.395611346353455</c:v>
                </c:pt>
                <c:pt idx="2">
                  <c:v>2.773798942843952</c:v>
                </c:pt>
                <c:pt idx="3">
                  <c:v>0</c:v>
                </c:pt>
                <c:pt idx="4">
                  <c:v>3.0871501757189002</c:v>
                </c:pt>
                <c:pt idx="5">
                  <c:v>2.9572689640695127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8E-4B5E-839B-FDD9B29CF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571536"/>
        <c:axId val="704569240"/>
      </c:barChart>
      <c:catAx>
        <c:axId val="70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69240"/>
        <c:crosses val="autoZero"/>
        <c:auto val="1"/>
        <c:lblAlgn val="ctr"/>
        <c:lblOffset val="100"/>
        <c:noMultiLvlLbl val="0"/>
      </c:catAx>
      <c:valAx>
        <c:axId val="704569240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Log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Kd (log L/kg)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321428571428572E-2"/>
              <c:y val="0.34979571830629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715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Freundlich Adsorption Isotherms for HSM + BM1 (1:1)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419222987751532"/>
          <c:y val="0.13532414698162729"/>
          <c:w val="0.68286781860600754"/>
          <c:h val="0.71188276465441824"/>
        </c:manualLayout>
      </c:layout>
      <c:scatterChart>
        <c:scatterStyle val="lineMarker"/>
        <c:varyColors val="0"/>
        <c:ser>
          <c:idx val="6"/>
          <c:order val="0"/>
          <c:tx>
            <c:v>PFOA Measured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xVal>
            <c:numRef>
              <c:f>'HSM+BM1 (1-1)'!$F$73:$F$76</c:f>
              <c:numCache>
                <c:formatCode>0</c:formatCode>
                <c:ptCount val="4"/>
                <c:pt idx="0">
                  <c:v>7.206666666666667</c:v>
                </c:pt>
                <c:pt idx="1">
                  <c:v>25.5</c:v>
                </c:pt>
                <c:pt idx="2">
                  <c:v>61.3</c:v>
                </c:pt>
                <c:pt idx="3">
                  <c:v>374</c:v>
                </c:pt>
              </c:numCache>
            </c:numRef>
          </c:xVal>
          <c:yVal>
            <c:numRef>
              <c:f>'HSM+BM1 (1-1)'!$G$73:$G$76</c:f>
              <c:numCache>
                <c:formatCode>0</c:formatCode>
                <c:ptCount val="4"/>
                <c:pt idx="0">
                  <c:v>676.66666666666583</c:v>
                </c:pt>
                <c:pt idx="1">
                  <c:v>1066.6666666666665</c:v>
                </c:pt>
                <c:pt idx="2">
                  <c:v>1500.0000000000002</c:v>
                </c:pt>
                <c:pt idx="3">
                  <c:v>93000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2C-42CB-A366-FBAD2E780DBB}"/>
            </c:ext>
          </c:extLst>
        </c:ser>
        <c:ser>
          <c:idx val="8"/>
          <c:order val="1"/>
          <c:tx>
            <c:v>PFOA Freundlich</c:v>
          </c:tx>
          <c:spPr>
            <a:ln w="317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'HSM+BM1 (1-1)'!$AT$60:$AT$84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1.233239606727468</c:v>
                </c:pt>
                <c:pt idx="2" formatCode="0">
                  <c:v>1.5810764188813691</c:v>
                </c:pt>
                <c:pt idx="3" formatCode="0">
                  <c:v>2.0270210498479089</c:v>
                </c:pt>
                <c:pt idx="4" formatCode="0">
                  <c:v>2.5987449357024475</c:v>
                </c:pt>
                <c:pt idx="5" formatCode="0">
                  <c:v>3.3317242765415993</c:v>
                </c:pt>
                <c:pt idx="6" formatCode="0">
                  <c:v>4.2714413801815372</c:v>
                </c:pt>
                <c:pt idx="7" formatCode="0">
                  <c:v>5.4762068976686367</c:v>
                </c:pt>
                <c:pt idx="8" formatCode="0">
                  <c:v>7.0207780739341494</c:v>
                </c:pt>
                <c:pt idx="9" formatCode="0">
                  <c:v>9.0009975306848062</c:v>
                </c:pt>
                <c:pt idx="10" formatCode="0">
                  <c:v>11.53974042395488</c:v>
                </c:pt>
                <c:pt idx="11" formatCode="0">
                  <c:v>14.794539005070359</c:v>
                </c:pt>
                <c:pt idx="12" formatCode="0">
                  <c:v>18.967357698808151</c:v>
                </c:pt>
                <c:pt idx="13" formatCode="0">
                  <c:v>24.317125254882242</c:v>
                </c:pt>
                <c:pt idx="14" formatCode="0">
                  <c:v>31.175801608823384</c:v>
                </c:pt>
                <c:pt idx="15" formatCode="0">
                  <c:v>39.968976421568442</c:v>
                </c:pt>
                <c:pt idx="16" formatCode="0">
                  <c:v>51.242277463549286</c:v>
                </c:pt>
                <c:pt idx="17" formatCode="0">
                  <c:v>65.695227517370881</c:v>
                </c:pt>
                <c:pt idx="18" formatCode="0">
                  <c:v>84.224650663296003</c:v>
                </c:pt>
                <c:pt idx="19" formatCode="0">
                  <c:v>107.98032136320001</c:v>
                </c:pt>
                <c:pt idx="20" formatCode="0">
                  <c:v>138.43630944</c:v>
                </c:pt>
                <c:pt idx="21" formatCode="General">
                  <c:v>177.48244800000001</c:v>
                </c:pt>
                <c:pt idx="22" formatCode="General">
                  <c:v>227.54160000000002</c:v>
                </c:pt>
                <c:pt idx="23" formatCode="0">
                  <c:v>291.72000000000003</c:v>
                </c:pt>
                <c:pt idx="24" formatCode="0">
                  <c:v>374</c:v>
                </c:pt>
              </c:numCache>
            </c:numRef>
          </c:xVal>
          <c:yVal>
            <c:numRef>
              <c:f>'HSM+BM1 (1-1)'!$AU$60:$AU$84</c:f>
              <c:numCache>
                <c:formatCode>0</c:formatCode>
                <c:ptCount val="25"/>
                <c:pt idx="0">
                  <c:v>0</c:v>
                </c:pt>
                <c:pt idx="1">
                  <c:v>34.273170969633306</c:v>
                </c:pt>
                <c:pt idx="2">
                  <c:v>46.825755587676511</c:v>
                </c:pt>
                <c:pt idx="3">
                  <c:v>63.975737415704856</c:v>
                </c:pt>
                <c:pt idx="4">
                  <c:v>87.406917977429856</c:v>
                </c:pt>
                <c:pt idx="5">
                  <c:v>119.41979286099917</c:v>
                </c:pt>
                <c:pt idx="6">
                  <c:v>163.15741656337124</c:v>
                </c:pt>
                <c:pt idx="7">
                  <c:v>222.91399056954216</c:v>
                </c:pt>
                <c:pt idx="8">
                  <c:v>304.55647213767833</c:v>
                </c:pt>
                <c:pt idx="9">
                  <c:v>416.10059774158458</c:v>
                </c:pt>
                <c:pt idx="10">
                  <c:v>568.497875699828</c:v>
                </c:pt>
                <c:pt idx="11">
                  <c:v>776.71081567619171</c:v>
                </c:pt>
                <c:pt idx="12">
                  <c:v>1061.1819621062434</c:v>
                </c:pt>
                <c:pt idx="13">
                  <c:v>1449.8409626487392</c:v>
                </c:pt>
                <c:pt idx="14">
                  <c:v>1980.8467275509256</c:v>
                </c:pt>
                <c:pt idx="15">
                  <c:v>2706.3339077417418</c:v>
                </c:pt>
                <c:pt idx="16">
                  <c:v>3697.5315244346116</c:v>
                </c:pt>
                <c:pt idx="17">
                  <c:v>5051.7563021615106</c:v>
                </c:pt>
                <c:pt idx="18">
                  <c:v>6901.9673173255433</c:v>
                </c:pt>
                <c:pt idx="19">
                  <c:v>9429.8200467522984</c:v>
                </c:pt>
                <c:pt idx="20">
                  <c:v>12883.501475139996</c:v>
                </c:pt>
                <c:pt idx="21">
                  <c:v>17602.097329216853</c:v>
                </c:pt>
                <c:pt idx="22">
                  <c:v>24048.883836826419</c:v>
                </c:pt>
                <c:pt idx="23">
                  <c:v>32856.812627504187</c:v>
                </c:pt>
                <c:pt idx="24">
                  <c:v>44890.654525336366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2C-42CB-A366-FBAD2E780DBB}"/>
            </c:ext>
          </c:extLst>
        </c:ser>
        <c:ser>
          <c:idx val="9"/>
          <c:order val="2"/>
          <c:tx>
            <c:v>PFNA Measured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'HSM+BM1 (1-1)'!$F$86:$F$89</c:f>
              <c:numCache>
                <c:formatCode>0</c:formatCode>
                <c:ptCount val="4"/>
                <c:pt idx="0">
                  <c:v>4.3666666666666671</c:v>
                </c:pt>
                <c:pt idx="1">
                  <c:v>18.2</c:v>
                </c:pt>
                <c:pt idx="2">
                  <c:v>35.299999999999997</c:v>
                </c:pt>
                <c:pt idx="3">
                  <c:v>234</c:v>
                </c:pt>
              </c:numCache>
            </c:numRef>
          </c:xVal>
          <c:yVal>
            <c:numRef>
              <c:f>'HSM+BM1 (1-1)'!$G$86:$G$89</c:f>
              <c:numCache>
                <c:formatCode>0</c:formatCode>
                <c:ptCount val="4"/>
                <c:pt idx="0">
                  <c:v>2443.3333333333326</c:v>
                </c:pt>
                <c:pt idx="1">
                  <c:v>4800.0000000000009</c:v>
                </c:pt>
                <c:pt idx="2">
                  <c:v>19900.000000000007</c:v>
                </c:pt>
                <c:pt idx="3">
                  <c:v>139000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2C-42CB-A366-FBAD2E780DBB}"/>
            </c:ext>
          </c:extLst>
        </c:ser>
        <c:ser>
          <c:idx val="11"/>
          <c:order val="3"/>
          <c:tx>
            <c:v>PFNA Freundlich</c:v>
          </c:tx>
          <c:spPr>
            <a:ln w="317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'HSM+BM1 (1-1)'!$AV$60:$AV$84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0.771599112230555</c:v>
                </c:pt>
                <c:pt idx="2" formatCode="0">
                  <c:v>0.9892296310648141</c:v>
                </c:pt>
                <c:pt idx="3" formatCode="0">
                  <c:v>1.2682431167497616</c:v>
                </c:pt>
                <c:pt idx="4" formatCode="0">
                  <c:v>1.6259527137817458</c:v>
                </c:pt>
                <c:pt idx="5" formatCode="0">
                  <c:v>2.0845547612586484</c:v>
                </c:pt>
                <c:pt idx="6" formatCode="0">
                  <c:v>2.6725061041777542</c:v>
                </c:pt>
                <c:pt idx="7" formatCode="0">
                  <c:v>3.4262898771509667</c:v>
                </c:pt>
                <c:pt idx="8" formatCode="0">
                  <c:v>4.3926793296807265</c:v>
                </c:pt>
                <c:pt idx="9" formatCode="0">
                  <c:v>5.6316401662573412</c:v>
                </c:pt>
                <c:pt idx="10" formatCode="0">
                  <c:v>7.2200514952017194</c:v>
                </c:pt>
                <c:pt idx="11" formatCode="0">
                  <c:v>9.2564762758996402</c:v>
                </c:pt>
                <c:pt idx="12" formatCode="0">
                  <c:v>11.867277276794409</c:v>
                </c:pt>
                <c:pt idx="13" formatCode="0">
                  <c:v>15.214458047172318</c:v>
                </c:pt>
                <c:pt idx="14" formatCode="0">
                  <c:v>19.505715445092715</c:v>
                </c:pt>
                <c:pt idx="15" formatCode="0">
                  <c:v>25.007327493708608</c:v>
                </c:pt>
                <c:pt idx="16" formatCode="0">
                  <c:v>32.060676273985393</c:v>
                </c:pt>
                <c:pt idx="17" formatCode="0">
                  <c:v>41.103431120494093</c:v>
                </c:pt>
                <c:pt idx="18" formatCode="0">
                  <c:v>52.696706564736012</c:v>
                </c:pt>
                <c:pt idx="19" formatCode="0">
                  <c:v>67.55988021120001</c:v>
                </c:pt>
                <c:pt idx="20" formatCode="0">
                  <c:v>86.615231040000012</c:v>
                </c:pt>
                <c:pt idx="21" formatCode="General">
                  <c:v>111.045168</c:v>
                </c:pt>
                <c:pt idx="22" formatCode="General">
                  <c:v>142.3656</c:v>
                </c:pt>
                <c:pt idx="23" formatCode="0">
                  <c:v>182.52</c:v>
                </c:pt>
                <c:pt idx="24" formatCode="0">
                  <c:v>234</c:v>
                </c:pt>
              </c:numCache>
            </c:numRef>
          </c:xVal>
          <c:yVal>
            <c:numRef>
              <c:f>'HSM+BM1 (1-1)'!$AW$60:$AW$84</c:f>
              <c:numCache>
                <c:formatCode>0</c:formatCode>
                <c:ptCount val="25"/>
                <c:pt idx="0">
                  <c:v>0</c:v>
                </c:pt>
                <c:pt idx="1">
                  <c:v>296.61353065819389</c:v>
                </c:pt>
                <c:pt idx="2">
                  <c:v>385.65828701092039</c:v>
                </c:pt>
                <c:pt idx="3">
                  <c:v>501.43469183673523</c:v>
                </c:pt>
                <c:pt idx="4">
                  <c:v>651.96770987649461</c:v>
                </c:pt>
                <c:pt idx="5">
                  <c:v>847.69143747237797</c:v>
                </c:pt>
                <c:pt idx="6">
                  <c:v>1102.1723350380507</c:v>
                </c:pt>
                <c:pt idx="7">
                  <c:v>1433.0495772676875</c:v>
                </c:pt>
                <c:pt idx="8">
                  <c:v>1863.2577008351407</c:v>
                </c:pt>
                <c:pt idx="9">
                  <c:v>2422.6162965979165</c:v>
                </c:pt>
                <c:pt idx="10">
                  <c:v>3149.8969347671009</c:v>
                </c:pt>
                <c:pt idx="11">
                  <c:v>4095.5105905910268</c:v>
                </c:pt>
                <c:pt idx="12">
                  <c:v>5325.0018476821824</c:v>
                </c:pt>
                <c:pt idx="13">
                  <c:v>6923.5920773743192</c:v>
                </c:pt>
                <c:pt idx="14">
                  <c:v>9002.0865015747659</c:v>
                </c:pt>
                <c:pt idx="15">
                  <c:v>11704.55458325717</c:v>
                </c:pt>
                <c:pt idx="16">
                  <c:v>15218.316105769605</c:v>
                </c:pt>
                <c:pt idx="17">
                  <c:v>19786.925119424501</c:v>
                </c:pt>
                <c:pt idx="18">
                  <c:v>25727.05172901995</c:v>
                </c:pt>
                <c:pt idx="19">
                  <c:v>33450.43187220188</c:v>
                </c:pt>
                <c:pt idx="20">
                  <c:v>43492.406523001271</c:v>
                </c:pt>
                <c:pt idx="21">
                  <c:v>56549.02849651876</c:v>
                </c:pt>
                <c:pt idx="22">
                  <c:v>73525.308888320957</c:v>
                </c:pt>
                <c:pt idx="23">
                  <c:v>95597.947318507926</c:v>
                </c:pt>
                <c:pt idx="24">
                  <c:v>124296.89408573015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2C-42CB-A366-FBAD2E780DBB}"/>
            </c:ext>
          </c:extLst>
        </c:ser>
        <c:ser>
          <c:idx val="18"/>
          <c:order val="4"/>
          <c:tx>
            <c:v>PFOS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'HSM+BM1 (1-1)'!$F$111:$F$114</c:f>
              <c:numCache>
                <c:formatCode>0</c:formatCode>
                <c:ptCount val="4"/>
                <c:pt idx="0">
                  <c:v>2.89</c:v>
                </c:pt>
                <c:pt idx="1">
                  <c:v>11.466666666666667</c:v>
                </c:pt>
                <c:pt idx="2">
                  <c:v>25.85</c:v>
                </c:pt>
                <c:pt idx="3">
                  <c:v>180</c:v>
                </c:pt>
              </c:numCache>
            </c:numRef>
          </c:xVal>
          <c:yVal>
            <c:numRef>
              <c:f>'HSM+BM1 (1-1)'!$G$111:$G$114</c:f>
              <c:numCache>
                <c:formatCode>0</c:formatCode>
                <c:ptCount val="4"/>
                <c:pt idx="0">
                  <c:v>4803.3333333333321</c:v>
                </c:pt>
                <c:pt idx="1">
                  <c:v>15233.333333333334</c:v>
                </c:pt>
                <c:pt idx="2">
                  <c:v>32950</c:v>
                </c:pt>
                <c:pt idx="3">
                  <c:v>220000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2C-42CB-A366-FBAD2E780DBB}"/>
            </c:ext>
          </c:extLst>
        </c:ser>
        <c:ser>
          <c:idx val="20"/>
          <c:order val="5"/>
          <c:tx>
            <c:v>PFOS Freundlich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'HSM+BM1 (1-1)'!$AZ$60:$AZ$84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0.59353777863888846</c:v>
                </c:pt>
                <c:pt idx="2" formatCode="0">
                  <c:v>0.76094587004985703</c:v>
                </c:pt>
                <c:pt idx="3" formatCode="0">
                  <c:v>0.97557162826904742</c:v>
                </c:pt>
                <c:pt idx="4" formatCode="0">
                  <c:v>1.250732856755189</c:v>
                </c:pt>
                <c:pt idx="5" formatCode="0">
                  <c:v>1.6035036625066525</c:v>
                </c:pt>
                <c:pt idx="6" formatCode="0">
                  <c:v>2.0557739262905801</c:v>
                </c:pt>
                <c:pt idx="7" formatCode="0">
                  <c:v>2.6356075978084359</c:v>
                </c:pt>
                <c:pt idx="8" formatCode="0">
                  <c:v>3.3789840997544047</c:v>
                </c:pt>
                <c:pt idx="9" formatCode="0">
                  <c:v>4.3320308971210313</c:v>
                </c:pt>
                <c:pt idx="10" formatCode="0">
                  <c:v>5.5538857655397837</c:v>
                </c:pt>
                <c:pt idx="11" formatCode="0">
                  <c:v>7.1203663660766452</c:v>
                </c:pt>
                <c:pt idx="12" formatCode="0">
                  <c:v>9.1286748283033905</c:v>
                </c:pt>
                <c:pt idx="13" formatCode="0">
                  <c:v>11.703429267055629</c:v>
                </c:pt>
                <c:pt idx="14" formatCode="0">
                  <c:v>15.004396496225164</c:v>
                </c:pt>
                <c:pt idx="15" formatCode="0">
                  <c:v>19.236405764391236</c:v>
                </c:pt>
                <c:pt idx="16" formatCode="0">
                  <c:v>24.662058672296457</c:v>
                </c:pt>
                <c:pt idx="17" formatCode="0">
                  <c:v>31.61802393884161</c:v>
                </c:pt>
                <c:pt idx="18" formatCode="0">
                  <c:v>40.535928126720009</c:v>
                </c:pt>
                <c:pt idx="19" formatCode="0">
                  <c:v>51.96913862400001</c:v>
                </c:pt>
                <c:pt idx="20" formatCode="0">
                  <c:v>66.627100800000008</c:v>
                </c:pt>
                <c:pt idx="21" formatCode="General">
                  <c:v>85.419360000000012</c:v>
                </c:pt>
                <c:pt idx="22" formatCode="General">
                  <c:v>109.51200000000001</c:v>
                </c:pt>
                <c:pt idx="23" formatCode="0">
                  <c:v>140.4</c:v>
                </c:pt>
                <c:pt idx="24" formatCode="0">
                  <c:v>180</c:v>
                </c:pt>
              </c:numCache>
            </c:numRef>
          </c:xVal>
          <c:yVal>
            <c:numRef>
              <c:f>'HSM+BM1 (1-1)'!$BA$60:$BA$84</c:f>
              <c:numCache>
                <c:formatCode>0</c:formatCode>
                <c:ptCount val="25"/>
                <c:pt idx="0">
                  <c:v>0</c:v>
                </c:pt>
                <c:pt idx="1">
                  <c:v>1033.3529073685552</c:v>
                </c:pt>
                <c:pt idx="2">
                  <c:v>1301.966242818932</c:v>
                </c:pt>
                <c:pt idx="3">
                  <c:v>1640.4038594681826</c:v>
                </c:pt>
                <c:pt idx="4">
                  <c:v>2066.8161229218172</c:v>
                </c:pt>
                <c:pt idx="5">
                  <c:v>2604.0714677143355</c:v>
                </c:pt>
                <c:pt idx="6">
                  <c:v>3280.9828284953869</c:v>
                </c:pt>
                <c:pt idx="7">
                  <c:v>4133.8528739882067</c:v>
                </c:pt>
                <c:pt idx="8">
                  <c:v>5208.4209144176493</c:v>
                </c:pt>
                <c:pt idx="9">
                  <c:v>6562.3158948013843</c:v>
                </c:pt>
                <c:pt idx="10">
                  <c:v>8268.1470278171328</c:v>
                </c:pt>
                <c:pt idx="11">
                  <c:v>10417.397816486913</c:v>
                </c:pt>
                <c:pt idx="12">
                  <c:v>13125.332302611116</c:v>
                </c:pt>
                <c:pt idx="13">
                  <c:v>16537.176662421381</c:v>
                </c:pt>
                <c:pt idx="14">
                  <c:v>20835.907667627522</c:v>
                </c:pt>
                <c:pt idx="15">
                  <c:v>26252.065706017165</c:v>
                </c:pt>
                <c:pt idx="16">
                  <c:v>33076.118632633341</c:v>
                </c:pt>
                <c:pt idx="17">
                  <c:v>41674.039523269748</c:v>
                </c:pt>
                <c:pt idx="18">
                  <c:v>52506.933763188696</c:v>
                </c:pt>
                <c:pt idx="19">
                  <c:v>66155.768069290643</c:v>
                </c:pt>
                <c:pt idx="20">
                  <c:v>83352.52765999618</c:v>
                </c:pt>
                <c:pt idx="21">
                  <c:v>105019.47252783109</c:v>
                </c:pt>
                <c:pt idx="22">
                  <c:v>132318.59812353479</c:v>
                </c:pt>
                <c:pt idx="23">
                  <c:v>166713.95302178554</c:v>
                </c:pt>
                <c:pt idx="24">
                  <c:v>210050.15565689106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B2C-42CB-A366-FBAD2E780DBB}"/>
            </c:ext>
          </c:extLst>
        </c:ser>
        <c:ser>
          <c:idx val="0"/>
          <c:order val="6"/>
          <c:tx>
            <c:v>8:2 FTS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'HSM+BM1 (1-1)'!$F$124:$F$127</c:f>
              <c:numCache>
                <c:formatCode>0</c:formatCode>
                <c:ptCount val="4"/>
                <c:pt idx="0">
                  <c:v>2.58</c:v>
                </c:pt>
                <c:pt idx="1">
                  <c:v>13.533333333333333</c:v>
                </c:pt>
                <c:pt idx="2">
                  <c:v>31.55</c:v>
                </c:pt>
                <c:pt idx="3">
                  <c:v>238.33333333333334</c:v>
                </c:pt>
              </c:numCache>
            </c:numRef>
          </c:xVal>
          <c:yVal>
            <c:numRef>
              <c:f>'HSM+BM1 (1-1)'!$G$124:$G$127</c:f>
              <c:numCache>
                <c:formatCode>0</c:formatCode>
                <c:ptCount val="4"/>
                <c:pt idx="0">
                  <c:v>4483.333333333333</c:v>
                </c:pt>
                <c:pt idx="1">
                  <c:v>9666.6666666666661</c:v>
                </c:pt>
                <c:pt idx="2">
                  <c:v>15783.333333333336</c:v>
                </c:pt>
                <c:pt idx="3">
                  <c:v>215999.99999999997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B2C-42CB-A366-FBAD2E780DBB}"/>
            </c:ext>
          </c:extLst>
        </c:ser>
        <c:ser>
          <c:idx val="2"/>
          <c:order val="7"/>
          <c:tx>
            <c:v>8:2 FTS Freundlich</c:v>
          </c:tx>
          <c:spPr>
            <a:ln w="317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'HSM+BM1 (1-1)'!$BB$60:$BB$84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0.78588798467926868</c:v>
                </c:pt>
                <c:pt idx="2" formatCode="0">
                  <c:v>1.0075486983067548</c:v>
                </c:pt>
                <c:pt idx="3" formatCode="0">
                  <c:v>1.2917291003932752</c:v>
                </c:pt>
                <c:pt idx="4" formatCode="0">
                  <c:v>1.6560629492221477</c:v>
                </c:pt>
                <c:pt idx="5" formatCode="0">
                  <c:v>2.1231576272078816</c:v>
                </c:pt>
                <c:pt idx="6" formatCode="0">
                  <c:v>2.7219969579588223</c:v>
                </c:pt>
                <c:pt idx="7" formatCode="0">
                  <c:v>3.489739689690798</c:v>
                </c:pt>
                <c:pt idx="8" formatCode="0">
                  <c:v>4.4740252431933305</c:v>
                </c:pt>
                <c:pt idx="9" formatCode="0">
                  <c:v>5.7359297989658087</c:v>
                </c:pt>
                <c:pt idx="10" formatCode="0">
                  <c:v>7.3537561525202673</c:v>
                </c:pt>
                <c:pt idx="11" formatCode="0">
                  <c:v>9.4278925032311118</c:v>
                </c:pt>
                <c:pt idx="12" formatCode="0">
                  <c:v>12.087041670809118</c:v>
                </c:pt>
                <c:pt idx="13" formatCode="0">
                  <c:v>15.4962072702681</c:v>
                </c:pt>
                <c:pt idx="14" formatCode="0">
                  <c:v>19.866932397779614</c:v>
                </c:pt>
                <c:pt idx="15" formatCode="0">
                  <c:v>25.470426150999504</c:v>
                </c:pt>
                <c:pt idx="16" formatCode="0">
                  <c:v>32.654392501281414</c:v>
                </c:pt>
                <c:pt idx="17" formatCode="0">
                  <c:v>41.864605770873609</c:v>
                </c:pt>
                <c:pt idx="18" formatCode="0">
                  <c:v>53.672571501120011</c:v>
                </c:pt>
                <c:pt idx="19" formatCode="0">
                  <c:v>68.810989104000015</c:v>
                </c:pt>
                <c:pt idx="20" formatCode="0">
                  <c:v>88.219216800000012</c:v>
                </c:pt>
                <c:pt idx="21" formatCode="General">
                  <c:v>113.10156000000001</c:v>
                </c:pt>
                <c:pt idx="22" formatCode="General">
                  <c:v>145.00200000000001</c:v>
                </c:pt>
                <c:pt idx="23" formatCode="0">
                  <c:v>185.9</c:v>
                </c:pt>
                <c:pt idx="24" formatCode="0">
                  <c:v>238.33333333333334</c:v>
                </c:pt>
              </c:numCache>
            </c:numRef>
          </c:xVal>
          <c:yVal>
            <c:numRef>
              <c:f>'HSM+BM1 (1-1)'!$BC$60:$BC$84</c:f>
              <c:numCache>
                <c:formatCode>0</c:formatCode>
                <c:ptCount val="25"/>
                <c:pt idx="0">
                  <c:v>0</c:v>
                </c:pt>
                <c:pt idx="1">
                  <c:v>1089.5627847894032</c:v>
                </c:pt>
                <c:pt idx="2">
                  <c:v>1349.1234362779057</c:v>
                </c:pt>
                <c:pt idx="3">
                  <c:v>1670.5178184533072</c:v>
                </c:pt>
                <c:pt idx="4">
                  <c:v>2068.4762466724769</c:v>
                </c:pt>
                <c:pt idx="5">
                  <c:v>2561.2381596801561</c:v>
                </c:pt>
                <c:pt idx="6">
                  <c:v>3171.3880791015408</c:v>
                </c:pt>
                <c:pt idx="7">
                  <c:v>3926.8907150451623</c:v>
                </c:pt>
                <c:pt idx="8">
                  <c:v>4862.372659317225</c:v>
                </c:pt>
                <c:pt idx="9">
                  <c:v>6020.709409480919</c:v>
                </c:pt>
                <c:pt idx="10">
                  <c:v>7454.9904610771155</c:v>
                </c:pt>
                <c:pt idx="11">
                  <c:v>9230.9525331405057</c:v>
                </c:pt>
                <c:pt idx="12">
                  <c:v>11429.992447875207</c:v>
                </c:pt>
                <c:pt idx="13">
                  <c:v>14152.897752366302</c:v>
                </c:pt>
                <c:pt idx="14">
                  <c:v>17524.466066132078</c:v>
                </c:pt>
                <c:pt idx="15">
                  <c:v>21699.224870869144</c:v>
                </c:pt>
                <c:pt idx="16">
                  <c:v>26868.513894784315</c:v>
                </c:pt>
                <c:pt idx="17">
                  <c:v>33269.254695055017</c:v>
                </c:pt>
                <c:pt idx="18">
                  <c:v>41194.809370506322</c:v>
                </c:pt>
                <c:pt idx="19">
                  <c:v>51008.426086701329</c:v>
                </c:pt>
                <c:pt idx="20">
                  <c:v>63159.887655780542</c:v>
                </c:pt>
                <c:pt idx="21">
                  <c:v>78206.126217465338</c:v>
                </c:pt>
                <c:pt idx="22">
                  <c:v>96836.748844064045</c:v>
                </c:pt>
                <c:pt idx="23">
                  <c:v>119905.6439723535</c:v>
                </c:pt>
                <c:pt idx="24">
                  <c:v>148470.11726484771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B2C-42CB-A366-FBAD2E780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Concentration in Solid (ug/kg)</a:t>
                </a:r>
              </a:p>
            </c:rich>
          </c:tx>
          <c:layout>
            <c:manualLayout>
              <c:xMode val="edge"/>
              <c:yMode val="edge"/>
              <c:x val="1.7342762710216775E-2"/>
              <c:y val="0.21948866446042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762088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663422280548257"/>
          <c:y val="0.12422309711286089"/>
          <c:w val="0.20128827646544181"/>
          <c:h val="0.428432994788694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SHW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SHW!$F$60:$F$63</c:f>
              <c:numCache>
                <c:formatCode>0</c:formatCode>
                <c:ptCount val="4"/>
                <c:pt idx="0">
                  <c:v>11.3</c:v>
                </c:pt>
                <c:pt idx="1">
                  <c:v>55.866666666666667</c:v>
                </c:pt>
                <c:pt idx="2">
                  <c:v>126.66666666666667</c:v>
                </c:pt>
                <c:pt idx="3">
                  <c:v>723</c:v>
                </c:pt>
              </c:numCache>
            </c:numRef>
          </c:xVal>
          <c:yVal>
            <c:numRef>
              <c:f>SHW!$G$60:$G$63</c:f>
              <c:numCache>
                <c:formatCode>0</c:formatCode>
                <c:ptCount val="4"/>
                <c:pt idx="0">
                  <c:v>4100</c:v>
                </c:pt>
                <c:pt idx="1">
                  <c:v>-8366.6666666666679</c:v>
                </c:pt>
                <c:pt idx="2">
                  <c:v>-6666.6666666666715</c:v>
                </c:pt>
                <c:pt idx="3">
                  <c:v>-12000.000000000002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4-457A-8775-71D2E52DF9BB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SHW!$F$60:$F$63</c:f>
              <c:numCache>
                <c:formatCode>0</c:formatCode>
                <c:ptCount val="4"/>
                <c:pt idx="0">
                  <c:v>11.3</c:v>
                </c:pt>
                <c:pt idx="1">
                  <c:v>55.866666666666667</c:v>
                </c:pt>
                <c:pt idx="2">
                  <c:v>126.66666666666667</c:v>
                </c:pt>
                <c:pt idx="3">
                  <c:v>723</c:v>
                </c:pt>
              </c:numCache>
            </c:numRef>
          </c:xVal>
          <c:yVal>
            <c:numRef>
              <c:f>SHW!$Z$60:$Z$63</c:f>
              <c:numCache>
                <c:formatCode>0</c:formatCode>
                <c:ptCount val="4"/>
                <c:pt idx="0">
                  <c:v>3311.7735472467371</c:v>
                </c:pt>
                <c:pt idx="1">
                  <c:v>16373.255784796527</c:v>
                </c:pt>
                <c:pt idx="2">
                  <c:v>37123.146878345666</c:v>
                </c:pt>
                <c:pt idx="3">
                  <c:v>211895.65109031819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24-457A-8775-71D2E52DF9BB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SHW!$F$60:$F$63</c:f>
              <c:numCache>
                <c:formatCode>0</c:formatCode>
                <c:ptCount val="4"/>
                <c:pt idx="0">
                  <c:v>11.3</c:v>
                </c:pt>
                <c:pt idx="1">
                  <c:v>55.866666666666667</c:v>
                </c:pt>
                <c:pt idx="2">
                  <c:v>126.66666666666667</c:v>
                </c:pt>
                <c:pt idx="3">
                  <c:v>723</c:v>
                </c:pt>
              </c:numCache>
            </c:numRef>
          </c:xVal>
          <c:yVal>
            <c:numRef>
              <c:f>SHW!$AH$60:$AH$63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24-457A-8775-71D2E52DF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SHW!$AF$60:$AF$63</c:f>
              <c:numCache>
                <c:formatCode>General</c:formatCode>
                <c:ptCount val="4"/>
                <c:pt idx="0">
                  <c:v>1.0530784434834197</c:v>
                </c:pt>
                <c:pt idx="1">
                  <c:v>1.7471527595745953</c:v>
                </c:pt>
                <c:pt idx="2">
                  <c:v>2.102662341897148</c:v>
                </c:pt>
                <c:pt idx="3">
                  <c:v>2.859138297294531</c:v>
                </c:pt>
              </c:numCache>
            </c:numRef>
          </c:xVal>
          <c:yVal>
            <c:numRef>
              <c:f>SHW!$AG$60:$AG$63</c:f>
              <c:numCache>
                <c:formatCode>General</c:formatCode>
                <c:ptCount val="4"/>
                <c:pt idx="0">
                  <c:v>3.6127838567197355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4F-42FF-B88E-6DEDFCFFA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SHW</a:t>
            </a:r>
            <a:br>
              <a:rPr lang="en-US" sz="1100" baseline="0"/>
            </a:br>
            <a:r>
              <a:rPr lang="en-US" sz="1100" baseline="0"/>
              <a:t>PFOA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SHW!$F$73:$F$80</c:f>
              <c:numCache>
                <c:formatCode>0</c:formatCode>
                <c:ptCount val="8"/>
                <c:pt idx="0">
                  <c:v>5.54</c:v>
                </c:pt>
                <c:pt idx="3">
                  <c:v>376.66666666666669</c:v>
                </c:pt>
                <c:pt idx="6" formatCode="General">
                  <c:v>26.633333333333333</c:v>
                </c:pt>
                <c:pt idx="7" formatCode="General">
                  <c:v>62.766666666666666</c:v>
                </c:pt>
              </c:numCache>
            </c:numRef>
          </c:xVal>
          <c:yVal>
            <c:numRef>
              <c:f>SHW!$G$73:$G$80</c:f>
              <c:numCache>
                <c:formatCode>0</c:formatCode>
                <c:ptCount val="8"/>
                <c:pt idx="0">
                  <c:v>2343.3333333333326</c:v>
                </c:pt>
                <c:pt idx="3">
                  <c:v>90333.333333333314</c:v>
                </c:pt>
                <c:pt idx="6" formatCode="General">
                  <c:v>-66.66666666666643</c:v>
                </c:pt>
                <c:pt idx="7" formatCode="General">
                  <c:v>33.333333333331439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47-4915-B664-72CD66215528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SHW!$F$73:$F$76</c:f>
              <c:numCache>
                <c:formatCode>0</c:formatCode>
                <c:ptCount val="4"/>
                <c:pt idx="0">
                  <c:v>5.54</c:v>
                </c:pt>
                <c:pt idx="3">
                  <c:v>376.66666666666669</c:v>
                </c:pt>
              </c:numCache>
            </c:numRef>
          </c:xVal>
          <c:yVal>
            <c:numRef>
              <c:f>SHW!$Z$73:$Z$76</c:f>
              <c:numCache>
                <c:formatCode>0</c:formatCode>
                <c:ptCount val="4"/>
                <c:pt idx="0">
                  <c:v>1328.8389931041356</c:v>
                </c:pt>
                <c:pt idx="3">
                  <c:v>90348.254481496464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47-4915-B664-72CD66215528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SHW!$F$73:$F$76</c:f>
              <c:numCache>
                <c:formatCode>0</c:formatCode>
                <c:ptCount val="4"/>
                <c:pt idx="0">
                  <c:v>5.54</c:v>
                </c:pt>
                <c:pt idx="3">
                  <c:v>376.66666666666669</c:v>
                </c:pt>
              </c:numCache>
            </c:numRef>
          </c:xVal>
          <c:yVal>
            <c:numRef>
              <c:f>SHW!$AH$73:$AH$76</c:f>
              <c:numCache>
                <c:formatCode>General</c:formatCode>
                <c:ptCount val="4"/>
                <c:pt idx="0">
                  <c:v>2343.3333333333308</c:v>
                </c:pt>
                <c:pt idx="3">
                  <c:v>90333.333333333227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47-4915-B664-72CD66215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SHW!$AF$73:$AF$76</c:f>
              <c:numCache>
                <c:formatCode>General</c:formatCode>
                <c:ptCount val="4"/>
                <c:pt idx="0">
                  <c:v>0.74350976472842978</c:v>
                </c:pt>
                <c:pt idx="3">
                  <c:v>2.5759571887637573</c:v>
                </c:pt>
              </c:numCache>
            </c:numRef>
          </c:xVal>
          <c:yVal>
            <c:numRef>
              <c:f>SHW!$AG$73:$AG$76</c:f>
              <c:numCache>
                <c:formatCode>General</c:formatCode>
                <c:ptCount val="4"/>
                <c:pt idx="0">
                  <c:v>3.3698340703001612</c:v>
                </c:pt>
                <c:pt idx="3">
                  <c:v>4.9558480361547428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EC-41F7-817B-BF2CAA097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'HSM+BM1 (1-1)'!$AF$60:$AF$63</c:f>
              <c:numCache>
                <c:formatCode>General</c:formatCode>
                <c:ptCount val="4"/>
                <c:pt idx="0">
                  <c:v>1.1865796706699856</c:v>
                </c:pt>
                <c:pt idx="1">
                  <c:v>1.7558748556724915</c:v>
                </c:pt>
                <c:pt idx="2">
                  <c:v>2.167317334748176</c:v>
                </c:pt>
                <c:pt idx="3">
                  <c:v>2.9650448310650579</c:v>
                </c:pt>
              </c:numCache>
            </c:numRef>
          </c:xVal>
          <c:yVal>
            <c:numRef>
              <c:f>'HSM+BM1 (1-1)'!$AG$60:$AG$63</c:f>
              <c:numCache>
                <c:formatCode>General</c:formatCode>
                <c:ptCount val="4"/>
                <c:pt idx="0">
                  <c:v>1.5228787452803592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D4-46BB-9A40-99DF2C64F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SHW</a:t>
            </a:r>
            <a:br>
              <a:rPr lang="en-US" sz="1100" baseline="0"/>
            </a:br>
            <a:r>
              <a:rPr lang="en-US" sz="1100" baseline="0"/>
              <a:t>PFNA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SHW!$F$86:$F$89</c:f>
              <c:numCache>
                <c:formatCode>0</c:formatCode>
                <c:ptCount val="4"/>
                <c:pt idx="0">
                  <c:v>4.8366666666666669</c:v>
                </c:pt>
                <c:pt idx="1">
                  <c:v>22.233333333333331</c:v>
                </c:pt>
                <c:pt idx="2">
                  <c:v>53.033333333333339</c:v>
                </c:pt>
                <c:pt idx="3">
                  <c:v>348.33333333333331</c:v>
                </c:pt>
              </c:numCache>
            </c:numRef>
          </c:xVal>
          <c:yVal>
            <c:numRef>
              <c:f>SHW!$G$86:$G$89</c:f>
              <c:numCache>
                <c:formatCode>0</c:formatCode>
                <c:ptCount val="4"/>
                <c:pt idx="0">
                  <c:v>1973.3333333333326</c:v>
                </c:pt>
                <c:pt idx="1">
                  <c:v>766.66666666666936</c:v>
                </c:pt>
                <c:pt idx="2">
                  <c:v>2166.6666666666642</c:v>
                </c:pt>
                <c:pt idx="3">
                  <c:v>24666.666666666686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81-4100-A710-0091D90A4F0C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SHW!$F$86:$F$89</c:f>
              <c:numCache>
                <c:formatCode>0</c:formatCode>
                <c:ptCount val="4"/>
                <c:pt idx="0">
                  <c:v>4.8366666666666669</c:v>
                </c:pt>
                <c:pt idx="1">
                  <c:v>22.233333333333331</c:v>
                </c:pt>
                <c:pt idx="2">
                  <c:v>53.033333333333339</c:v>
                </c:pt>
                <c:pt idx="3">
                  <c:v>348.33333333333331</c:v>
                </c:pt>
              </c:numCache>
            </c:numRef>
          </c:xVal>
          <c:yVal>
            <c:numRef>
              <c:f>SHW!$Z$86:$Z$89</c:f>
              <c:numCache>
                <c:formatCode>0</c:formatCode>
                <c:ptCount val="4"/>
                <c:pt idx="0">
                  <c:v>338.84153072455865</c:v>
                </c:pt>
                <c:pt idx="1">
                  <c:v>1557.596721596866</c:v>
                </c:pt>
                <c:pt idx="2">
                  <c:v>3715.3464168963178</c:v>
                </c:pt>
                <c:pt idx="3">
                  <c:v>24403.093268066525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81-4100-A710-0091D90A4F0C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SHW!$AV$60:$AV$84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1.1486055160697004</c:v>
                </c:pt>
                <c:pt idx="2" formatCode="0">
                  <c:v>1.4725711744483339</c:v>
                </c:pt>
                <c:pt idx="3" formatCode="0">
                  <c:v>1.8879117621132484</c:v>
                </c:pt>
                <c:pt idx="4" formatCode="0">
                  <c:v>2.420399695016985</c:v>
                </c:pt>
                <c:pt idx="5" formatCode="0">
                  <c:v>3.1030765320730578</c:v>
                </c:pt>
                <c:pt idx="6" formatCode="0">
                  <c:v>3.9783032462475099</c:v>
                </c:pt>
                <c:pt idx="7" formatCode="0">
                  <c:v>5.1003887772403971</c:v>
                </c:pt>
                <c:pt idx="8" formatCode="0">
                  <c:v>6.538959970821022</c:v>
                </c:pt>
                <c:pt idx="9" formatCode="0">
                  <c:v>8.3832820138731048</c:v>
                </c:pt>
                <c:pt idx="10" formatCode="0">
                  <c:v>10.747797453683468</c:v>
                </c:pt>
                <c:pt idx="11" formatCode="0">
                  <c:v>13.779227504722394</c:v>
                </c:pt>
                <c:pt idx="12" formatCode="0">
                  <c:v>17.665676288105633</c:v>
                </c:pt>
                <c:pt idx="13" formatCode="0">
                  <c:v>22.648302933468759</c:v>
                </c:pt>
                <c:pt idx="14" formatCode="0">
                  <c:v>29.036285812139436</c:v>
                </c:pt>
                <c:pt idx="15" formatCode="0">
                  <c:v>37.226007451460816</c:v>
                </c:pt>
                <c:pt idx="16" formatCode="0">
                  <c:v>47.725650578795914</c:v>
                </c:pt>
                <c:pt idx="17" formatCode="0">
                  <c:v>61.186731511276811</c:v>
                </c:pt>
                <c:pt idx="18" formatCode="0">
                  <c:v>78.444527578560013</c:v>
                </c:pt>
                <c:pt idx="19" formatCode="0">
                  <c:v>100.56990715200001</c:v>
                </c:pt>
                <c:pt idx="20" formatCode="0">
                  <c:v>128.9357784</c:v>
                </c:pt>
                <c:pt idx="21" formatCode="General">
                  <c:v>165.30228</c:v>
                </c:pt>
                <c:pt idx="22" formatCode="General">
                  <c:v>211.92599999999999</c:v>
                </c:pt>
                <c:pt idx="23" formatCode="0">
                  <c:v>271.7</c:v>
                </c:pt>
                <c:pt idx="24" formatCode="0">
                  <c:v>348.33333333333331</c:v>
                </c:pt>
              </c:numCache>
            </c:numRef>
          </c:xVal>
          <c:yVal>
            <c:numRef>
              <c:f>SHW!$AW$60:$AW$84</c:f>
              <c:numCache>
                <c:formatCode>0</c:formatCode>
                <c:ptCount val="25"/>
                <c:pt idx="0">
                  <c:v>0</c:v>
                </c:pt>
                <c:pt idx="1">
                  <c:v>317.43556230980414</c:v>
                </c:pt>
                <c:pt idx="2">
                  <c:v>372.51922884787325</c:v>
                </c:pt>
                <c:pt idx="3">
                  <c:v>437.16140325191338</c:v>
                </c:pt>
                <c:pt idx="4">
                  <c:v>513.02074549076838</c:v>
                </c:pt>
                <c:pt idx="5">
                  <c:v>602.04373795607205</c:v>
                </c:pt>
                <c:pt idx="6">
                  <c:v>706.51463044712625</c:v>
                </c:pt>
                <c:pt idx="7">
                  <c:v>829.11405196321596</c:v>
                </c:pt>
                <c:pt idx="8">
                  <c:v>972.98779322915675</c:v>
                </c:pt>
                <c:pt idx="9">
                  <c:v>1141.8275248517257</c:v>
                </c:pt>
                <c:pt idx="10">
                  <c:v>1339.9655222621648</c:v>
                </c:pt>
                <c:pt idx="11">
                  <c:v>1572.4858280014539</c:v>
                </c:pt>
                <c:pt idx="12">
                  <c:v>1845.3547036724658</c:v>
                </c:pt>
                <c:pt idx="13">
                  <c:v>2165.5737188385938</c:v>
                </c:pt>
                <c:pt idx="14">
                  <c:v>2541.3594049920921</c:v>
                </c:pt>
                <c:pt idx="15">
                  <c:v>2982.3540843511369</c:v>
                </c:pt>
                <c:pt idx="16">
                  <c:v>3499.8732831626335</c:v>
                </c:pt>
                <c:pt idx="17">
                  <c:v>4107.1960779132614</c:v>
                </c:pt>
                <c:pt idx="18">
                  <c:v>4819.9058244710204</c:v>
                </c:pt>
                <c:pt idx="19">
                  <c:v>5656.2900129600939</c:v>
                </c:pt>
                <c:pt idx="20">
                  <c:v>6637.8095082850232</c:v>
                </c:pt>
                <c:pt idx="21">
                  <c:v>7789.649216593295</c:v>
                </c:pt>
                <c:pt idx="22">
                  <c:v>9141.3643072818068</c:v>
                </c:pt>
                <c:pt idx="23">
                  <c:v>10727.638572021831</c:v>
                </c:pt>
                <c:pt idx="24">
                  <c:v>12589.174379611863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81-4100-A710-0091D90A4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SHW!$AF$86:$AF$89</c:f>
              <c:numCache>
                <c:formatCode>General</c:formatCode>
                <c:ptCount val="4"/>
                <c:pt idx="0">
                  <c:v>0.68454615771807348</c:v>
                </c:pt>
                <c:pt idx="1">
                  <c:v>1.3470045791968865</c:v>
                </c:pt>
                <c:pt idx="2">
                  <c:v>1.724548924926919</c:v>
                </c:pt>
                <c:pt idx="3">
                  <c:v>2.5419950357274104</c:v>
                </c:pt>
              </c:numCache>
            </c:numRef>
          </c:xVal>
          <c:yVal>
            <c:numRef>
              <c:f>SHW!$AG$86:$AG$89</c:f>
              <c:numCache>
                <c:formatCode>General</c:formatCode>
                <c:ptCount val="4"/>
                <c:pt idx="0">
                  <c:v>3.295200452003257</c:v>
                </c:pt>
                <c:pt idx="1">
                  <c:v>2.8846065812979318</c:v>
                </c:pt>
                <c:pt idx="2">
                  <c:v>3.3357921019231926</c:v>
                </c:pt>
                <c:pt idx="3">
                  <c:v>4.3921104650113145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A8-4A68-84AA-9D59AEA4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SHW</a:t>
            </a:r>
            <a:br>
              <a:rPr lang="en-US" sz="1100" baseline="0"/>
            </a:br>
            <a:r>
              <a:rPr lang="en-US" sz="1100" baseline="0"/>
              <a:t>PFBS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SHW!$F$99:$F$102</c:f>
              <c:numCache>
                <c:formatCode>0</c:formatCode>
                <c:ptCount val="4"/>
                <c:pt idx="0">
                  <c:v>16.166666666666664</c:v>
                </c:pt>
                <c:pt idx="1">
                  <c:v>64.8</c:v>
                </c:pt>
                <c:pt idx="2">
                  <c:v>154</c:v>
                </c:pt>
                <c:pt idx="3">
                  <c:v>886</c:v>
                </c:pt>
              </c:numCache>
            </c:numRef>
          </c:xVal>
          <c:yVal>
            <c:numRef>
              <c:f>SHW!$G$99:$G$102</c:f>
              <c:numCache>
                <c:formatCode>0</c:formatCode>
                <c:ptCount val="4"/>
                <c:pt idx="0">
                  <c:v>4466.6666666666688</c:v>
                </c:pt>
                <c:pt idx="1">
                  <c:v>-5633.333333333333</c:v>
                </c:pt>
                <c:pt idx="2">
                  <c:v>-11000</c:v>
                </c:pt>
                <c:pt idx="3">
                  <c:v>-19000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6F-4FD3-9A7B-874CB308F177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SHW!$F$99:$F$102</c:f>
              <c:numCache>
                <c:formatCode>0</c:formatCode>
                <c:ptCount val="4"/>
                <c:pt idx="0">
                  <c:v>16.166666666666664</c:v>
                </c:pt>
                <c:pt idx="1">
                  <c:v>64.8</c:v>
                </c:pt>
                <c:pt idx="2">
                  <c:v>154</c:v>
                </c:pt>
                <c:pt idx="3">
                  <c:v>886</c:v>
                </c:pt>
              </c:numCache>
            </c:numRef>
          </c:xVal>
          <c:yVal>
            <c:numRef>
              <c:f>SHW!$Z$99:$Z$102</c:f>
              <c:numCache>
                <c:formatCode>0</c:formatCode>
                <c:ptCount val="4"/>
                <c:pt idx="0">
                  <c:v>3878.0938660609559</c:v>
                </c:pt>
                <c:pt idx="1">
                  <c:v>15544.362574548897</c:v>
                </c:pt>
                <c:pt idx="2">
                  <c:v>36941.861668433368</c:v>
                </c:pt>
                <c:pt idx="3">
                  <c:v>212536.22831126011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6F-4FD3-9A7B-874CB308F177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SHW!$F$99:$F$102</c:f>
              <c:numCache>
                <c:formatCode>0</c:formatCode>
                <c:ptCount val="4"/>
                <c:pt idx="0">
                  <c:v>16.166666666666664</c:v>
                </c:pt>
                <c:pt idx="1">
                  <c:v>64.8</c:v>
                </c:pt>
                <c:pt idx="2">
                  <c:v>154</c:v>
                </c:pt>
                <c:pt idx="3">
                  <c:v>886</c:v>
                </c:pt>
              </c:numCache>
            </c:numRef>
          </c:xVal>
          <c:yVal>
            <c:numRef>
              <c:f>SHW!$AH$99:$AH$102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6F-4FD3-9A7B-874CB308F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SHW!$AF$99:$AF$102</c:f>
              <c:numCache>
                <c:formatCode>General</c:formatCode>
                <c:ptCount val="4"/>
                <c:pt idx="0">
                  <c:v>1.2086204838826011</c:v>
                </c:pt>
                <c:pt idx="1">
                  <c:v>1.8115750058705933</c:v>
                </c:pt>
                <c:pt idx="2">
                  <c:v>2.1875207208364631</c:v>
                </c:pt>
                <c:pt idx="3">
                  <c:v>2.9474337218870508</c:v>
                </c:pt>
              </c:numCache>
            </c:numRef>
          </c:xVal>
          <c:yVal>
            <c:numRef>
              <c:f>SHW!$AG$99:$AG$102</c:f>
              <c:numCache>
                <c:formatCode>General</c:formatCode>
                <c:ptCount val="4"/>
                <c:pt idx="0">
                  <c:v>3.6499835436451455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AC-4464-B306-E4149006A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SHW</a:t>
            </a:r>
            <a:br>
              <a:rPr lang="en-US" sz="1100" baseline="0"/>
            </a:br>
            <a:r>
              <a:rPr lang="en-US" sz="1100" baseline="0"/>
              <a:t>PFOS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SHW!$F$112:$F$115</c:f>
              <c:numCache>
                <c:formatCode>0</c:formatCode>
                <c:ptCount val="4"/>
                <c:pt idx="0">
                  <c:v>4.3633333333333333</c:v>
                </c:pt>
                <c:pt idx="1">
                  <c:v>19.8</c:v>
                </c:pt>
                <c:pt idx="2">
                  <c:v>43.533333333333339</c:v>
                </c:pt>
                <c:pt idx="3">
                  <c:v>238.66666666666666</c:v>
                </c:pt>
              </c:numCache>
            </c:numRef>
          </c:xVal>
          <c:yVal>
            <c:numRef>
              <c:f>SHW!$G$112:$G$115</c:f>
              <c:numCache>
                <c:formatCode>0</c:formatCode>
                <c:ptCount val="4"/>
                <c:pt idx="0">
                  <c:v>3330</c:v>
                </c:pt>
                <c:pt idx="1">
                  <c:v>6899.9999999999991</c:v>
                </c:pt>
                <c:pt idx="2">
                  <c:v>15266.666666666659</c:v>
                </c:pt>
                <c:pt idx="3">
                  <c:v>161333.33333333334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CF-4590-B0D3-35234C16E22A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SHW!$F$112:$F$115</c:f>
              <c:numCache>
                <c:formatCode>0</c:formatCode>
                <c:ptCount val="4"/>
                <c:pt idx="0">
                  <c:v>4.3633333333333333</c:v>
                </c:pt>
                <c:pt idx="1">
                  <c:v>19.8</c:v>
                </c:pt>
                <c:pt idx="2">
                  <c:v>43.533333333333339</c:v>
                </c:pt>
                <c:pt idx="3">
                  <c:v>238.66666666666666</c:v>
                </c:pt>
              </c:numCache>
            </c:numRef>
          </c:xVal>
          <c:yVal>
            <c:numRef>
              <c:f>SHW!$Z$112:$Z$115</c:f>
              <c:numCache>
                <c:formatCode>0</c:formatCode>
                <c:ptCount val="4"/>
                <c:pt idx="0">
                  <c:v>2894.8028847905675</c:v>
                </c:pt>
                <c:pt idx="1">
                  <c:v>13136.079740994875</c:v>
                </c:pt>
                <c:pt idx="2">
                  <c:v>28881.681791386585</c:v>
                </c:pt>
                <c:pt idx="3">
                  <c:v>158340.52595401698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CF-4590-B0D3-35234C16E22A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SHW!$AZ$60:$AZ$84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0.7869871287137854</c:v>
                </c:pt>
                <c:pt idx="2" formatCode="0">
                  <c:v>1.0089578573253659</c:v>
                </c:pt>
                <c:pt idx="3" formatCode="0">
                  <c:v>1.2935357145196997</c:v>
                </c:pt>
                <c:pt idx="4" formatCode="0">
                  <c:v>1.6583791211791021</c:v>
                </c:pt>
                <c:pt idx="5" formatCode="0">
                  <c:v>2.1261270784347461</c:v>
                </c:pt>
                <c:pt idx="6" formatCode="0">
                  <c:v>2.725803946711213</c:v>
                </c:pt>
                <c:pt idx="7" formatCode="0">
                  <c:v>3.494620444501555</c:v>
                </c:pt>
                <c:pt idx="8" formatCode="0">
                  <c:v>4.4802826211558395</c:v>
                </c:pt>
                <c:pt idx="9" formatCode="0">
                  <c:v>5.7439520784049218</c:v>
                </c:pt>
                <c:pt idx="10" formatCode="0">
                  <c:v>7.3640411261601564</c:v>
                </c:pt>
                <c:pt idx="11" formatCode="0">
                  <c:v>9.4410783668719951</c:v>
                </c:pt>
                <c:pt idx="12" formatCode="0">
                  <c:v>12.103946624194865</c:v>
                </c:pt>
                <c:pt idx="13" formatCode="0">
                  <c:v>15.517880287429314</c:v>
                </c:pt>
                <c:pt idx="14" formatCode="0">
                  <c:v>19.89471831721707</c:v>
                </c:pt>
                <c:pt idx="15" formatCode="0">
                  <c:v>25.506049124637268</c:v>
                </c:pt>
                <c:pt idx="16" formatCode="0">
                  <c:v>32.700062980304189</c:v>
                </c:pt>
                <c:pt idx="17" formatCode="0">
                  <c:v>41.92315766705665</c:v>
                </c:pt>
                <c:pt idx="18" formatCode="0">
                  <c:v>53.747638034688009</c:v>
                </c:pt>
                <c:pt idx="19" formatCode="0">
                  <c:v>68.90722824960001</c:v>
                </c:pt>
                <c:pt idx="20" formatCode="0">
                  <c:v>88.342600320000017</c:v>
                </c:pt>
                <c:pt idx="21" formatCode="General">
                  <c:v>113.25974400000001</c:v>
                </c:pt>
                <c:pt idx="22" formatCode="General">
                  <c:v>145.20480000000001</c:v>
                </c:pt>
                <c:pt idx="23" formatCode="0">
                  <c:v>186.16</c:v>
                </c:pt>
                <c:pt idx="24" formatCode="0">
                  <c:v>238.66666666666666</c:v>
                </c:pt>
              </c:numCache>
            </c:numRef>
          </c:xVal>
          <c:yVal>
            <c:numRef>
              <c:f>SHW!$BA$60:$BA$84</c:f>
              <c:numCache>
                <c:formatCode>0</c:formatCode>
                <c:ptCount val="25"/>
                <c:pt idx="0">
                  <c:v>0</c:v>
                </c:pt>
                <c:pt idx="1">
                  <c:v>425.41739372854971</c:v>
                </c:pt>
                <c:pt idx="2">
                  <c:v>542.61148151647285</c:v>
                </c:pt>
                <c:pt idx="3">
                  <c:v>692.09022530322227</c:v>
                </c:pt>
                <c:pt idx="4">
                  <c:v>882.74741002826272</c:v>
                </c:pt>
                <c:pt idx="5">
                  <c:v>1125.9268826838286</c:v>
                </c:pt>
                <c:pt idx="6">
                  <c:v>1436.0974960091205</c:v>
                </c:pt>
                <c:pt idx="7">
                  <c:v>1831.7139858386354</c:v>
                </c:pt>
                <c:pt idx="8">
                  <c:v>2336.3150031532064</c:v>
                </c:pt>
                <c:pt idx="9">
                  <c:v>2979.9236322693127</c:v>
                </c:pt>
                <c:pt idx="10">
                  <c:v>3800.8337241220997</c:v>
                </c:pt>
                <c:pt idx="11">
                  <c:v>4847.8883290785852</c:v>
                </c:pt>
                <c:pt idx="12">
                  <c:v>6183.3857929801316</c:v>
                </c:pt>
                <c:pt idx="13">
                  <c:v>7886.7864252342515</c:v>
                </c:pt>
                <c:pt idx="14">
                  <c:v>10059.440280739913</c:v>
                </c:pt>
                <c:pt idx="15">
                  <c:v>12830.617352335252</c:v>
                </c:pt>
                <c:pt idx="16">
                  <c:v>16365.198962137254</c:v>
                </c:pt>
                <c:pt idx="17">
                  <c:v>20873.487979250916</c:v>
                </c:pt>
                <c:pt idx="18">
                  <c:v>26623.721558655034</c:v>
                </c:pt>
                <c:pt idx="19">
                  <c:v>33958.030892459894</c:v>
                </c:pt>
                <c:pt idx="20">
                  <c:v>43312.797557349317</c:v>
                </c:pt>
                <c:pt idx="21">
                  <c:v>55244.617633599948</c:v>
                </c:pt>
                <c:pt idx="22">
                  <c:v>70463.418425965981</c:v>
                </c:pt>
                <c:pt idx="23">
                  <c:v>89874.698186941212</c:v>
                </c:pt>
                <c:pt idx="24">
                  <c:v>114633.40204932778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CF-4590-B0D3-35234C16E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SHW!$AF$112:$AF$115</c:f>
              <c:numCache>
                <c:formatCode>General</c:formatCode>
                <c:ptCount val="4"/>
                <c:pt idx="0">
                  <c:v>0.63981839183109335</c:v>
                </c:pt>
                <c:pt idx="1">
                  <c:v>1.2966651902615312</c:v>
                </c:pt>
                <c:pt idx="2">
                  <c:v>1.6388219222193927</c:v>
                </c:pt>
                <c:pt idx="3">
                  <c:v>2.3777917675881932</c:v>
                </c:pt>
              </c:numCache>
            </c:numRef>
          </c:xVal>
          <c:yVal>
            <c:numRef>
              <c:f>SHW!$AG$112:$AG$115</c:f>
              <c:numCache>
                <c:formatCode>General</c:formatCode>
                <c:ptCount val="4"/>
                <c:pt idx="0">
                  <c:v>3.5224442335063197</c:v>
                </c:pt>
                <c:pt idx="1">
                  <c:v>3.8388490907372552</c:v>
                </c:pt>
                <c:pt idx="2">
                  <c:v>4.1837442232842061</c:v>
                </c:pt>
                <c:pt idx="3">
                  <c:v>5.2077241069247497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DD-4D33-B51D-C9C9288C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SHW</a:t>
            </a:r>
            <a:br>
              <a:rPr lang="en-US" sz="1100" baseline="0"/>
            </a:br>
            <a:r>
              <a:rPr lang="en-US" sz="1100" baseline="0"/>
              <a:t>8:2 FTS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SHW!$F$125:$F$128</c:f>
              <c:numCache>
                <c:formatCode>0</c:formatCode>
                <c:ptCount val="4"/>
                <c:pt idx="0">
                  <c:v>3.86</c:v>
                </c:pt>
                <c:pt idx="1">
                  <c:v>19.333333333333332</c:v>
                </c:pt>
                <c:pt idx="2">
                  <c:v>36.233333333333334</c:v>
                </c:pt>
                <c:pt idx="3">
                  <c:v>201</c:v>
                </c:pt>
              </c:numCache>
            </c:numRef>
          </c:xVal>
          <c:yVal>
            <c:numRef>
              <c:f>SHW!$G$125:$G$128</c:f>
              <c:numCache>
                <c:formatCode>0</c:formatCode>
                <c:ptCount val="4"/>
                <c:pt idx="0">
                  <c:v>3203.3333333333335</c:v>
                </c:pt>
                <c:pt idx="1">
                  <c:v>3866.666666666667</c:v>
                </c:pt>
                <c:pt idx="2">
                  <c:v>11100</c:v>
                </c:pt>
                <c:pt idx="3">
                  <c:v>253333.33333333331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D1-48B9-BA1B-F722F7D0CE1D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SHW!$F$125:$F$128</c:f>
              <c:numCache>
                <c:formatCode>0</c:formatCode>
                <c:ptCount val="4"/>
                <c:pt idx="0">
                  <c:v>3.86</c:v>
                </c:pt>
                <c:pt idx="1">
                  <c:v>19.333333333333332</c:v>
                </c:pt>
                <c:pt idx="2">
                  <c:v>36.233333333333334</c:v>
                </c:pt>
                <c:pt idx="3">
                  <c:v>201</c:v>
                </c:pt>
              </c:numCache>
            </c:numRef>
          </c:xVal>
          <c:yVal>
            <c:numRef>
              <c:f>SHW!$Z$125:$Z$128</c:f>
              <c:numCache>
                <c:formatCode>0</c:formatCode>
                <c:ptCount val="4"/>
                <c:pt idx="0">
                  <c:v>4713.2629536199929</c:v>
                </c:pt>
                <c:pt idx="1">
                  <c:v>23607.012364647908</c:v>
                </c:pt>
                <c:pt idx="2">
                  <c:v>44242.788803770207</c:v>
                </c:pt>
                <c:pt idx="3">
                  <c:v>245431.01780362346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D1-48B9-BA1B-F722F7D0CE1D}"/>
            </c:ext>
          </c:extLst>
        </c:ser>
        <c:ser>
          <c:idx val="2"/>
          <c:order val="2"/>
          <c:tx>
            <c:v>Freundlich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SHW!$BB$60:$BB$84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0.66278385281342556</c:v>
                </c:pt>
                <c:pt idx="2" formatCode="0">
                  <c:v>0.84972288822234043</c:v>
                </c:pt>
                <c:pt idx="3" formatCode="0">
                  <c:v>1.0893883182337698</c:v>
                </c:pt>
                <c:pt idx="4" formatCode="0">
                  <c:v>1.3966516900432946</c:v>
                </c:pt>
                <c:pt idx="5" formatCode="0">
                  <c:v>1.7905790897990956</c:v>
                </c:pt>
                <c:pt idx="6" formatCode="0">
                  <c:v>2.2956142176911483</c:v>
                </c:pt>
                <c:pt idx="7" formatCode="0">
                  <c:v>2.9430951508860872</c:v>
                </c:pt>
                <c:pt idx="8" formatCode="0">
                  <c:v>3.7731989113924196</c:v>
                </c:pt>
                <c:pt idx="9" formatCode="0">
                  <c:v>4.837434501785153</c:v>
                </c:pt>
                <c:pt idx="10" formatCode="0">
                  <c:v>6.2018391048527599</c:v>
                </c:pt>
                <c:pt idx="11" formatCode="0">
                  <c:v>7.9510757754522556</c:v>
                </c:pt>
                <c:pt idx="12" formatCode="0">
                  <c:v>10.193686891605456</c:v>
                </c:pt>
                <c:pt idx="13" formatCode="0">
                  <c:v>13.068829348212121</c:v>
                </c:pt>
                <c:pt idx="14" formatCode="0">
                  <c:v>16.75490942078477</c:v>
                </c:pt>
                <c:pt idx="15" formatCode="0">
                  <c:v>21.480653103570216</c:v>
                </c:pt>
                <c:pt idx="16" formatCode="0">
                  <c:v>27.539298850731043</c:v>
                </c:pt>
                <c:pt idx="17" formatCode="0">
                  <c:v>35.306793398373131</c:v>
                </c:pt>
                <c:pt idx="18" formatCode="0">
                  <c:v>45.265119741504016</c:v>
                </c:pt>
                <c:pt idx="19" formatCode="0">
                  <c:v>58.032204796800016</c:v>
                </c:pt>
                <c:pt idx="20" formatCode="0">
                  <c:v>74.400262560000016</c:v>
                </c:pt>
                <c:pt idx="21" formatCode="General">
                  <c:v>95.384952000000013</c:v>
                </c:pt>
                <c:pt idx="22" formatCode="General">
                  <c:v>122.28840000000001</c:v>
                </c:pt>
                <c:pt idx="23" formatCode="0">
                  <c:v>156.78</c:v>
                </c:pt>
                <c:pt idx="24" formatCode="0">
                  <c:v>201</c:v>
                </c:pt>
              </c:numCache>
            </c:numRef>
          </c:xVal>
          <c:yVal>
            <c:numRef>
              <c:f>SHW!$BC$60:$BC$84</c:f>
              <c:numCache>
                <c:formatCode>0</c:formatCode>
                <c:ptCount val="25"/>
                <c:pt idx="0">
                  <c:v>0</c:v>
                </c:pt>
                <c:pt idx="1">
                  <c:v>206.68458417804842</c:v>
                </c:pt>
                <c:pt idx="2">
                  <c:v>273.60027071371644</c:v>
                </c:pt>
                <c:pt idx="3">
                  <c:v>362.18041336906509</c:v>
                </c:pt>
                <c:pt idx="4">
                  <c:v>479.43904253458282</c:v>
                </c:pt>
                <c:pt idx="5">
                  <c:v>634.66103362206479</c:v>
                </c:pt>
                <c:pt idx="6">
                  <c:v>840.13731019657894</c:v>
                </c:pt>
                <c:pt idx="7">
                  <c:v>1112.1380746445179</c:v>
                </c:pt>
                <c:pt idx="8">
                  <c:v>1472.2011295803675</c:v>
                </c:pt>
                <c:pt idx="9">
                  <c:v>1948.8373029855009</c:v>
                </c:pt>
                <c:pt idx="10">
                  <c:v>2579.788017545106</c:v>
                </c:pt>
                <c:pt idx="11">
                  <c:v>3415.0137650145439</c:v>
                </c:pt>
                <c:pt idx="12">
                  <c:v>4520.6501216082579</c:v>
                </c:pt>
                <c:pt idx="13">
                  <c:v>5984.244553084468</c:v>
                </c:pt>
                <c:pt idx="14">
                  <c:v>7921.688674809674</c:v>
                </c:pt>
                <c:pt idx="15">
                  <c:v>10486.394883087278</c:v>
                </c:pt>
                <c:pt idx="16">
                  <c:v>13881.443989804484</c:v>
                </c:pt>
                <c:pt idx="17">
                  <c:v>18375.66574503708</c:v>
                </c:pt>
                <c:pt idx="18">
                  <c:v>24324.925549628311</c:v>
                </c:pt>
                <c:pt idx="19">
                  <c:v>32200.302900849576</c:v>
                </c:pt>
                <c:pt idx="20">
                  <c:v>42625.392821492314</c:v>
                </c:pt>
                <c:pt idx="21">
                  <c:v>56425.683906799284</c:v>
                </c:pt>
                <c:pt idx="22">
                  <c:v>74693.922884968226</c:v>
                </c:pt>
                <c:pt idx="23">
                  <c:v>98876.641445072295</c:v>
                </c:pt>
                <c:pt idx="24">
                  <c:v>130888.6967754224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D1-48B9-BA1B-F722F7D0C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SHW!$AF$125:$AF$128</c:f>
              <c:numCache>
                <c:formatCode>General</c:formatCode>
                <c:ptCount val="4"/>
                <c:pt idx="0">
                  <c:v>0.58658730467175491</c:v>
                </c:pt>
                <c:pt idx="1">
                  <c:v>1.2863067388432747</c:v>
                </c:pt>
                <c:pt idx="2">
                  <c:v>1.5591082893666321</c:v>
                </c:pt>
                <c:pt idx="3">
                  <c:v>2.3031960574204891</c:v>
                </c:pt>
              </c:numCache>
            </c:numRef>
          </c:xVal>
          <c:yVal>
            <c:numRef>
              <c:f>SHW!$AG$125:$AG$128</c:f>
              <c:numCache>
                <c:formatCode>General</c:formatCode>
                <c:ptCount val="4"/>
                <c:pt idx="0">
                  <c:v>3.5056021329488831</c:v>
                </c:pt>
                <c:pt idx="1">
                  <c:v>3.587336734507256</c:v>
                </c:pt>
                <c:pt idx="2">
                  <c:v>4.0453229787866576</c:v>
                </c:pt>
                <c:pt idx="3">
                  <c:v>5.4036923375611288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98-412B-9349-34B2864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SHW Treatment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No Buffer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76453967844184"/>
          <c:y val="0.14725694444444443"/>
          <c:w val="0.84618992298093887"/>
          <c:h val="0.6742361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SHW!$B$30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ED7D3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SHW!$C$36:$C$41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SHW!$M$30:$M$35</c:f>
              <c:numCache>
                <c:formatCode>0.0</c:formatCode>
                <c:ptCount val="6"/>
                <c:pt idx="0">
                  <c:v>2.5597054132363155</c:v>
                </c:pt>
                <c:pt idx="1">
                  <c:v>2.6263243055717318</c:v>
                </c:pt>
                <c:pt idx="2">
                  <c:v>2.6106542942851836</c:v>
                </c:pt>
                <c:pt idx="3">
                  <c:v>2.4413630597625442</c:v>
                </c:pt>
                <c:pt idx="4">
                  <c:v>2.8826258416752264</c:v>
                </c:pt>
                <c:pt idx="5">
                  <c:v>2.919014828277128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7-4AF2-872E-C06A882B09C6}"/>
            </c:ext>
          </c:extLst>
        </c:ser>
        <c:ser>
          <c:idx val="1"/>
          <c:order val="1"/>
          <c:tx>
            <c:strRef>
              <c:f>SHW!$B$36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SHW!$C$36:$C$41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SHW!$M$36:$M$41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1.5376020021010455</c:v>
                </c:pt>
                <c:pt idx="3">
                  <c:v>0</c:v>
                </c:pt>
                <c:pt idx="4">
                  <c:v>2.5421839004757243</c:v>
                </c:pt>
                <c:pt idx="5">
                  <c:v>2.3010299956639813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7-4AF2-872E-C06A882B09C6}"/>
            </c:ext>
          </c:extLst>
        </c:ser>
        <c:ser>
          <c:idx val="2"/>
          <c:order val="2"/>
          <c:tx>
            <c:strRef>
              <c:f>SHW!$B$42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rgbClr val="4E88BD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SHW!$C$36:$C$41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SHW!$M$42:$M$47</c:f>
              <c:numCache>
                <c:formatCode>0.0</c:formatCode>
                <c:ptCount val="6"/>
                <c:pt idx="0">
                  <c:v>0</c:v>
                </c:pt>
                <c:pt idx="1">
                  <c:v>-0.27485032001668952</c:v>
                </c:pt>
                <c:pt idx="2">
                  <c:v>1.6112431769962736</c:v>
                </c:pt>
                <c:pt idx="3">
                  <c:v>0</c:v>
                </c:pt>
                <c:pt idx="4">
                  <c:v>2.5449223010648137</c:v>
                </c:pt>
                <c:pt idx="5">
                  <c:v>2.4862146894200254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7-4AF2-872E-C06A882B09C6}"/>
            </c:ext>
          </c:extLst>
        </c:ser>
        <c:ser>
          <c:idx val="3"/>
          <c:order val="3"/>
          <c:tx>
            <c:strRef>
              <c:f>SHW!$B$48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rgbClr val="264478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SHW!$C$36:$C$41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SHW!$M$48:$M$53</c:f>
              <c:numCache>
                <c:formatCode>0.0</c:formatCode>
                <c:ptCount val="6"/>
                <c:pt idx="0">
                  <c:v>0</c:v>
                </c:pt>
                <c:pt idx="1">
                  <c:v>2.3798908473909859</c:v>
                </c:pt>
                <c:pt idx="2">
                  <c:v>1.8501154292839037</c:v>
                </c:pt>
                <c:pt idx="3">
                  <c:v>0</c:v>
                </c:pt>
                <c:pt idx="4">
                  <c:v>2.829932339336557</c:v>
                </c:pt>
                <c:pt idx="5">
                  <c:v>3.1004962801406402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77-4AF2-872E-C06A882B0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571536"/>
        <c:axId val="704569240"/>
      </c:barChart>
      <c:catAx>
        <c:axId val="70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69240"/>
        <c:crosses val="autoZero"/>
        <c:auto val="1"/>
        <c:lblAlgn val="ctr"/>
        <c:lblOffset val="100"/>
        <c:noMultiLvlLbl val="0"/>
      </c:catAx>
      <c:valAx>
        <c:axId val="704569240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Log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Kd (log L/kg)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321428571428572E-2"/>
              <c:y val="0.34979571830629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715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Freundlich Adsorption Isotherms for SHW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419222987751532"/>
          <c:y val="0.13532414698162729"/>
          <c:w val="0.68286781860600754"/>
          <c:h val="0.71188276465441824"/>
        </c:manualLayout>
      </c:layout>
      <c:scatterChart>
        <c:scatterStyle val="lineMarker"/>
        <c:varyColors val="0"/>
        <c:ser>
          <c:idx val="9"/>
          <c:order val="0"/>
          <c:tx>
            <c:v>PFNA Measured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SHW!$F$86:$F$89</c:f>
              <c:numCache>
                <c:formatCode>0</c:formatCode>
                <c:ptCount val="4"/>
                <c:pt idx="0">
                  <c:v>4.8366666666666669</c:v>
                </c:pt>
                <c:pt idx="1">
                  <c:v>22.233333333333331</c:v>
                </c:pt>
                <c:pt idx="2">
                  <c:v>53.033333333333339</c:v>
                </c:pt>
                <c:pt idx="3">
                  <c:v>348.33333333333331</c:v>
                </c:pt>
              </c:numCache>
            </c:numRef>
          </c:xVal>
          <c:yVal>
            <c:numRef>
              <c:f>SHW!$G$86:$G$89</c:f>
              <c:numCache>
                <c:formatCode>0</c:formatCode>
                <c:ptCount val="4"/>
                <c:pt idx="0">
                  <c:v>1973.3333333333326</c:v>
                </c:pt>
                <c:pt idx="1">
                  <c:v>766.66666666666936</c:v>
                </c:pt>
                <c:pt idx="2">
                  <c:v>2166.6666666666642</c:v>
                </c:pt>
                <c:pt idx="3">
                  <c:v>24666.666666666686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40-46EA-9DDB-FC5651EDFBF9}"/>
            </c:ext>
          </c:extLst>
        </c:ser>
        <c:ser>
          <c:idx val="11"/>
          <c:order val="1"/>
          <c:tx>
            <c:v>PFNA Freundlich</c:v>
          </c:tx>
          <c:spPr>
            <a:ln w="317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SHW!$AV$60:$AV$84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1.1486055160697004</c:v>
                </c:pt>
                <c:pt idx="2" formatCode="0">
                  <c:v>1.4725711744483339</c:v>
                </c:pt>
                <c:pt idx="3" formatCode="0">
                  <c:v>1.8879117621132484</c:v>
                </c:pt>
                <c:pt idx="4" formatCode="0">
                  <c:v>2.420399695016985</c:v>
                </c:pt>
                <c:pt idx="5" formatCode="0">
                  <c:v>3.1030765320730578</c:v>
                </c:pt>
                <c:pt idx="6" formatCode="0">
                  <c:v>3.9783032462475099</c:v>
                </c:pt>
                <c:pt idx="7" formatCode="0">
                  <c:v>5.1003887772403971</c:v>
                </c:pt>
                <c:pt idx="8" formatCode="0">
                  <c:v>6.538959970821022</c:v>
                </c:pt>
                <c:pt idx="9" formatCode="0">
                  <c:v>8.3832820138731048</c:v>
                </c:pt>
                <c:pt idx="10" formatCode="0">
                  <c:v>10.747797453683468</c:v>
                </c:pt>
                <c:pt idx="11" formatCode="0">
                  <c:v>13.779227504722394</c:v>
                </c:pt>
                <c:pt idx="12" formatCode="0">
                  <c:v>17.665676288105633</c:v>
                </c:pt>
                <c:pt idx="13" formatCode="0">
                  <c:v>22.648302933468759</c:v>
                </c:pt>
                <c:pt idx="14" formatCode="0">
                  <c:v>29.036285812139436</c:v>
                </c:pt>
                <c:pt idx="15" formatCode="0">
                  <c:v>37.226007451460816</c:v>
                </c:pt>
                <c:pt idx="16" formatCode="0">
                  <c:v>47.725650578795914</c:v>
                </c:pt>
                <c:pt idx="17" formatCode="0">
                  <c:v>61.186731511276811</c:v>
                </c:pt>
                <c:pt idx="18" formatCode="0">
                  <c:v>78.444527578560013</c:v>
                </c:pt>
                <c:pt idx="19" formatCode="0">
                  <c:v>100.56990715200001</c:v>
                </c:pt>
                <c:pt idx="20" formatCode="0">
                  <c:v>128.9357784</c:v>
                </c:pt>
                <c:pt idx="21" formatCode="General">
                  <c:v>165.30228</c:v>
                </c:pt>
                <c:pt idx="22" formatCode="General">
                  <c:v>211.92599999999999</c:v>
                </c:pt>
                <c:pt idx="23" formatCode="0">
                  <c:v>271.7</c:v>
                </c:pt>
                <c:pt idx="24" formatCode="0">
                  <c:v>348.33333333333331</c:v>
                </c:pt>
              </c:numCache>
            </c:numRef>
          </c:xVal>
          <c:yVal>
            <c:numRef>
              <c:f>SHW!$AW$60:$AW$84</c:f>
              <c:numCache>
                <c:formatCode>0</c:formatCode>
                <c:ptCount val="25"/>
                <c:pt idx="0">
                  <c:v>0</c:v>
                </c:pt>
                <c:pt idx="1">
                  <c:v>317.43556230980414</c:v>
                </c:pt>
                <c:pt idx="2">
                  <c:v>372.51922884787325</c:v>
                </c:pt>
                <c:pt idx="3">
                  <c:v>437.16140325191338</c:v>
                </c:pt>
                <c:pt idx="4">
                  <c:v>513.02074549076838</c:v>
                </c:pt>
                <c:pt idx="5">
                  <c:v>602.04373795607205</c:v>
                </c:pt>
                <c:pt idx="6">
                  <c:v>706.51463044712625</c:v>
                </c:pt>
                <c:pt idx="7">
                  <c:v>829.11405196321596</c:v>
                </c:pt>
                <c:pt idx="8">
                  <c:v>972.98779322915675</c:v>
                </c:pt>
                <c:pt idx="9">
                  <c:v>1141.8275248517257</c:v>
                </c:pt>
                <c:pt idx="10">
                  <c:v>1339.9655222621648</c:v>
                </c:pt>
                <c:pt idx="11">
                  <c:v>1572.4858280014539</c:v>
                </c:pt>
                <c:pt idx="12">
                  <c:v>1845.3547036724658</c:v>
                </c:pt>
                <c:pt idx="13">
                  <c:v>2165.5737188385938</c:v>
                </c:pt>
                <c:pt idx="14">
                  <c:v>2541.3594049920921</c:v>
                </c:pt>
                <c:pt idx="15">
                  <c:v>2982.3540843511369</c:v>
                </c:pt>
                <c:pt idx="16">
                  <c:v>3499.8732831626335</c:v>
                </c:pt>
                <c:pt idx="17">
                  <c:v>4107.1960779132614</c:v>
                </c:pt>
                <c:pt idx="18">
                  <c:v>4819.9058244710204</c:v>
                </c:pt>
                <c:pt idx="19">
                  <c:v>5656.2900129600939</c:v>
                </c:pt>
                <c:pt idx="20">
                  <c:v>6637.8095082850232</c:v>
                </c:pt>
                <c:pt idx="21">
                  <c:v>7789.649216593295</c:v>
                </c:pt>
                <c:pt idx="22">
                  <c:v>9141.3643072818068</c:v>
                </c:pt>
                <c:pt idx="23">
                  <c:v>10727.638572021831</c:v>
                </c:pt>
                <c:pt idx="24">
                  <c:v>12589.174379611863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40-46EA-9DDB-FC5651EDFBF9}"/>
            </c:ext>
          </c:extLst>
        </c:ser>
        <c:ser>
          <c:idx val="18"/>
          <c:order val="2"/>
          <c:tx>
            <c:v>PFOS Measured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SHW!$F$112:$F$115</c:f>
              <c:numCache>
                <c:formatCode>0</c:formatCode>
                <c:ptCount val="4"/>
                <c:pt idx="0">
                  <c:v>4.3633333333333333</c:v>
                </c:pt>
                <c:pt idx="1">
                  <c:v>19.8</c:v>
                </c:pt>
                <c:pt idx="2">
                  <c:v>43.533333333333339</c:v>
                </c:pt>
                <c:pt idx="3">
                  <c:v>238.66666666666666</c:v>
                </c:pt>
              </c:numCache>
            </c:numRef>
          </c:xVal>
          <c:yVal>
            <c:numRef>
              <c:f>SHW!$G$112:$G$115</c:f>
              <c:numCache>
                <c:formatCode>0</c:formatCode>
                <c:ptCount val="4"/>
                <c:pt idx="0">
                  <c:v>3330</c:v>
                </c:pt>
                <c:pt idx="1">
                  <c:v>6899.9999999999991</c:v>
                </c:pt>
                <c:pt idx="2">
                  <c:v>15266.666666666659</c:v>
                </c:pt>
                <c:pt idx="3">
                  <c:v>161333.33333333334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40-46EA-9DDB-FC5651EDFBF9}"/>
            </c:ext>
          </c:extLst>
        </c:ser>
        <c:ser>
          <c:idx val="20"/>
          <c:order val="3"/>
          <c:tx>
            <c:v>PFOS Freundlich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SHW!$AZ$60:$AZ$84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0.7869871287137854</c:v>
                </c:pt>
                <c:pt idx="2" formatCode="0">
                  <c:v>1.0089578573253659</c:v>
                </c:pt>
                <c:pt idx="3" formatCode="0">
                  <c:v>1.2935357145196997</c:v>
                </c:pt>
                <c:pt idx="4" formatCode="0">
                  <c:v>1.6583791211791021</c:v>
                </c:pt>
                <c:pt idx="5" formatCode="0">
                  <c:v>2.1261270784347461</c:v>
                </c:pt>
                <c:pt idx="6" formatCode="0">
                  <c:v>2.725803946711213</c:v>
                </c:pt>
                <c:pt idx="7" formatCode="0">
                  <c:v>3.494620444501555</c:v>
                </c:pt>
                <c:pt idx="8" formatCode="0">
                  <c:v>4.4802826211558395</c:v>
                </c:pt>
                <c:pt idx="9" formatCode="0">
                  <c:v>5.7439520784049218</c:v>
                </c:pt>
                <c:pt idx="10" formatCode="0">
                  <c:v>7.3640411261601564</c:v>
                </c:pt>
                <c:pt idx="11" formatCode="0">
                  <c:v>9.4410783668719951</c:v>
                </c:pt>
                <c:pt idx="12" formatCode="0">
                  <c:v>12.103946624194865</c:v>
                </c:pt>
                <c:pt idx="13" formatCode="0">
                  <c:v>15.517880287429314</c:v>
                </c:pt>
                <c:pt idx="14" formatCode="0">
                  <c:v>19.89471831721707</c:v>
                </c:pt>
                <c:pt idx="15" formatCode="0">
                  <c:v>25.506049124637268</c:v>
                </c:pt>
                <c:pt idx="16" formatCode="0">
                  <c:v>32.700062980304189</c:v>
                </c:pt>
                <c:pt idx="17" formatCode="0">
                  <c:v>41.92315766705665</c:v>
                </c:pt>
                <c:pt idx="18" formatCode="0">
                  <c:v>53.747638034688009</c:v>
                </c:pt>
                <c:pt idx="19" formatCode="0">
                  <c:v>68.90722824960001</c:v>
                </c:pt>
                <c:pt idx="20" formatCode="0">
                  <c:v>88.342600320000017</c:v>
                </c:pt>
                <c:pt idx="21" formatCode="General">
                  <c:v>113.25974400000001</c:v>
                </c:pt>
                <c:pt idx="22" formatCode="General">
                  <c:v>145.20480000000001</c:v>
                </c:pt>
                <c:pt idx="23" formatCode="0">
                  <c:v>186.16</c:v>
                </c:pt>
                <c:pt idx="24" formatCode="0">
                  <c:v>238.66666666666666</c:v>
                </c:pt>
              </c:numCache>
            </c:numRef>
          </c:xVal>
          <c:yVal>
            <c:numRef>
              <c:f>SHW!$BA$60:$BA$84</c:f>
              <c:numCache>
                <c:formatCode>0</c:formatCode>
                <c:ptCount val="25"/>
                <c:pt idx="0">
                  <c:v>0</c:v>
                </c:pt>
                <c:pt idx="1">
                  <c:v>425.41739372854971</c:v>
                </c:pt>
                <c:pt idx="2">
                  <c:v>542.61148151647285</c:v>
                </c:pt>
                <c:pt idx="3">
                  <c:v>692.09022530322227</c:v>
                </c:pt>
                <c:pt idx="4">
                  <c:v>882.74741002826272</c:v>
                </c:pt>
                <c:pt idx="5">
                  <c:v>1125.9268826838286</c:v>
                </c:pt>
                <c:pt idx="6">
                  <c:v>1436.0974960091205</c:v>
                </c:pt>
                <c:pt idx="7">
                  <c:v>1831.7139858386354</c:v>
                </c:pt>
                <c:pt idx="8">
                  <c:v>2336.3150031532064</c:v>
                </c:pt>
                <c:pt idx="9">
                  <c:v>2979.9236322693127</c:v>
                </c:pt>
                <c:pt idx="10">
                  <c:v>3800.8337241220997</c:v>
                </c:pt>
                <c:pt idx="11">
                  <c:v>4847.8883290785852</c:v>
                </c:pt>
                <c:pt idx="12">
                  <c:v>6183.3857929801316</c:v>
                </c:pt>
                <c:pt idx="13">
                  <c:v>7886.7864252342515</c:v>
                </c:pt>
                <c:pt idx="14">
                  <c:v>10059.440280739913</c:v>
                </c:pt>
                <c:pt idx="15">
                  <c:v>12830.617352335252</c:v>
                </c:pt>
                <c:pt idx="16">
                  <c:v>16365.198962137254</c:v>
                </c:pt>
                <c:pt idx="17">
                  <c:v>20873.487979250916</c:v>
                </c:pt>
                <c:pt idx="18">
                  <c:v>26623.721558655034</c:v>
                </c:pt>
                <c:pt idx="19">
                  <c:v>33958.030892459894</c:v>
                </c:pt>
                <c:pt idx="20">
                  <c:v>43312.797557349317</c:v>
                </c:pt>
                <c:pt idx="21">
                  <c:v>55244.617633599948</c:v>
                </c:pt>
                <c:pt idx="22">
                  <c:v>70463.418425965981</c:v>
                </c:pt>
                <c:pt idx="23">
                  <c:v>89874.698186941212</c:v>
                </c:pt>
                <c:pt idx="24">
                  <c:v>114633.40204932778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40-46EA-9DDB-FC5651EDFBF9}"/>
            </c:ext>
          </c:extLst>
        </c:ser>
        <c:ser>
          <c:idx val="0"/>
          <c:order val="4"/>
          <c:tx>
            <c:v>8:2 FTS 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SHW!$F$125:$F$128</c:f>
              <c:numCache>
                <c:formatCode>0</c:formatCode>
                <c:ptCount val="4"/>
                <c:pt idx="0">
                  <c:v>3.86</c:v>
                </c:pt>
                <c:pt idx="1">
                  <c:v>19.333333333333332</c:v>
                </c:pt>
                <c:pt idx="2">
                  <c:v>36.233333333333334</c:v>
                </c:pt>
                <c:pt idx="3">
                  <c:v>201</c:v>
                </c:pt>
              </c:numCache>
            </c:numRef>
          </c:xVal>
          <c:yVal>
            <c:numRef>
              <c:f>SHW!$G$125:$G$128</c:f>
              <c:numCache>
                <c:formatCode>0</c:formatCode>
                <c:ptCount val="4"/>
                <c:pt idx="0">
                  <c:v>3203.3333333333335</c:v>
                </c:pt>
                <c:pt idx="1">
                  <c:v>3866.666666666667</c:v>
                </c:pt>
                <c:pt idx="2">
                  <c:v>11100</c:v>
                </c:pt>
                <c:pt idx="3">
                  <c:v>253333.33333333331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40-46EA-9DDB-FC5651EDFBF9}"/>
            </c:ext>
          </c:extLst>
        </c:ser>
        <c:ser>
          <c:idx val="2"/>
          <c:order val="5"/>
          <c:tx>
            <c:v>8:2 FTS Freundlich</c:v>
          </c:tx>
          <c:spPr>
            <a:ln w="317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SHW!$BB$60:$BB$84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0.66278385281342556</c:v>
                </c:pt>
                <c:pt idx="2" formatCode="0">
                  <c:v>0.84972288822234043</c:v>
                </c:pt>
                <c:pt idx="3" formatCode="0">
                  <c:v>1.0893883182337698</c:v>
                </c:pt>
                <c:pt idx="4" formatCode="0">
                  <c:v>1.3966516900432946</c:v>
                </c:pt>
                <c:pt idx="5" formatCode="0">
                  <c:v>1.7905790897990956</c:v>
                </c:pt>
                <c:pt idx="6" formatCode="0">
                  <c:v>2.2956142176911483</c:v>
                </c:pt>
                <c:pt idx="7" formatCode="0">
                  <c:v>2.9430951508860872</c:v>
                </c:pt>
                <c:pt idx="8" formatCode="0">
                  <c:v>3.7731989113924196</c:v>
                </c:pt>
                <c:pt idx="9" formatCode="0">
                  <c:v>4.837434501785153</c:v>
                </c:pt>
                <c:pt idx="10" formatCode="0">
                  <c:v>6.2018391048527599</c:v>
                </c:pt>
                <c:pt idx="11" formatCode="0">
                  <c:v>7.9510757754522556</c:v>
                </c:pt>
                <c:pt idx="12" formatCode="0">
                  <c:v>10.193686891605456</c:v>
                </c:pt>
                <c:pt idx="13" formatCode="0">
                  <c:v>13.068829348212121</c:v>
                </c:pt>
                <c:pt idx="14" formatCode="0">
                  <c:v>16.75490942078477</c:v>
                </c:pt>
                <c:pt idx="15" formatCode="0">
                  <c:v>21.480653103570216</c:v>
                </c:pt>
                <c:pt idx="16" formatCode="0">
                  <c:v>27.539298850731043</c:v>
                </c:pt>
                <c:pt idx="17" formatCode="0">
                  <c:v>35.306793398373131</c:v>
                </c:pt>
                <c:pt idx="18" formatCode="0">
                  <c:v>45.265119741504016</c:v>
                </c:pt>
                <c:pt idx="19" formatCode="0">
                  <c:v>58.032204796800016</c:v>
                </c:pt>
                <c:pt idx="20" formatCode="0">
                  <c:v>74.400262560000016</c:v>
                </c:pt>
                <c:pt idx="21" formatCode="General">
                  <c:v>95.384952000000013</c:v>
                </c:pt>
                <c:pt idx="22" formatCode="General">
                  <c:v>122.28840000000001</c:v>
                </c:pt>
                <c:pt idx="23" formatCode="0">
                  <c:v>156.78</c:v>
                </c:pt>
                <c:pt idx="24" formatCode="0">
                  <c:v>201</c:v>
                </c:pt>
              </c:numCache>
            </c:numRef>
          </c:xVal>
          <c:yVal>
            <c:numRef>
              <c:f>SHW!$BC$60:$BC$84</c:f>
              <c:numCache>
                <c:formatCode>0</c:formatCode>
                <c:ptCount val="25"/>
                <c:pt idx="0">
                  <c:v>0</c:v>
                </c:pt>
                <c:pt idx="1">
                  <c:v>206.68458417804842</c:v>
                </c:pt>
                <c:pt idx="2">
                  <c:v>273.60027071371644</c:v>
                </c:pt>
                <c:pt idx="3">
                  <c:v>362.18041336906509</c:v>
                </c:pt>
                <c:pt idx="4">
                  <c:v>479.43904253458282</c:v>
                </c:pt>
                <c:pt idx="5">
                  <c:v>634.66103362206479</c:v>
                </c:pt>
                <c:pt idx="6">
                  <c:v>840.13731019657894</c:v>
                </c:pt>
                <c:pt idx="7">
                  <c:v>1112.1380746445179</c:v>
                </c:pt>
                <c:pt idx="8">
                  <c:v>1472.2011295803675</c:v>
                </c:pt>
                <c:pt idx="9">
                  <c:v>1948.8373029855009</c:v>
                </c:pt>
                <c:pt idx="10">
                  <c:v>2579.788017545106</c:v>
                </c:pt>
                <c:pt idx="11">
                  <c:v>3415.0137650145439</c:v>
                </c:pt>
                <c:pt idx="12">
                  <c:v>4520.6501216082579</c:v>
                </c:pt>
                <c:pt idx="13">
                  <c:v>5984.244553084468</c:v>
                </c:pt>
                <c:pt idx="14">
                  <c:v>7921.688674809674</c:v>
                </c:pt>
                <c:pt idx="15">
                  <c:v>10486.394883087278</c:v>
                </c:pt>
                <c:pt idx="16">
                  <c:v>13881.443989804484</c:v>
                </c:pt>
                <c:pt idx="17">
                  <c:v>18375.66574503708</c:v>
                </c:pt>
                <c:pt idx="18">
                  <c:v>24324.925549628311</c:v>
                </c:pt>
                <c:pt idx="19">
                  <c:v>32200.302900849576</c:v>
                </c:pt>
                <c:pt idx="20">
                  <c:v>42625.392821492314</c:v>
                </c:pt>
                <c:pt idx="21">
                  <c:v>56425.683906799284</c:v>
                </c:pt>
                <c:pt idx="22">
                  <c:v>74693.922884968226</c:v>
                </c:pt>
                <c:pt idx="23">
                  <c:v>98876.641445072295</c:v>
                </c:pt>
                <c:pt idx="24">
                  <c:v>130888.6967754224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40-46EA-9DDB-FC5651E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Concentration in Solid (ug/kg)</a:t>
                </a:r>
              </a:p>
            </c:rich>
          </c:tx>
          <c:layout>
            <c:manualLayout>
              <c:xMode val="edge"/>
              <c:yMode val="edge"/>
              <c:x val="1.7342762710216775E-2"/>
              <c:y val="0.21948866446042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762088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663422280548257"/>
          <c:y val="0.12422309711286089"/>
          <c:w val="0.20128827646544181"/>
          <c:h val="0.428432994788694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HSM+BM1 (1:1)</a:t>
            </a:r>
            <a:br>
              <a:rPr lang="en-US" sz="1100" baseline="0"/>
            </a:br>
            <a:r>
              <a:rPr lang="en-US" sz="1100" baseline="0"/>
              <a:t>PFOA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'HSM+BM1 (1-1)'!$F$73:$F$76</c:f>
              <c:numCache>
                <c:formatCode>0</c:formatCode>
                <c:ptCount val="4"/>
                <c:pt idx="0">
                  <c:v>7.206666666666667</c:v>
                </c:pt>
                <c:pt idx="1">
                  <c:v>25.5</c:v>
                </c:pt>
                <c:pt idx="2">
                  <c:v>61.3</c:v>
                </c:pt>
                <c:pt idx="3">
                  <c:v>374</c:v>
                </c:pt>
              </c:numCache>
            </c:numRef>
          </c:xVal>
          <c:yVal>
            <c:numRef>
              <c:f>'HSM+BM1 (1-1)'!$G$73:$G$76</c:f>
              <c:numCache>
                <c:formatCode>0</c:formatCode>
                <c:ptCount val="4"/>
                <c:pt idx="0">
                  <c:v>676.66666666666583</c:v>
                </c:pt>
                <c:pt idx="1">
                  <c:v>1066.6666666666665</c:v>
                </c:pt>
                <c:pt idx="2">
                  <c:v>1500.0000000000002</c:v>
                </c:pt>
                <c:pt idx="3">
                  <c:v>93000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7B-4CC1-81C5-00490733E552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(1-1)'!$F$73:$F$76</c:f>
              <c:numCache>
                <c:formatCode>0</c:formatCode>
                <c:ptCount val="4"/>
                <c:pt idx="0">
                  <c:v>7.206666666666667</c:v>
                </c:pt>
                <c:pt idx="1">
                  <c:v>25.5</c:v>
                </c:pt>
                <c:pt idx="2">
                  <c:v>61.3</c:v>
                </c:pt>
                <c:pt idx="3">
                  <c:v>374</c:v>
                </c:pt>
              </c:numCache>
            </c:numRef>
          </c:xVal>
          <c:yVal>
            <c:numRef>
              <c:f>'HSM+BM1 (1-1)'!$Z$73:$Z$76</c:f>
              <c:numCache>
                <c:formatCode>0</c:formatCode>
                <c:ptCount val="4"/>
                <c:pt idx="0">
                  <c:v>1742.8511820140079</c:v>
                </c:pt>
                <c:pt idx="1">
                  <c:v>6166.8878549156607</c:v>
                </c:pt>
                <c:pt idx="2">
                  <c:v>14824.714725565436</c:v>
                </c:pt>
                <c:pt idx="3">
                  <c:v>90447.68852848855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7B-4CC1-81C5-00490733E552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(1-1)'!$AT$60:$AT$84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1.233239606727468</c:v>
                </c:pt>
                <c:pt idx="2" formatCode="0">
                  <c:v>1.5810764188813691</c:v>
                </c:pt>
                <c:pt idx="3" formatCode="0">
                  <c:v>2.0270210498479089</c:v>
                </c:pt>
                <c:pt idx="4" formatCode="0">
                  <c:v>2.5987449357024475</c:v>
                </c:pt>
                <c:pt idx="5" formatCode="0">
                  <c:v>3.3317242765415993</c:v>
                </c:pt>
                <c:pt idx="6" formatCode="0">
                  <c:v>4.2714413801815372</c:v>
                </c:pt>
                <c:pt idx="7" formatCode="0">
                  <c:v>5.4762068976686367</c:v>
                </c:pt>
                <c:pt idx="8" formatCode="0">
                  <c:v>7.0207780739341494</c:v>
                </c:pt>
                <c:pt idx="9" formatCode="0">
                  <c:v>9.0009975306848062</c:v>
                </c:pt>
                <c:pt idx="10" formatCode="0">
                  <c:v>11.53974042395488</c:v>
                </c:pt>
                <c:pt idx="11" formatCode="0">
                  <c:v>14.794539005070359</c:v>
                </c:pt>
                <c:pt idx="12" formatCode="0">
                  <c:v>18.967357698808151</c:v>
                </c:pt>
                <c:pt idx="13" formatCode="0">
                  <c:v>24.317125254882242</c:v>
                </c:pt>
                <c:pt idx="14" formatCode="0">
                  <c:v>31.175801608823384</c:v>
                </c:pt>
                <c:pt idx="15" formatCode="0">
                  <c:v>39.968976421568442</c:v>
                </c:pt>
                <c:pt idx="16" formatCode="0">
                  <c:v>51.242277463549286</c:v>
                </c:pt>
                <c:pt idx="17" formatCode="0">
                  <c:v>65.695227517370881</c:v>
                </c:pt>
                <c:pt idx="18" formatCode="0">
                  <c:v>84.224650663296003</c:v>
                </c:pt>
                <c:pt idx="19" formatCode="0">
                  <c:v>107.98032136320001</c:v>
                </c:pt>
                <c:pt idx="20" formatCode="0">
                  <c:v>138.43630944</c:v>
                </c:pt>
                <c:pt idx="21" formatCode="General">
                  <c:v>177.48244800000001</c:v>
                </c:pt>
                <c:pt idx="22" formatCode="General">
                  <c:v>227.54160000000002</c:v>
                </c:pt>
                <c:pt idx="23" formatCode="0">
                  <c:v>291.72000000000003</c:v>
                </c:pt>
                <c:pt idx="24" formatCode="0">
                  <c:v>374</c:v>
                </c:pt>
              </c:numCache>
            </c:numRef>
          </c:xVal>
          <c:yVal>
            <c:numRef>
              <c:f>'HSM+BM1 (1-1)'!$AU$60:$AU$84</c:f>
              <c:numCache>
                <c:formatCode>0</c:formatCode>
                <c:ptCount val="25"/>
                <c:pt idx="0">
                  <c:v>0</c:v>
                </c:pt>
                <c:pt idx="1">
                  <c:v>34.273170969633306</c:v>
                </c:pt>
                <c:pt idx="2">
                  <c:v>46.825755587676511</c:v>
                </c:pt>
                <c:pt idx="3">
                  <c:v>63.975737415704856</c:v>
                </c:pt>
                <c:pt idx="4">
                  <c:v>87.406917977429856</c:v>
                </c:pt>
                <c:pt idx="5">
                  <c:v>119.41979286099917</c:v>
                </c:pt>
                <c:pt idx="6">
                  <c:v>163.15741656337124</c:v>
                </c:pt>
                <c:pt idx="7">
                  <c:v>222.91399056954216</c:v>
                </c:pt>
                <c:pt idx="8">
                  <c:v>304.55647213767833</c:v>
                </c:pt>
                <c:pt idx="9">
                  <c:v>416.10059774158458</c:v>
                </c:pt>
                <c:pt idx="10">
                  <c:v>568.497875699828</c:v>
                </c:pt>
                <c:pt idx="11">
                  <c:v>776.71081567619171</c:v>
                </c:pt>
                <c:pt idx="12">
                  <c:v>1061.1819621062434</c:v>
                </c:pt>
                <c:pt idx="13">
                  <c:v>1449.8409626487392</c:v>
                </c:pt>
                <c:pt idx="14">
                  <c:v>1980.8467275509256</c:v>
                </c:pt>
                <c:pt idx="15">
                  <c:v>2706.3339077417418</c:v>
                </c:pt>
                <c:pt idx="16">
                  <c:v>3697.5315244346116</c:v>
                </c:pt>
                <c:pt idx="17">
                  <c:v>5051.7563021615106</c:v>
                </c:pt>
                <c:pt idx="18">
                  <c:v>6901.9673173255433</c:v>
                </c:pt>
                <c:pt idx="19">
                  <c:v>9429.8200467522984</c:v>
                </c:pt>
                <c:pt idx="20">
                  <c:v>12883.501475139996</c:v>
                </c:pt>
                <c:pt idx="21">
                  <c:v>17602.097329216853</c:v>
                </c:pt>
                <c:pt idx="22">
                  <c:v>24048.883836826419</c:v>
                </c:pt>
                <c:pt idx="23">
                  <c:v>32856.812627504187</c:v>
                </c:pt>
                <c:pt idx="24">
                  <c:v>44890.654525336366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7B-4CC1-81C5-00490733E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18219944793305276"/>
          <c:h val="0.2172488142314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OTS</a:t>
            </a:r>
            <a:br>
              <a:rPr lang="en-US" sz="1100" baseline="0"/>
            </a:br>
            <a:r>
              <a:rPr lang="en-US" sz="1100" baseline="0"/>
              <a:t>PFHxA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OTS!$F$60:$F$63</c:f>
              <c:numCache>
                <c:formatCode>0</c:formatCode>
                <c:ptCount val="4"/>
                <c:pt idx="0">
                  <c:v>17.333333333333332</c:v>
                </c:pt>
                <c:pt idx="1">
                  <c:v>59</c:v>
                </c:pt>
                <c:pt idx="2">
                  <c:v>138.66666666666666</c:v>
                </c:pt>
                <c:pt idx="3">
                  <c:v>786</c:v>
                </c:pt>
              </c:numCache>
            </c:numRef>
          </c:xVal>
          <c:yVal>
            <c:numRef>
              <c:f>OTS!$G$60:$G$63</c:f>
              <c:numCache>
                <c:formatCode>0</c:formatCode>
                <c:ptCount val="4"/>
                <c:pt idx="0">
                  <c:v>-1933.3333333333319</c:v>
                </c:pt>
                <c:pt idx="1">
                  <c:v>-11500</c:v>
                </c:pt>
                <c:pt idx="2">
                  <c:v>-18666.666666666657</c:v>
                </c:pt>
                <c:pt idx="3">
                  <c:v>-75000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0E-41FF-9B67-C7E392B0F517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OTS!$F$60:$F$63</c:f>
              <c:numCache>
                <c:formatCode>0</c:formatCode>
                <c:ptCount val="4"/>
                <c:pt idx="0">
                  <c:v>17.333333333333332</c:v>
                </c:pt>
                <c:pt idx="1">
                  <c:v>59</c:v>
                </c:pt>
                <c:pt idx="2">
                  <c:v>138.66666666666666</c:v>
                </c:pt>
                <c:pt idx="3">
                  <c:v>786</c:v>
                </c:pt>
              </c:numCache>
            </c:numRef>
          </c:xVal>
          <c:yVal>
            <c:numRef>
              <c:f>OTS!$Z$60:$Z$63</c:f>
              <c:numCache>
                <c:formatCode>0</c:formatCode>
                <c:ptCount val="4"/>
                <c:pt idx="0">
                  <c:v>-2426.7934596273794</c:v>
                </c:pt>
                <c:pt idx="1">
                  <c:v>-8260.4317045109474</c:v>
                </c:pt>
                <c:pt idx="2">
                  <c:v>-19414.348503635254</c:v>
                </c:pt>
                <c:pt idx="3">
                  <c:v>-110045.7792564187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0E-41FF-9B67-C7E392B0F517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OTS!$F$60:$F$63</c:f>
              <c:numCache>
                <c:formatCode>0</c:formatCode>
                <c:ptCount val="4"/>
                <c:pt idx="0">
                  <c:v>17.333333333333332</c:v>
                </c:pt>
                <c:pt idx="1">
                  <c:v>59</c:v>
                </c:pt>
                <c:pt idx="2">
                  <c:v>138.66666666666666</c:v>
                </c:pt>
                <c:pt idx="3">
                  <c:v>786</c:v>
                </c:pt>
              </c:numCache>
            </c:numRef>
          </c:xVal>
          <c:yVal>
            <c:numRef>
              <c:f>OTS!$AH$60:$AH$63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0E-41FF-9B67-C7E392B0F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OTS!$AF$60:$AF$63</c:f>
              <c:numCache>
                <c:formatCode>General</c:formatCode>
                <c:ptCount val="4"/>
                <c:pt idx="0">
                  <c:v>1.2388820889151366</c:v>
                </c:pt>
                <c:pt idx="1">
                  <c:v>1.7708520116421442</c:v>
                </c:pt>
                <c:pt idx="2">
                  <c:v>2.1419720759070802</c:v>
                </c:pt>
                <c:pt idx="3">
                  <c:v>2.8954225460394079</c:v>
                </c:pt>
              </c:numCache>
            </c:numRef>
          </c:xVal>
          <c:yVal>
            <c:numRef>
              <c:f>OTS!$AG$60:$AG$63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1E-4D3F-A728-9651C9D3C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OTS</a:t>
            </a:r>
            <a:br>
              <a:rPr lang="en-US" sz="1100" baseline="0"/>
            </a:br>
            <a:r>
              <a:rPr lang="en-US" sz="1100" baseline="0"/>
              <a:t>PFOA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OTS!$F$73:$F$76</c:f>
              <c:numCache>
                <c:formatCode>0</c:formatCode>
                <c:ptCount val="4"/>
                <c:pt idx="0">
                  <c:v>9.5533333333333346</c:v>
                </c:pt>
                <c:pt idx="1">
                  <c:v>33.700000000000003</c:v>
                </c:pt>
                <c:pt idx="2">
                  <c:v>76.599999999999994</c:v>
                </c:pt>
                <c:pt idx="3">
                  <c:v>423</c:v>
                </c:pt>
              </c:numCache>
            </c:numRef>
          </c:xVal>
          <c:yVal>
            <c:numRef>
              <c:f>OTS!$G$73:$G$76</c:f>
              <c:numCache>
                <c:formatCode>0</c:formatCode>
                <c:ptCount val="4"/>
                <c:pt idx="0">
                  <c:v>-1670.0000000000016</c:v>
                </c:pt>
                <c:pt idx="1">
                  <c:v>-7133.3333333333367</c:v>
                </c:pt>
                <c:pt idx="2">
                  <c:v>-13799.999999999998</c:v>
                </c:pt>
                <c:pt idx="3">
                  <c:v>44000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7F-4770-A258-18C8AEF53BAA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OTS!$F$73:$F$76</c:f>
              <c:numCache>
                <c:formatCode>0</c:formatCode>
                <c:ptCount val="4"/>
                <c:pt idx="0">
                  <c:v>9.5533333333333346</c:v>
                </c:pt>
                <c:pt idx="1">
                  <c:v>33.700000000000003</c:v>
                </c:pt>
                <c:pt idx="2">
                  <c:v>76.599999999999994</c:v>
                </c:pt>
                <c:pt idx="3">
                  <c:v>423</c:v>
                </c:pt>
              </c:numCache>
            </c:numRef>
          </c:xVal>
          <c:yVal>
            <c:numRef>
              <c:f>OTS!$Z$73:$Z$76</c:f>
              <c:numCache>
                <c:formatCode>0</c:formatCode>
                <c:ptCount val="4"/>
                <c:pt idx="0">
                  <c:v>-2317.6865830498778</c:v>
                </c:pt>
                <c:pt idx="1">
                  <c:v>-8175.7891679194645</c:v>
                </c:pt>
                <c:pt idx="2">
                  <c:v>-18583.545082672015</c:v>
                </c:pt>
                <c:pt idx="3">
                  <c:v>-102621.95167136333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7F-4770-A258-18C8AEF53BAA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OTS!$F$73:$F$76</c:f>
              <c:numCache>
                <c:formatCode>0</c:formatCode>
                <c:ptCount val="4"/>
                <c:pt idx="0">
                  <c:v>9.5533333333333346</c:v>
                </c:pt>
                <c:pt idx="1">
                  <c:v>33.700000000000003</c:v>
                </c:pt>
                <c:pt idx="2">
                  <c:v>76.599999999999994</c:v>
                </c:pt>
                <c:pt idx="3">
                  <c:v>423</c:v>
                </c:pt>
              </c:numCache>
            </c:numRef>
          </c:xVal>
          <c:yVal>
            <c:numRef>
              <c:f>OTS!$AH$73:$AH$76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7F-4770-A258-18C8AEF53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OTS!$AF$73:$AF$76</c:f>
              <c:numCache>
                <c:formatCode>General</c:formatCode>
                <c:ptCount val="4"/>
                <c:pt idx="0">
                  <c:v>0.98015493134166332</c:v>
                </c:pt>
                <c:pt idx="1">
                  <c:v>1.5276299008713388</c:v>
                </c:pt>
                <c:pt idx="2">
                  <c:v>1.8842287696326039</c:v>
                </c:pt>
                <c:pt idx="3">
                  <c:v>2.6263403673750423</c:v>
                </c:pt>
              </c:numCache>
            </c:numRef>
          </c:xVal>
          <c:yVal>
            <c:numRef>
              <c:f>OTS!$AG$73:$AG$76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4.6434526764861879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1A-4A94-A062-B81E5CBFF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OTS</a:t>
            </a:r>
            <a:br>
              <a:rPr lang="en-US" sz="1100" baseline="0"/>
            </a:br>
            <a:r>
              <a:rPr lang="en-US" sz="1100" baseline="0"/>
              <a:t>PFNA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OTS!$F$86:$F$89</c:f>
              <c:numCache>
                <c:formatCode>0</c:formatCode>
                <c:ptCount val="4"/>
                <c:pt idx="0">
                  <c:v>8.336666666666666</c:v>
                </c:pt>
                <c:pt idx="1">
                  <c:v>26.766666666666669</c:v>
                </c:pt>
                <c:pt idx="2">
                  <c:v>62.233333333333334</c:v>
                </c:pt>
                <c:pt idx="3">
                  <c:v>339</c:v>
                </c:pt>
              </c:numCache>
            </c:numRef>
          </c:xVal>
          <c:yVal>
            <c:numRef>
              <c:f>OTS!$G$86:$G$89</c:f>
              <c:numCache>
                <c:formatCode>0</c:formatCode>
                <c:ptCount val="4"/>
                <c:pt idx="0">
                  <c:v>-1526.6666666666663</c:v>
                </c:pt>
                <c:pt idx="1">
                  <c:v>-3766.6666666666692</c:v>
                </c:pt>
                <c:pt idx="2">
                  <c:v>-7033.3333333333312</c:v>
                </c:pt>
                <c:pt idx="3">
                  <c:v>34000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AC-44FB-AE7B-8422D861FE23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OTS!$F$86:$F$89</c:f>
              <c:numCache>
                <c:formatCode>0</c:formatCode>
                <c:ptCount val="4"/>
                <c:pt idx="0">
                  <c:v>8.336666666666666</c:v>
                </c:pt>
                <c:pt idx="1">
                  <c:v>26.766666666666669</c:v>
                </c:pt>
                <c:pt idx="2">
                  <c:v>62.233333333333334</c:v>
                </c:pt>
                <c:pt idx="3">
                  <c:v>339</c:v>
                </c:pt>
              </c:numCache>
            </c:numRef>
          </c:xVal>
          <c:yVal>
            <c:numRef>
              <c:f>OTS!$Z$86:$Z$89</c:f>
              <c:numCache>
                <c:formatCode>0</c:formatCode>
                <c:ptCount val="4"/>
                <c:pt idx="0">
                  <c:v>-1978.4528230949547</c:v>
                </c:pt>
                <c:pt idx="1">
                  <c:v>-6352.249512188625</c:v>
                </c:pt>
                <c:pt idx="2">
                  <c:v>-14769.177632503215</c:v>
                </c:pt>
                <c:pt idx="3">
                  <c:v>-80451.267659835212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AC-44FB-AE7B-8422D861FE23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OTS!$F$86:$F$89</c:f>
              <c:numCache>
                <c:formatCode>0</c:formatCode>
                <c:ptCount val="4"/>
                <c:pt idx="0">
                  <c:v>8.336666666666666</c:v>
                </c:pt>
                <c:pt idx="1">
                  <c:v>26.766666666666669</c:v>
                </c:pt>
                <c:pt idx="2">
                  <c:v>62.233333333333334</c:v>
                </c:pt>
                <c:pt idx="3">
                  <c:v>339</c:v>
                </c:pt>
              </c:numCache>
            </c:numRef>
          </c:xVal>
          <c:yVal>
            <c:numRef>
              <c:f>OTS!$AH$86:$AH$89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AC-44FB-AE7B-8422D861F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OTS!$AF$86:$AF$89</c:f>
              <c:numCache>
                <c:formatCode>General</c:formatCode>
                <c:ptCount val="4"/>
                <c:pt idx="0">
                  <c:v>0.9209924370108401</c:v>
                </c:pt>
                <c:pt idx="1">
                  <c:v>1.4275942905590187</c:v>
                </c:pt>
                <c:pt idx="2">
                  <c:v>1.7940230632294158</c:v>
                </c:pt>
                <c:pt idx="3">
                  <c:v>2.5301996982030821</c:v>
                </c:pt>
              </c:numCache>
            </c:numRef>
          </c:xVal>
          <c:yVal>
            <c:numRef>
              <c:f>OTS!$AG$86:$AG$89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4.5314789170422554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6A-42B9-8DF7-66B70C2D3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OTS</a:t>
            </a:r>
            <a:br>
              <a:rPr lang="en-US" sz="1100" baseline="0"/>
            </a:br>
            <a:r>
              <a:rPr lang="en-US" sz="1100" baseline="0"/>
              <a:t>PFBS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OTS!$F$99:$F$102</c:f>
              <c:numCache>
                <c:formatCode>0</c:formatCode>
                <c:ptCount val="4"/>
                <c:pt idx="0">
                  <c:v>26.233333333333331</c:v>
                </c:pt>
                <c:pt idx="1">
                  <c:v>75.966666666666669</c:v>
                </c:pt>
                <c:pt idx="2">
                  <c:v>162</c:v>
                </c:pt>
                <c:pt idx="3">
                  <c:v>1011.3333333333334</c:v>
                </c:pt>
              </c:numCache>
            </c:numRef>
          </c:xVal>
          <c:yVal>
            <c:numRef>
              <c:f>OTS!$G$99:$G$102</c:f>
              <c:numCache>
                <c:formatCode>0</c:formatCode>
                <c:ptCount val="4"/>
                <c:pt idx="0">
                  <c:v>-5599.9999999999982</c:v>
                </c:pt>
                <c:pt idx="1">
                  <c:v>-16800.000000000004</c:v>
                </c:pt>
                <c:pt idx="2">
                  <c:v>-19000</c:v>
                </c:pt>
                <c:pt idx="3">
                  <c:v>-144333.33333333337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BE-47B1-A264-19DCD841FA3B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OTS!$F$99:$F$102</c:f>
              <c:numCache>
                <c:formatCode>0</c:formatCode>
                <c:ptCount val="4"/>
                <c:pt idx="0">
                  <c:v>26.233333333333331</c:v>
                </c:pt>
                <c:pt idx="1">
                  <c:v>75.966666666666669</c:v>
                </c:pt>
                <c:pt idx="2">
                  <c:v>162</c:v>
                </c:pt>
                <c:pt idx="3">
                  <c:v>1011.3333333333334</c:v>
                </c:pt>
              </c:numCache>
            </c:numRef>
          </c:xVal>
          <c:yVal>
            <c:numRef>
              <c:f>OTS!$Z$99:$Z$102</c:f>
              <c:numCache>
                <c:formatCode>0</c:formatCode>
                <c:ptCount val="4"/>
                <c:pt idx="0">
                  <c:v>-7762.9744456169801</c:v>
                </c:pt>
                <c:pt idx="1">
                  <c:v>-22480.074292404421</c:v>
                </c:pt>
                <c:pt idx="2">
                  <c:v>-47939.077633334353</c:v>
                </c:pt>
                <c:pt idx="3">
                  <c:v>-299273.9101668591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BE-47B1-A264-19DCD841FA3B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OTS!$F$99:$F$102</c:f>
              <c:numCache>
                <c:formatCode>0</c:formatCode>
                <c:ptCount val="4"/>
                <c:pt idx="0">
                  <c:v>26.233333333333331</c:v>
                </c:pt>
                <c:pt idx="1">
                  <c:v>75.966666666666669</c:v>
                </c:pt>
                <c:pt idx="2">
                  <c:v>162</c:v>
                </c:pt>
                <c:pt idx="3">
                  <c:v>1011.3333333333334</c:v>
                </c:pt>
              </c:numCache>
            </c:numRef>
          </c:xVal>
          <c:yVal>
            <c:numRef>
              <c:f>OTS!$AH$99:$AH$102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BE-47B1-A264-19DCD841F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OTS!$AF$99:$AF$102</c:f>
              <c:numCache>
                <c:formatCode>General</c:formatCode>
                <c:ptCount val="4"/>
                <c:pt idx="0">
                  <c:v>1.4188534776394022</c:v>
                </c:pt>
                <c:pt idx="1">
                  <c:v>1.8806230704607132</c:v>
                </c:pt>
                <c:pt idx="2">
                  <c:v>2.2095150145426308</c:v>
                </c:pt>
                <c:pt idx="3">
                  <c:v>3.0048943217310491</c:v>
                </c:pt>
              </c:numCache>
            </c:numRef>
          </c:xVal>
          <c:yVal>
            <c:numRef>
              <c:f>OTS!$AG$99:$AG$102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CA-4B16-9FA1-994F9C379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OTS</a:t>
            </a:r>
            <a:br>
              <a:rPr lang="en-US" sz="1100" baseline="0"/>
            </a:br>
            <a:r>
              <a:rPr lang="en-US" sz="1100" baseline="0"/>
              <a:t>PFOS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OTS!$F$112:$F$115</c:f>
              <c:numCache>
                <c:formatCode>0</c:formatCode>
                <c:ptCount val="4"/>
                <c:pt idx="0">
                  <c:v>10.483333333333334</c:v>
                </c:pt>
                <c:pt idx="1">
                  <c:v>32.06666666666667</c:v>
                </c:pt>
                <c:pt idx="2">
                  <c:v>77.900000000000006</c:v>
                </c:pt>
                <c:pt idx="3">
                  <c:v>438.66666666666669</c:v>
                </c:pt>
              </c:numCache>
            </c:numRef>
          </c:xVal>
          <c:yVal>
            <c:numRef>
              <c:f>OTS!$G$112:$G$115</c:f>
              <c:numCache>
                <c:formatCode>0</c:formatCode>
                <c:ptCount val="4"/>
                <c:pt idx="0">
                  <c:v>-2790.0000000000005</c:v>
                </c:pt>
                <c:pt idx="1">
                  <c:v>-5366.6666666666706</c:v>
                </c:pt>
                <c:pt idx="2">
                  <c:v>-19100.000000000011</c:v>
                </c:pt>
                <c:pt idx="3">
                  <c:v>-38666.666666666686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6-4628-BC3B-11C4A01BF964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OTS!$F$112:$F$115</c:f>
              <c:numCache>
                <c:formatCode>0</c:formatCode>
                <c:ptCount val="4"/>
                <c:pt idx="0">
                  <c:v>10.483333333333334</c:v>
                </c:pt>
                <c:pt idx="1">
                  <c:v>32.06666666666667</c:v>
                </c:pt>
                <c:pt idx="2">
                  <c:v>77.900000000000006</c:v>
                </c:pt>
                <c:pt idx="3">
                  <c:v>438.66666666666669</c:v>
                </c:pt>
              </c:numCache>
            </c:numRef>
          </c:xVal>
          <c:yVal>
            <c:numRef>
              <c:f>OTS!$Z$112:$Z$115</c:f>
              <c:numCache>
                <c:formatCode>0</c:formatCode>
                <c:ptCount val="4"/>
                <c:pt idx="0">
                  <c:v>-3266.1486498980807</c:v>
                </c:pt>
                <c:pt idx="1">
                  <c:v>-9990.572121854515</c:v>
                </c:pt>
                <c:pt idx="2">
                  <c:v>-24270.234887612369</c:v>
                </c:pt>
                <c:pt idx="3">
                  <c:v>-136669.30855246575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C6-4628-BC3B-11C4A01BF964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OTS!$F$112:$F$115</c:f>
              <c:numCache>
                <c:formatCode>0</c:formatCode>
                <c:ptCount val="4"/>
                <c:pt idx="0">
                  <c:v>10.483333333333334</c:v>
                </c:pt>
                <c:pt idx="1">
                  <c:v>32.06666666666667</c:v>
                </c:pt>
                <c:pt idx="2">
                  <c:v>77.900000000000006</c:v>
                </c:pt>
                <c:pt idx="3">
                  <c:v>438.66666666666669</c:v>
                </c:pt>
              </c:numCache>
            </c:numRef>
          </c:xVal>
          <c:yVal>
            <c:numRef>
              <c:f>OTS!$AH$112:$AH$115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C6-4628-BC3B-11C4A01BF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OTS!$AF$112:$AF$115</c:f>
              <c:numCache>
                <c:formatCode>General</c:formatCode>
                <c:ptCount val="4"/>
                <c:pt idx="0">
                  <c:v>1.0204993950616252</c:v>
                </c:pt>
                <c:pt idx="1">
                  <c:v>1.5060538173181506</c:v>
                </c:pt>
                <c:pt idx="2">
                  <c:v>1.8915374576725645</c:v>
                </c:pt>
                <c:pt idx="3">
                  <c:v>2.6421346345582744</c:v>
                </c:pt>
              </c:numCache>
            </c:numRef>
          </c:xVal>
          <c:yVal>
            <c:numRef>
              <c:f>OTS!$AG$112:$AG$115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42-402C-A804-5CF6ED339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'HSM+BM1 (1-1)'!$AF$73:$AF$76</c:f>
              <c:numCache>
                <c:formatCode>General</c:formatCode>
                <c:ptCount val="4"/>
                <c:pt idx="0">
                  <c:v>0.85773443489762913</c:v>
                </c:pt>
                <c:pt idx="1">
                  <c:v>1.4065401804339552</c:v>
                </c:pt>
                <c:pt idx="2">
                  <c:v>1.7874604745184151</c:v>
                </c:pt>
                <c:pt idx="3">
                  <c:v>2.5728716022004803</c:v>
                </c:pt>
              </c:numCache>
            </c:numRef>
          </c:xVal>
          <c:yVal>
            <c:numRef>
              <c:f>'HSM+BM1 (1-1)'!$AG$73:$AG$76</c:f>
              <c:numCache>
                <c:formatCode>General</c:formatCode>
                <c:ptCount val="4"/>
                <c:pt idx="0">
                  <c:v>2.83037478319355</c:v>
                </c:pt>
                <c:pt idx="1">
                  <c:v>3.0280287236002437</c:v>
                </c:pt>
                <c:pt idx="2">
                  <c:v>3.1760912590556813</c:v>
                </c:pt>
                <c:pt idx="3">
                  <c:v>4.9684829485539348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62-434C-9203-B07D5708D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OTS</a:t>
            </a:r>
            <a:br>
              <a:rPr lang="en-US" sz="1100" baseline="0"/>
            </a:br>
            <a:r>
              <a:rPr lang="en-US" sz="1100" baseline="0"/>
              <a:t>8:2 FTS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OTS!$F$125:$F$128</c:f>
              <c:numCache>
                <c:formatCode>0</c:formatCode>
                <c:ptCount val="4"/>
                <c:pt idx="0">
                  <c:v>8.98</c:v>
                </c:pt>
                <c:pt idx="1">
                  <c:v>35.533333333333339</c:v>
                </c:pt>
                <c:pt idx="2">
                  <c:v>98.766666666666666</c:v>
                </c:pt>
                <c:pt idx="3">
                  <c:v>461.66666666666669</c:v>
                </c:pt>
              </c:numCache>
            </c:numRef>
          </c:xVal>
          <c:yVal>
            <c:numRef>
              <c:f>OTS!$G$125:$G$128</c:f>
              <c:numCache>
                <c:formatCode>0</c:formatCode>
                <c:ptCount val="4"/>
                <c:pt idx="0">
                  <c:v>-1916.666666666667</c:v>
                </c:pt>
                <c:pt idx="1">
                  <c:v>-12333.333333333339</c:v>
                </c:pt>
                <c:pt idx="2">
                  <c:v>-51433.333333333336</c:v>
                </c:pt>
                <c:pt idx="3">
                  <c:v>-7333.3333333333712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DA-4C57-A2DF-18BA80A2847A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OTS!$F$125:$F$128</c:f>
              <c:numCache>
                <c:formatCode>0</c:formatCode>
                <c:ptCount val="4"/>
                <c:pt idx="0">
                  <c:v>8.98</c:v>
                </c:pt>
                <c:pt idx="1">
                  <c:v>35.533333333333339</c:v>
                </c:pt>
                <c:pt idx="2">
                  <c:v>98.766666666666666</c:v>
                </c:pt>
                <c:pt idx="3">
                  <c:v>461.66666666666669</c:v>
                </c:pt>
              </c:numCache>
            </c:numRef>
          </c:xVal>
          <c:yVal>
            <c:numRef>
              <c:f>OTS!$Z$125:$Z$128</c:f>
              <c:numCache>
                <c:formatCode>0</c:formatCode>
                <c:ptCount val="4"/>
                <c:pt idx="0">
                  <c:v>-3379.2895173593147</c:v>
                </c:pt>
                <c:pt idx="1">
                  <c:v>-13371.650007885924</c:v>
                </c:pt>
                <c:pt idx="2">
                  <c:v>-37167.163230538856</c:v>
                </c:pt>
                <c:pt idx="3">
                  <c:v>-173731.01225608645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DA-4C57-A2DF-18BA80A2847A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OTS!$F$125:$F$128</c:f>
              <c:numCache>
                <c:formatCode>0</c:formatCode>
                <c:ptCount val="4"/>
                <c:pt idx="0">
                  <c:v>8.98</c:v>
                </c:pt>
                <c:pt idx="1">
                  <c:v>35.533333333333339</c:v>
                </c:pt>
                <c:pt idx="2">
                  <c:v>98.766666666666666</c:v>
                </c:pt>
                <c:pt idx="3">
                  <c:v>461.66666666666669</c:v>
                </c:pt>
              </c:numCache>
            </c:numRef>
          </c:xVal>
          <c:yVal>
            <c:numRef>
              <c:f>OTS!$AH$125:$AH$128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DA-4C57-A2DF-18BA80A2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OTS!$AF$125:$AF$128</c:f>
              <c:numCache>
                <c:formatCode>General</c:formatCode>
                <c:ptCount val="4"/>
                <c:pt idx="0">
                  <c:v>0.95327633666730438</c:v>
                </c:pt>
                <c:pt idx="1">
                  <c:v>1.550635949970891</c:v>
                </c:pt>
                <c:pt idx="2">
                  <c:v>1.9946103967603888</c:v>
                </c:pt>
                <c:pt idx="3">
                  <c:v>2.6643285186808048</c:v>
                </c:pt>
              </c:numCache>
            </c:numRef>
          </c:xVal>
          <c:yVal>
            <c:numRef>
              <c:f>OTS!$AG$125:$AG$128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9D-42FA-BBBE-629863D77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OTS Treatment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sz="1400" b="1" baseline="0">
                <a:solidFill>
                  <a:sysClr val="windowText" lastClr="000000"/>
                </a:solidFill>
              </a:rPr>
              <a:t>No Buffer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44432253345382"/>
          <c:y val="0.15767361111111111"/>
          <c:w val="0.85351014012592685"/>
          <c:h val="0.66528953412073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OTS!$B$30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OTS!$C$36:$C$41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OTS!$M$30:$M$35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E-43E5-AD99-CC70F09B286C}"/>
            </c:ext>
          </c:extLst>
        </c:ser>
        <c:ser>
          <c:idx val="1"/>
          <c:order val="1"/>
          <c:tx>
            <c:strRef>
              <c:f>OTS!$B$36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OTS!$C$36:$C$41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OTS!$M$36:$M$41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E-43E5-AD99-CC70F09B286C}"/>
            </c:ext>
          </c:extLst>
        </c:ser>
        <c:ser>
          <c:idx val="2"/>
          <c:order val="2"/>
          <c:tx>
            <c:strRef>
              <c:f>OTS!$B$42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OTS!$C$36:$C$41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OTS!$M$42:$M$47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E-43E5-AD99-CC70F09B286C}"/>
            </c:ext>
          </c:extLst>
        </c:ser>
        <c:ser>
          <c:idx val="3"/>
          <c:order val="3"/>
          <c:tx>
            <c:strRef>
              <c:f>OTS!$B$48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rgbClr val="264478"/>
            </a:solidFill>
            <a:ln>
              <a:noFill/>
            </a:ln>
            <a:effectLst/>
          </c:spPr>
          <c:invertIfNegative val="0"/>
          <c:cat>
            <c:strRef>
              <c:f>OTS!$C$36:$C$41</c:f>
              <c:strCache>
                <c:ptCount val="6"/>
                <c:pt idx="0">
                  <c:v>PFHxA</c:v>
                </c:pt>
                <c:pt idx="1">
                  <c:v>PFOA</c:v>
                </c:pt>
                <c:pt idx="2">
                  <c:v>PFNA</c:v>
                </c:pt>
                <c:pt idx="3">
                  <c:v>PFBS</c:v>
                </c:pt>
                <c:pt idx="4">
                  <c:v>PFOS</c:v>
                </c:pt>
                <c:pt idx="5">
                  <c:v>8:2FTS</c:v>
                </c:pt>
              </c:strCache>
            </c:strRef>
          </c:cat>
          <c:val>
            <c:numRef>
              <c:f>OTS!$M$48:$M$53</c:f>
              <c:numCache>
                <c:formatCode>0.0</c:formatCode>
                <c:ptCount val="6"/>
                <c:pt idx="0">
                  <c:v>0</c:v>
                </c:pt>
                <c:pt idx="1">
                  <c:v>2.0171123091111451</c:v>
                </c:pt>
                <c:pt idx="2">
                  <c:v>2.0012792188391728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E-43E5-AD99-CC70F09B2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571536"/>
        <c:axId val="704569240"/>
      </c:barChart>
      <c:catAx>
        <c:axId val="7045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69240"/>
        <c:crosses val="autoZero"/>
        <c:auto val="1"/>
        <c:lblAlgn val="ctr"/>
        <c:lblOffset val="100"/>
        <c:noMultiLvlLbl val="0"/>
      </c:catAx>
      <c:valAx>
        <c:axId val="704569240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Log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Kd (log L/kg)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321428571428572E-2"/>
              <c:y val="0.34979571830629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5715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HSM+BM1 (1:1)</a:t>
            </a:r>
            <a:br>
              <a:rPr lang="en-US" sz="1100" baseline="0"/>
            </a:br>
            <a:r>
              <a:rPr lang="en-US" sz="1100" baseline="0"/>
              <a:t>PFNA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'HSM+BM1 (1-1)'!$F$86:$F$89</c:f>
              <c:numCache>
                <c:formatCode>0</c:formatCode>
                <c:ptCount val="4"/>
                <c:pt idx="0">
                  <c:v>4.3666666666666671</c:v>
                </c:pt>
                <c:pt idx="1">
                  <c:v>18.2</c:v>
                </c:pt>
                <c:pt idx="2">
                  <c:v>35.299999999999997</c:v>
                </c:pt>
                <c:pt idx="3">
                  <c:v>234</c:v>
                </c:pt>
              </c:numCache>
            </c:numRef>
          </c:xVal>
          <c:yVal>
            <c:numRef>
              <c:f>'HSM+BM1 (1-1)'!$G$86:$G$89</c:f>
              <c:numCache>
                <c:formatCode>0</c:formatCode>
                <c:ptCount val="4"/>
                <c:pt idx="0">
                  <c:v>2443.3333333333326</c:v>
                </c:pt>
                <c:pt idx="1">
                  <c:v>4800.0000000000009</c:v>
                </c:pt>
                <c:pt idx="2">
                  <c:v>19900.000000000007</c:v>
                </c:pt>
                <c:pt idx="3">
                  <c:v>139000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88-498D-AD10-5020830ABEE5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(1-1)'!$F$86:$F$89</c:f>
              <c:numCache>
                <c:formatCode>0</c:formatCode>
                <c:ptCount val="4"/>
                <c:pt idx="0">
                  <c:v>4.3666666666666671</c:v>
                </c:pt>
                <c:pt idx="1">
                  <c:v>18.2</c:v>
                </c:pt>
                <c:pt idx="2">
                  <c:v>35.299999999999997</c:v>
                </c:pt>
                <c:pt idx="3">
                  <c:v>234</c:v>
                </c:pt>
              </c:numCache>
            </c:numRef>
          </c:xVal>
          <c:yVal>
            <c:numRef>
              <c:f>'HSM+BM1 (1-1)'!$Z$86:$Z$89</c:f>
              <c:numCache>
                <c:formatCode>0</c:formatCode>
                <c:ptCount val="4"/>
                <c:pt idx="0">
                  <c:v>2582.424016855578</c:v>
                </c:pt>
                <c:pt idx="1">
                  <c:v>10763.385262677119</c:v>
                </c:pt>
                <c:pt idx="2">
                  <c:v>20876.235449742104</c:v>
                </c:pt>
                <c:pt idx="3">
                  <c:v>138386.31489902429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88-498D-AD10-5020830ABEE5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(1-1)'!$F$86:$F$89</c:f>
              <c:numCache>
                <c:formatCode>0</c:formatCode>
                <c:ptCount val="4"/>
                <c:pt idx="0">
                  <c:v>4.3666666666666671</c:v>
                </c:pt>
                <c:pt idx="1">
                  <c:v>18.2</c:v>
                </c:pt>
                <c:pt idx="2">
                  <c:v>35.299999999999997</c:v>
                </c:pt>
                <c:pt idx="3">
                  <c:v>234</c:v>
                </c:pt>
              </c:numCache>
            </c:numRef>
          </c:xVal>
          <c:yVal>
            <c:numRef>
              <c:f>'HSM+BM1 (1-1)'!$AH$86:$AH$89</c:f>
              <c:numCache>
                <c:formatCode>General</c:formatCode>
                <c:ptCount val="4"/>
                <c:pt idx="0">
                  <c:v>1851.6013766443834</c:v>
                </c:pt>
                <c:pt idx="1">
                  <c:v>8366.6168213081291</c:v>
                </c:pt>
                <c:pt idx="2">
                  <c:v>16847.45026123881</c:v>
                </c:pt>
                <c:pt idx="3">
                  <c:v>124296.89408573015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88-498D-AD10-5020830AB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18219944793305276"/>
          <c:h val="0.21724874082353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'HSM+BM1 (1-1)'!$AF$86:$AF$89</c:f>
              <c:numCache>
                <c:formatCode>General</c:formatCode>
                <c:ptCount val="4"/>
                <c:pt idx="0">
                  <c:v>0.64015004093610184</c:v>
                </c:pt>
                <c:pt idx="1">
                  <c:v>1.2600713879850747</c:v>
                </c:pt>
                <c:pt idx="2">
                  <c:v>1.5477747053878226</c:v>
                </c:pt>
                <c:pt idx="3">
                  <c:v>2.369215857410143</c:v>
                </c:pt>
              </c:numCache>
            </c:numRef>
          </c:xVal>
          <c:yVal>
            <c:numRef>
              <c:f>'HSM+BM1 (1-1)'!$AG$86:$AG$89</c:f>
              <c:numCache>
                <c:formatCode>General</c:formatCode>
                <c:ptCount val="4"/>
                <c:pt idx="0">
                  <c:v>3.3879827199214652</c:v>
                </c:pt>
                <c:pt idx="1">
                  <c:v>3.6812412373755872</c:v>
                </c:pt>
                <c:pt idx="2">
                  <c:v>4.2988530764097064</c:v>
                </c:pt>
                <c:pt idx="3">
                  <c:v>5.143014800254095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2A-4C10-ABFB-A43CA6C03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HSM+BM1 (1:1)</a:t>
            </a:r>
            <a:br>
              <a:rPr lang="en-US" sz="1100" baseline="0"/>
            </a:br>
            <a:r>
              <a:rPr lang="en-US" sz="1100" baseline="0"/>
              <a:t>PFBS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'HSM+BM1 (1-1)'!$F$98:$F$101</c:f>
              <c:numCache>
                <c:formatCode>0</c:formatCode>
                <c:ptCount val="4"/>
                <c:pt idx="0">
                  <c:v>22.566666666666666</c:v>
                </c:pt>
                <c:pt idx="1">
                  <c:v>74.233333333333334</c:v>
                </c:pt>
                <c:pt idx="2">
                  <c:v>189.5</c:v>
                </c:pt>
                <c:pt idx="3">
                  <c:v>1253.3333333333333</c:v>
                </c:pt>
              </c:numCache>
            </c:numRef>
          </c:xVal>
          <c:yVal>
            <c:numRef>
              <c:f>'HSM+BM1 (1-1)'!$G$98:$G$101</c:f>
              <c:numCache>
                <c:formatCode>0</c:formatCode>
                <c:ptCount val="4"/>
                <c:pt idx="0">
                  <c:v>-1933.3333333333335</c:v>
                </c:pt>
                <c:pt idx="1">
                  <c:v>-15066.66666666667</c:v>
                </c:pt>
                <c:pt idx="2">
                  <c:v>-46500</c:v>
                </c:pt>
                <c:pt idx="3">
                  <c:v>-386333.33333333326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8E-4DDF-8F92-E81ECD20C57B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(1-1)'!$F$98:$F$101</c:f>
              <c:numCache>
                <c:formatCode>0</c:formatCode>
                <c:ptCount val="4"/>
                <c:pt idx="0">
                  <c:v>22.566666666666666</c:v>
                </c:pt>
                <c:pt idx="1">
                  <c:v>74.233333333333334</c:v>
                </c:pt>
                <c:pt idx="2">
                  <c:v>189.5</c:v>
                </c:pt>
                <c:pt idx="3">
                  <c:v>1253.3333333333333</c:v>
                </c:pt>
              </c:numCache>
            </c:numRef>
          </c:xVal>
          <c:yVal>
            <c:numRef>
              <c:f>'HSM+BM1 (1-1)'!$Z$98:$Z$101</c:f>
              <c:numCache>
                <c:formatCode>0</c:formatCode>
                <c:ptCount val="4"/>
                <c:pt idx="0">
                  <c:v>-2385.0875459245672</c:v>
                </c:pt>
                <c:pt idx="1">
                  <c:v>-7845.7756431169537</c:v>
                </c:pt>
                <c:pt idx="2">
                  <c:v>-20028.39571581595</c:v>
                </c:pt>
                <c:pt idx="3">
                  <c:v>-132465.8054540439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8E-4DDF-8F92-E81ECD20C57B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(1-1)'!$F$98:$F$101</c:f>
              <c:numCache>
                <c:formatCode>0</c:formatCode>
                <c:ptCount val="4"/>
                <c:pt idx="0">
                  <c:v>22.566666666666666</c:v>
                </c:pt>
                <c:pt idx="1">
                  <c:v>74.233333333333334</c:v>
                </c:pt>
                <c:pt idx="2">
                  <c:v>189.5</c:v>
                </c:pt>
                <c:pt idx="3">
                  <c:v>1253.3333333333333</c:v>
                </c:pt>
              </c:numCache>
            </c:numRef>
          </c:xVal>
          <c:yVal>
            <c:numRef>
              <c:f>'HSM+BM1 (1-1)'!$AH$98:$AH$101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8E-4DDF-8F92-E81ECD20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Freundlich</a:t>
            </a:r>
            <a:r>
              <a:rPr lang="en-US" baseline="0"/>
              <a:t> isotherm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360236220472442"/>
                  <c:y val="-3.28240740740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'HSM+BM1 (1-1)'!$AF$98:$AF$101</c:f>
              <c:numCache>
                <c:formatCode>General</c:formatCode>
                <c:ptCount val="4"/>
                <c:pt idx="0">
                  <c:v>1.3534674139654819</c:v>
                </c:pt>
                <c:pt idx="1">
                  <c:v>1.8705989623143757</c:v>
                </c:pt>
                <c:pt idx="2">
                  <c:v>2.2776092143040914</c:v>
                </c:pt>
                <c:pt idx="3">
                  <c:v>3.0980665902079987</c:v>
                </c:pt>
              </c:numCache>
            </c:numRef>
          </c:xVal>
          <c:yVal>
            <c:numRef>
              <c:f>'HSM+BM1 (1-1)'!$AG$98:$AG$101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76-413A-93B6-A85C94460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807208"/>
        <c:axId val="648809832"/>
      </c:scatterChart>
      <c:valAx>
        <c:axId val="6488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9832"/>
        <c:crosses val="autoZero"/>
        <c:crossBetween val="midCat"/>
      </c:valAx>
      <c:valAx>
        <c:axId val="6488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0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Adsorption</a:t>
            </a:r>
            <a:r>
              <a:rPr lang="en-US" sz="1100" baseline="0"/>
              <a:t> Isotherms for </a:t>
            </a:r>
            <a:r>
              <a:rPr lang="en-US" sz="1100" b="0" i="0" u="none" strike="noStrike" baseline="0">
                <a:effectLst/>
              </a:rPr>
              <a:t>HSM+BM1 (1:1)</a:t>
            </a:r>
            <a:br>
              <a:rPr lang="en-US" sz="1100" baseline="0"/>
            </a:br>
            <a:r>
              <a:rPr lang="en-US" sz="1100" baseline="0"/>
              <a:t>PFOS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38670166229221"/>
          <c:y val="0.15476851851851853"/>
          <c:w val="0.77893263342082231"/>
          <c:h val="0.63966061533974916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'HSM+BM1 (1-1)'!$F$111:$F$114</c:f>
              <c:numCache>
                <c:formatCode>0</c:formatCode>
                <c:ptCount val="4"/>
                <c:pt idx="0">
                  <c:v>2.89</c:v>
                </c:pt>
                <c:pt idx="1">
                  <c:v>11.466666666666667</c:v>
                </c:pt>
                <c:pt idx="2">
                  <c:v>25.85</c:v>
                </c:pt>
                <c:pt idx="3">
                  <c:v>180</c:v>
                </c:pt>
              </c:numCache>
            </c:numRef>
          </c:xVal>
          <c:yVal>
            <c:numRef>
              <c:f>'HSM+BM1 (1-1)'!$G$111:$G$114</c:f>
              <c:numCache>
                <c:formatCode>0</c:formatCode>
                <c:ptCount val="4"/>
                <c:pt idx="0">
                  <c:v>4803.3333333333321</c:v>
                </c:pt>
                <c:pt idx="1">
                  <c:v>15233.333333333334</c:v>
                </c:pt>
                <c:pt idx="2">
                  <c:v>32950</c:v>
                </c:pt>
                <c:pt idx="3">
                  <c:v>220000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D6-4D6F-B049-C6F617B29495}"/>
            </c:ext>
          </c:extLst>
        </c:ser>
        <c:ser>
          <c:idx val="1"/>
          <c:order val="1"/>
          <c:tx>
            <c:v>Langmuir</c:v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(1-1)'!$F$111:$F$114</c:f>
              <c:numCache>
                <c:formatCode>0</c:formatCode>
                <c:ptCount val="4"/>
                <c:pt idx="0">
                  <c:v>2.89</c:v>
                </c:pt>
                <c:pt idx="1">
                  <c:v>11.466666666666667</c:v>
                </c:pt>
                <c:pt idx="2">
                  <c:v>25.85</c:v>
                </c:pt>
                <c:pt idx="3">
                  <c:v>180</c:v>
                </c:pt>
              </c:numCache>
            </c:numRef>
          </c:xVal>
          <c:yVal>
            <c:numRef>
              <c:f>'HSM+BM1 (1-1)'!$Z$111:$Z$114</c:f>
              <c:numCache>
                <c:formatCode>0</c:formatCode>
                <c:ptCount val="4"/>
                <c:pt idx="0">
                  <c:v>3536.8080234576169</c:v>
                </c:pt>
                <c:pt idx="1">
                  <c:v>14033.009800776963</c:v>
                </c:pt>
                <c:pt idx="2">
                  <c:v>31635.46205048612</c:v>
                </c:pt>
                <c:pt idx="3">
                  <c:v>220285.58217055211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D6-4D6F-B049-C6F617B29495}"/>
            </c:ext>
          </c:extLst>
        </c:ser>
        <c:ser>
          <c:idx val="2"/>
          <c:order val="2"/>
          <c:tx>
            <c:v>Freundlich</c:v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'HSM+BM1 (1-1)'!$F$111:$F$114</c:f>
              <c:numCache>
                <c:formatCode>0</c:formatCode>
                <c:ptCount val="4"/>
                <c:pt idx="0">
                  <c:v>2.89</c:v>
                </c:pt>
                <c:pt idx="1">
                  <c:v>11.466666666666667</c:v>
                </c:pt>
                <c:pt idx="2">
                  <c:v>25.85</c:v>
                </c:pt>
                <c:pt idx="3">
                  <c:v>180</c:v>
                </c:pt>
              </c:numCache>
            </c:numRef>
          </c:xVal>
          <c:yVal>
            <c:numRef>
              <c:f>'HSM+BM1 (1-1)'!$AH$111:$AH$114</c:f>
              <c:numCache>
                <c:formatCode>General</c:formatCode>
                <c:ptCount val="4"/>
                <c:pt idx="0">
                  <c:v>4503.7114196622979</c:v>
                </c:pt>
                <c:pt idx="1">
                  <c:v>16225.825997335134</c:v>
                </c:pt>
                <c:pt idx="2">
                  <c:v>34555.357807690809</c:v>
                </c:pt>
                <c:pt idx="3">
                  <c:v>210050.15565689106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D6-4D6F-B049-C6F617B29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88184"/>
        <c:axId val="762090480"/>
      </c:scatterChart>
      <c:valAx>
        <c:axId val="762088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in Solution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480"/>
        <c:crosses val="autoZero"/>
        <c:crossBetween val="midCat"/>
      </c:valAx>
      <c:valAx>
        <c:axId val="76209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in Solid (ug/kg)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0422635873972"/>
          <c:y val="0.13255632588764085"/>
          <c:w val="0.26455992410490903"/>
          <c:h val="0.2488435444947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13" Type="http://schemas.openxmlformats.org/officeDocument/2006/relationships/chart" Target="../charts/chart42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12" Type="http://schemas.openxmlformats.org/officeDocument/2006/relationships/chart" Target="../charts/chart41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11" Type="http://schemas.openxmlformats.org/officeDocument/2006/relationships/chart" Target="../charts/chart40.xml"/><Relationship Id="rId5" Type="http://schemas.openxmlformats.org/officeDocument/2006/relationships/chart" Target="../charts/chart3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57</xdr:row>
      <xdr:rowOff>185737</xdr:rowOff>
    </xdr:from>
    <xdr:to>
      <xdr:col>17</xdr:col>
      <xdr:colOff>561975</xdr:colOff>
      <xdr:row>69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1CC17C-78B9-48D1-A36D-882E580C2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404132</xdr:colOff>
      <xdr:row>58</xdr:row>
      <xdr:rowOff>5444</xdr:rowOff>
    </xdr:from>
    <xdr:to>
      <xdr:col>42</xdr:col>
      <xdr:colOff>80282</xdr:colOff>
      <xdr:row>69</xdr:row>
      <xdr:rowOff>68037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A9485D-746E-4FF6-8E22-4507CAA4E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261937</xdr:colOff>
      <xdr:row>70</xdr:row>
      <xdr:rowOff>185737</xdr:rowOff>
    </xdr:from>
    <xdr:to>
      <xdr:col>17</xdr:col>
      <xdr:colOff>561975</xdr:colOff>
      <xdr:row>82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D8849B1-F3E2-470A-A51D-DB18B429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404132</xdr:colOff>
      <xdr:row>71</xdr:row>
      <xdr:rowOff>5444</xdr:rowOff>
    </xdr:from>
    <xdr:to>
      <xdr:col>42</xdr:col>
      <xdr:colOff>80282</xdr:colOff>
      <xdr:row>82</xdr:row>
      <xdr:rowOff>68037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85110B0-6CDC-4274-A274-B6EFE93B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261937</xdr:colOff>
      <xdr:row>83</xdr:row>
      <xdr:rowOff>185737</xdr:rowOff>
    </xdr:from>
    <xdr:to>
      <xdr:col>17</xdr:col>
      <xdr:colOff>561975</xdr:colOff>
      <xdr:row>95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B56F0EB-4778-4FFD-BD45-DD1E62994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404132</xdr:colOff>
      <xdr:row>84</xdr:row>
      <xdr:rowOff>5444</xdr:rowOff>
    </xdr:from>
    <xdr:to>
      <xdr:col>42</xdr:col>
      <xdr:colOff>80282</xdr:colOff>
      <xdr:row>95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F2DC48-0795-41CF-8C9F-BEB4100B7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261937</xdr:colOff>
      <xdr:row>95</xdr:row>
      <xdr:rowOff>185737</xdr:rowOff>
    </xdr:from>
    <xdr:to>
      <xdr:col>17</xdr:col>
      <xdr:colOff>561975</xdr:colOff>
      <xdr:row>107</xdr:row>
      <xdr:rowOff>52387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6F98579-A21F-4BF8-B0D9-4D7C85706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404132</xdr:colOff>
      <xdr:row>96</xdr:row>
      <xdr:rowOff>5444</xdr:rowOff>
    </xdr:from>
    <xdr:to>
      <xdr:col>42</xdr:col>
      <xdr:colOff>80282</xdr:colOff>
      <xdr:row>107</xdr:row>
      <xdr:rowOff>68037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A1FDAE8-31A9-4F8A-AB12-0CC3AA0AB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261937</xdr:colOff>
      <xdr:row>108</xdr:row>
      <xdr:rowOff>185737</xdr:rowOff>
    </xdr:from>
    <xdr:to>
      <xdr:col>17</xdr:col>
      <xdr:colOff>561975</xdr:colOff>
      <xdr:row>120</xdr:row>
      <xdr:rowOff>52387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F175BBB-8679-47EE-8106-C8DFC25B6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404132</xdr:colOff>
      <xdr:row>109</xdr:row>
      <xdr:rowOff>5444</xdr:rowOff>
    </xdr:from>
    <xdr:to>
      <xdr:col>42</xdr:col>
      <xdr:colOff>80282</xdr:colOff>
      <xdr:row>120</xdr:row>
      <xdr:rowOff>68037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EBC3BA4-671E-4591-B22B-B5DB7083C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261937</xdr:colOff>
      <xdr:row>121</xdr:row>
      <xdr:rowOff>185737</xdr:rowOff>
    </xdr:from>
    <xdr:to>
      <xdr:col>17</xdr:col>
      <xdr:colOff>561975</xdr:colOff>
      <xdr:row>133</xdr:row>
      <xdr:rowOff>52387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A29C159-96BC-4E64-95F9-993961170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404132</xdr:colOff>
      <xdr:row>122</xdr:row>
      <xdr:rowOff>5444</xdr:rowOff>
    </xdr:from>
    <xdr:to>
      <xdr:col>42</xdr:col>
      <xdr:colOff>80282</xdr:colOff>
      <xdr:row>133</xdr:row>
      <xdr:rowOff>68037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E0DF754-E3C3-4B23-9D2C-9493F75D1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7</xdr:col>
      <xdr:colOff>885264</xdr:colOff>
      <xdr:row>61</xdr:row>
      <xdr:rowOff>156882</xdr:rowOff>
    </xdr:from>
    <xdr:ext cx="3048000" cy="609013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CA18850-5264-4266-AA1A-E667FC43AFD9}"/>
            </a:ext>
          </a:extLst>
        </xdr:cNvPr>
        <xdr:cNvSpPr txBox="1"/>
      </xdr:nvSpPr>
      <xdr:spPr>
        <a:xfrm>
          <a:off x="7575176" y="13581529"/>
          <a:ext cx="3048000" cy="609013"/>
        </a:xfrm>
        <a:prstGeom prst="rect">
          <a:avLst/>
        </a:prstGeom>
        <a:solidFill>
          <a:srgbClr val="FF9F9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No measurable adsorption observed</a:t>
          </a:r>
          <a:r>
            <a:rPr lang="en-US" sz="1100" baseline="0">
              <a:solidFill>
                <a:schemeClr val="tx1"/>
              </a:solidFill>
            </a:rPr>
            <a:t> except a tthe lowest concentration level. No modeling conducted.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8</xdr:col>
      <xdr:colOff>0</xdr:colOff>
      <xdr:row>98</xdr:row>
      <xdr:rowOff>190499</xdr:rowOff>
    </xdr:from>
    <xdr:ext cx="3126442" cy="43678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5DBC4E7-47A2-4271-8CEC-D746F998CCAB}"/>
            </a:ext>
          </a:extLst>
        </xdr:cNvPr>
        <xdr:cNvSpPr txBox="1"/>
      </xdr:nvSpPr>
      <xdr:spPr>
        <a:xfrm>
          <a:off x="7586382" y="23274617"/>
          <a:ext cx="3126442" cy="436786"/>
        </a:xfrm>
        <a:prstGeom prst="rect">
          <a:avLst/>
        </a:prstGeom>
        <a:solidFill>
          <a:srgbClr val="FF9F9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No measurable adsorption</a:t>
          </a:r>
          <a:r>
            <a:rPr lang="en-US" sz="1100" baseline="0">
              <a:solidFill>
                <a:schemeClr val="tx1"/>
              </a:solidFill>
            </a:rPr>
            <a:t>. No modeling conducted.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34</xdr:col>
      <xdr:colOff>404132</xdr:colOff>
      <xdr:row>134</xdr:row>
      <xdr:rowOff>0</xdr:rowOff>
    </xdr:from>
    <xdr:to>
      <xdr:col>42</xdr:col>
      <xdr:colOff>80282</xdr:colOff>
      <xdr:row>134</xdr:row>
      <xdr:rowOff>68037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1F0A33E-A40E-499D-8842-D2B687B66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18</xdr:col>
      <xdr:colOff>280148</xdr:colOff>
      <xdr:row>1</xdr:row>
      <xdr:rowOff>0</xdr:rowOff>
    </xdr:from>
    <xdr:ext cx="3216088" cy="95346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F075B33-64F7-42D4-BCD7-4DBAF1EAF3DC}"/>
            </a:ext>
          </a:extLst>
        </xdr:cNvPr>
        <xdr:cNvSpPr txBox="1"/>
      </xdr:nvSpPr>
      <xdr:spPr>
        <a:xfrm>
          <a:off x="16831236" y="201706"/>
          <a:ext cx="3216088" cy="953466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Updating these sample IDs (shaded green) will automatically pull data from All data tab</a:t>
          </a:r>
          <a:r>
            <a:rPr lang="en-US" sz="1100" baseline="0"/>
            <a:t> and update this entire spreadsheet.</a:t>
          </a:r>
          <a:r>
            <a:rPr lang="en-US" sz="1100"/>
            <a:t> The only things that don't change automatically is the graph titles, and Solver must be used for Langmuir fit. </a:t>
          </a:r>
        </a:p>
      </xdr:txBody>
    </xdr:sp>
    <xdr:clientData/>
  </xdr:oneCellAnchor>
  <xdr:twoCellAnchor>
    <xdr:from>
      <xdr:col>13</xdr:col>
      <xdr:colOff>649941</xdr:colOff>
      <xdr:row>28</xdr:row>
      <xdr:rowOff>145675</xdr:rowOff>
    </xdr:from>
    <xdr:to>
      <xdr:col>20</xdr:col>
      <xdr:colOff>322281</xdr:colOff>
      <xdr:row>47</xdr:row>
      <xdr:rowOff>138952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4EDF6F0B-296F-4F19-9129-744982A49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40</xdr:col>
      <xdr:colOff>371475</xdr:colOff>
      <xdr:row>83</xdr:row>
      <xdr:rowOff>171449</xdr:rowOff>
    </xdr:from>
    <xdr:to>
      <xdr:col>54</xdr:col>
      <xdr:colOff>66675</xdr:colOff>
      <xdr:row>97</xdr:row>
      <xdr:rowOff>129539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69ABAD47-96EB-4ED1-AD48-9D97755A4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0.0558</cdr:x>
      <cdr:y>0.90152</cdr:y>
    </cdr:from>
    <cdr:to>
      <cdr:x>0.33574</cdr:x>
      <cdr:y>0.96742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F84C3-B4F8-413F-B248-5377A3780EE0}"/>
            </a:ext>
          </a:extLst>
        </cdr:cNvPr>
        <cdr:cNvSpPr txBox="1"/>
      </cdr:nvSpPr>
      <cdr:spPr>
        <a:xfrm xmlns:a="http://schemas.openxmlformats.org/drawingml/2006/main">
          <a:off x="294640" y="302260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57</xdr:row>
      <xdr:rowOff>185737</xdr:rowOff>
    </xdr:from>
    <xdr:to>
      <xdr:col>17</xdr:col>
      <xdr:colOff>561975</xdr:colOff>
      <xdr:row>69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8A7CA3-BE2C-4996-871A-031A9D491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404132</xdr:colOff>
      <xdr:row>58</xdr:row>
      <xdr:rowOff>5444</xdr:rowOff>
    </xdr:from>
    <xdr:to>
      <xdr:col>42</xdr:col>
      <xdr:colOff>80282</xdr:colOff>
      <xdr:row>69</xdr:row>
      <xdr:rowOff>68037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F0D38B-4BC5-4810-BE21-9D5A97C73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261937</xdr:colOff>
      <xdr:row>70</xdr:row>
      <xdr:rowOff>185737</xdr:rowOff>
    </xdr:from>
    <xdr:to>
      <xdr:col>17</xdr:col>
      <xdr:colOff>561975</xdr:colOff>
      <xdr:row>82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509419-484C-4749-BC11-22108C3FB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404132</xdr:colOff>
      <xdr:row>71</xdr:row>
      <xdr:rowOff>5444</xdr:rowOff>
    </xdr:from>
    <xdr:to>
      <xdr:col>42</xdr:col>
      <xdr:colOff>80282</xdr:colOff>
      <xdr:row>82</xdr:row>
      <xdr:rowOff>68037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885E061-A17A-439E-85F0-4F681A926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261937</xdr:colOff>
      <xdr:row>83</xdr:row>
      <xdr:rowOff>185737</xdr:rowOff>
    </xdr:from>
    <xdr:to>
      <xdr:col>17</xdr:col>
      <xdr:colOff>561975</xdr:colOff>
      <xdr:row>95</xdr:row>
      <xdr:rowOff>52387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EF7D498-FDBA-44FE-BF47-2A5B5B9E1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404132</xdr:colOff>
      <xdr:row>84</xdr:row>
      <xdr:rowOff>5444</xdr:rowOff>
    </xdr:from>
    <xdr:to>
      <xdr:col>42</xdr:col>
      <xdr:colOff>80282</xdr:colOff>
      <xdr:row>95</xdr:row>
      <xdr:rowOff>68037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812DA8-1D3B-486B-9DA1-DE6025926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261937</xdr:colOff>
      <xdr:row>96</xdr:row>
      <xdr:rowOff>185737</xdr:rowOff>
    </xdr:from>
    <xdr:to>
      <xdr:col>17</xdr:col>
      <xdr:colOff>561975</xdr:colOff>
      <xdr:row>108</xdr:row>
      <xdr:rowOff>52387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5E93126-4DDC-45CB-81D8-367270CB6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404132</xdr:colOff>
      <xdr:row>97</xdr:row>
      <xdr:rowOff>5444</xdr:rowOff>
    </xdr:from>
    <xdr:to>
      <xdr:col>42</xdr:col>
      <xdr:colOff>80282</xdr:colOff>
      <xdr:row>108</xdr:row>
      <xdr:rowOff>68037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BF31BD3-29E0-405C-A69A-45DAA08E8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261937</xdr:colOff>
      <xdr:row>109</xdr:row>
      <xdr:rowOff>185737</xdr:rowOff>
    </xdr:from>
    <xdr:to>
      <xdr:col>17</xdr:col>
      <xdr:colOff>561975</xdr:colOff>
      <xdr:row>121</xdr:row>
      <xdr:rowOff>52387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110FC19-9475-4560-8792-A2F767AA4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404132</xdr:colOff>
      <xdr:row>110</xdr:row>
      <xdr:rowOff>5444</xdr:rowOff>
    </xdr:from>
    <xdr:to>
      <xdr:col>42</xdr:col>
      <xdr:colOff>80282</xdr:colOff>
      <xdr:row>121</xdr:row>
      <xdr:rowOff>68037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7CB34C0-0F85-4D55-AB57-F71B41832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261937</xdr:colOff>
      <xdr:row>122</xdr:row>
      <xdr:rowOff>185737</xdr:rowOff>
    </xdr:from>
    <xdr:to>
      <xdr:col>17</xdr:col>
      <xdr:colOff>561975</xdr:colOff>
      <xdr:row>134</xdr:row>
      <xdr:rowOff>52387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90D33B2-D53E-47B5-B49E-B89BFA4F4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404132</xdr:colOff>
      <xdr:row>123</xdr:row>
      <xdr:rowOff>5444</xdr:rowOff>
    </xdr:from>
    <xdr:to>
      <xdr:col>42</xdr:col>
      <xdr:colOff>80282</xdr:colOff>
      <xdr:row>134</xdr:row>
      <xdr:rowOff>68037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E0CA914-F471-4E44-A5F4-0842E2E13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7</xdr:col>
      <xdr:colOff>818030</xdr:colOff>
      <xdr:row>61</xdr:row>
      <xdr:rowOff>22412</xdr:rowOff>
    </xdr:from>
    <xdr:ext cx="3048000" cy="609013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D3E7AA5-E54C-47FD-8792-9E9EBC6D4EAF}"/>
            </a:ext>
          </a:extLst>
        </xdr:cNvPr>
        <xdr:cNvSpPr txBox="1"/>
      </xdr:nvSpPr>
      <xdr:spPr>
        <a:xfrm>
          <a:off x="7507942" y="13256559"/>
          <a:ext cx="3048000" cy="609013"/>
        </a:xfrm>
        <a:prstGeom prst="rect">
          <a:avLst/>
        </a:prstGeom>
        <a:solidFill>
          <a:srgbClr val="FF9F9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No measurable adsorption observed</a:t>
          </a:r>
          <a:r>
            <a:rPr lang="en-US" sz="1100" baseline="0">
              <a:solidFill>
                <a:schemeClr val="tx1"/>
              </a:solidFill>
            </a:rPr>
            <a:t> except a tthe lowest concentration level. No modeling conducted.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8</xdr:col>
      <xdr:colOff>0</xdr:colOff>
      <xdr:row>74</xdr:row>
      <xdr:rowOff>0</xdr:rowOff>
    </xdr:from>
    <xdr:ext cx="3048000" cy="609013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15DC33F-0D9A-4020-953A-34E703C8B082}"/>
            </a:ext>
          </a:extLst>
        </xdr:cNvPr>
        <xdr:cNvSpPr txBox="1"/>
      </xdr:nvSpPr>
      <xdr:spPr>
        <a:xfrm>
          <a:off x="7586382" y="16517471"/>
          <a:ext cx="3048000" cy="609013"/>
        </a:xfrm>
        <a:prstGeom prst="rect">
          <a:avLst/>
        </a:prstGeom>
        <a:solidFill>
          <a:srgbClr val="FF9F9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Two middle points excluded from modeling so modeling</a:t>
          </a:r>
          <a:r>
            <a:rPr lang="en-US" sz="1100" baseline="0">
              <a:solidFill>
                <a:schemeClr val="tx1"/>
              </a:solidFill>
            </a:rPr>
            <a:t> through 2 datapoints only, probably should be rejected altogether.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13</xdr:col>
      <xdr:colOff>403411</xdr:colOff>
      <xdr:row>77</xdr:row>
      <xdr:rowOff>134471</xdr:rowOff>
    </xdr:from>
    <xdr:to>
      <xdr:col>14</xdr:col>
      <xdr:colOff>11205</xdr:colOff>
      <xdr:row>78</xdr:row>
      <xdr:rowOff>112059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9804E40F-D448-4643-9C63-72D2E739E4FC}"/>
            </a:ext>
          </a:extLst>
        </xdr:cNvPr>
        <xdr:cNvSpPr/>
      </xdr:nvSpPr>
      <xdr:spPr>
        <a:xfrm>
          <a:off x="12472146" y="17245853"/>
          <a:ext cx="504265" cy="1680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0</xdr:colOff>
      <xdr:row>100</xdr:row>
      <xdr:rowOff>0</xdr:rowOff>
    </xdr:from>
    <xdr:ext cx="3048000" cy="60901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8E98EE65-A971-43F6-8D39-AB108CACA3D7}"/>
            </a:ext>
          </a:extLst>
        </xdr:cNvPr>
        <xdr:cNvSpPr txBox="1"/>
      </xdr:nvSpPr>
      <xdr:spPr>
        <a:xfrm>
          <a:off x="7586382" y="23084118"/>
          <a:ext cx="3048000" cy="609013"/>
        </a:xfrm>
        <a:prstGeom prst="rect">
          <a:avLst/>
        </a:prstGeom>
        <a:solidFill>
          <a:srgbClr val="FF9F9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No measurable adsorption observed</a:t>
          </a:r>
          <a:r>
            <a:rPr lang="en-US" sz="1100" baseline="0">
              <a:solidFill>
                <a:schemeClr val="tx1"/>
              </a:solidFill>
            </a:rPr>
            <a:t> except a the lowest concentration level. No modeling conducted.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18</xdr:col>
      <xdr:colOff>190500</xdr:colOff>
      <xdr:row>1</xdr:row>
      <xdr:rowOff>11206</xdr:rowOff>
    </xdr:from>
    <xdr:ext cx="3216088" cy="95346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8452036-4959-44A9-912A-42B0521EC59A}"/>
            </a:ext>
          </a:extLst>
        </xdr:cNvPr>
        <xdr:cNvSpPr txBox="1"/>
      </xdr:nvSpPr>
      <xdr:spPr>
        <a:xfrm>
          <a:off x="16741588" y="212912"/>
          <a:ext cx="3216088" cy="953466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Updating these sample IDs (shaded green) will automatically pull data from All data tab</a:t>
          </a:r>
          <a:r>
            <a:rPr lang="en-US" sz="1100" baseline="0"/>
            <a:t> and update this entire spreadsheet.</a:t>
          </a:r>
          <a:r>
            <a:rPr lang="en-US" sz="1100"/>
            <a:t> The only things that don't change automatically is the graph titles, and Solver must be used for Langmuir fit. </a:t>
          </a:r>
        </a:p>
      </xdr:txBody>
    </xdr:sp>
    <xdr:clientData/>
  </xdr:oneCellAnchor>
  <xdr:twoCellAnchor>
    <xdr:from>
      <xdr:col>13</xdr:col>
      <xdr:colOff>380999</xdr:colOff>
      <xdr:row>26</xdr:row>
      <xdr:rowOff>67234</xdr:rowOff>
    </xdr:from>
    <xdr:to>
      <xdr:col>20</xdr:col>
      <xdr:colOff>53339</xdr:colOff>
      <xdr:row>45</xdr:row>
      <xdr:rowOff>71717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3A85EBB-E1CF-4A04-AE06-CF5B4C77C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0</xdr:colOff>
      <xdr:row>66</xdr:row>
      <xdr:rowOff>0</xdr:rowOff>
    </xdr:from>
    <xdr:to>
      <xdr:col>29</xdr:col>
      <xdr:colOff>300990</xdr:colOff>
      <xdr:row>83</xdr:row>
      <xdr:rowOff>167640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A93D7FCB-00E7-4CF1-891D-27EBDB64E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0.0558</cdr:x>
      <cdr:y>0.90152</cdr:y>
    </cdr:from>
    <cdr:to>
      <cdr:x>0.33574</cdr:x>
      <cdr:y>0.96742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F84C3-B4F8-413F-B248-5377A3780EE0}"/>
            </a:ext>
          </a:extLst>
        </cdr:cNvPr>
        <cdr:cNvSpPr txBox="1"/>
      </cdr:nvSpPr>
      <cdr:spPr>
        <a:xfrm xmlns:a="http://schemas.openxmlformats.org/drawingml/2006/main">
          <a:off x="294640" y="302260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57</xdr:row>
      <xdr:rowOff>185737</xdr:rowOff>
    </xdr:from>
    <xdr:to>
      <xdr:col>17</xdr:col>
      <xdr:colOff>561975</xdr:colOff>
      <xdr:row>69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E8E020-EF44-4691-A48F-FA4FC5150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404132</xdr:colOff>
      <xdr:row>58</xdr:row>
      <xdr:rowOff>5444</xdr:rowOff>
    </xdr:from>
    <xdr:to>
      <xdr:col>42</xdr:col>
      <xdr:colOff>80282</xdr:colOff>
      <xdr:row>69</xdr:row>
      <xdr:rowOff>68037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0FE39F-8372-453D-9A3E-FA06BBBF6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261937</xdr:colOff>
      <xdr:row>70</xdr:row>
      <xdr:rowOff>185737</xdr:rowOff>
    </xdr:from>
    <xdr:to>
      <xdr:col>17</xdr:col>
      <xdr:colOff>561975</xdr:colOff>
      <xdr:row>82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A541465-14C8-4215-8ED1-0EEAFE1D2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404132</xdr:colOff>
      <xdr:row>71</xdr:row>
      <xdr:rowOff>5444</xdr:rowOff>
    </xdr:from>
    <xdr:to>
      <xdr:col>42</xdr:col>
      <xdr:colOff>80282</xdr:colOff>
      <xdr:row>82</xdr:row>
      <xdr:rowOff>68037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F4AFE7-609E-4751-BC49-5EE1DA425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261937</xdr:colOff>
      <xdr:row>83</xdr:row>
      <xdr:rowOff>185737</xdr:rowOff>
    </xdr:from>
    <xdr:to>
      <xdr:col>17</xdr:col>
      <xdr:colOff>561975</xdr:colOff>
      <xdr:row>95</xdr:row>
      <xdr:rowOff>52387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C8C3E93-BDE4-441E-8502-AD169E496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404132</xdr:colOff>
      <xdr:row>84</xdr:row>
      <xdr:rowOff>5444</xdr:rowOff>
    </xdr:from>
    <xdr:to>
      <xdr:col>42</xdr:col>
      <xdr:colOff>80282</xdr:colOff>
      <xdr:row>95</xdr:row>
      <xdr:rowOff>68037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0649133-FDDF-47DE-BC31-FBA61BAD4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261937</xdr:colOff>
      <xdr:row>96</xdr:row>
      <xdr:rowOff>185737</xdr:rowOff>
    </xdr:from>
    <xdr:to>
      <xdr:col>17</xdr:col>
      <xdr:colOff>561975</xdr:colOff>
      <xdr:row>108</xdr:row>
      <xdr:rowOff>52387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2983D1E-89A4-498C-91D6-340531396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404132</xdr:colOff>
      <xdr:row>97</xdr:row>
      <xdr:rowOff>5444</xdr:rowOff>
    </xdr:from>
    <xdr:to>
      <xdr:col>42</xdr:col>
      <xdr:colOff>80282</xdr:colOff>
      <xdr:row>108</xdr:row>
      <xdr:rowOff>68037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EC86139-8809-4DB7-BEF2-27033B14F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261937</xdr:colOff>
      <xdr:row>109</xdr:row>
      <xdr:rowOff>185737</xdr:rowOff>
    </xdr:from>
    <xdr:to>
      <xdr:col>17</xdr:col>
      <xdr:colOff>561975</xdr:colOff>
      <xdr:row>121</xdr:row>
      <xdr:rowOff>52387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A299622-6DED-4329-881C-BD09AA0F5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404132</xdr:colOff>
      <xdr:row>110</xdr:row>
      <xdr:rowOff>5444</xdr:rowOff>
    </xdr:from>
    <xdr:to>
      <xdr:col>42</xdr:col>
      <xdr:colOff>80282</xdr:colOff>
      <xdr:row>121</xdr:row>
      <xdr:rowOff>68037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56B3FFB-6A10-4A1F-9366-04ACC51C3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261937</xdr:colOff>
      <xdr:row>122</xdr:row>
      <xdr:rowOff>185737</xdr:rowOff>
    </xdr:from>
    <xdr:to>
      <xdr:col>17</xdr:col>
      <xdr:colOff>561975</xdr:colOff>
      <xdr:row>134</xdr:row>
      <xdr:rowOff>52387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DAB1BFA-AE95-4BB0-BECA-FB75BBDB2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404132</xdr:colOff>
      <xdr:row>123</xdr:row>
      <xdr:rowOff>5444</xdr:rowOff>
    </xdr:from>
    <xdr:to>
      <xdr:col>42</xdr:col>
      <xdr:colOff>80282</xdr:colOff>
      <xdr:row>134</xdr:row>
      <xdr:rowOff>68037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C2A4F57-5ABC-4791-BF8E-6502BCD96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13</xdr:col>
      <xdr:colOff>705971</xdr:colOff>
      <xdr:row>50</xdr:row>
      <xdr:rowOff>156882</xdr:rowOff>
    </xdr:from>
    <xdr:ext cx="3048000" cy="109414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F30CC8B-FCC8-4ABD-AE86-41136D391FFC}"/>
            </a:ext>
          </a:extLst>
        </xdr:cNvPr>
        <xdr:cNvSpPr txBox="1"/>
      </xdr:nvSpPr>
      <xdr:spPr>
        <a:xfrm>
          <a:off x="12774706" y="10343029"/>
          <a:ext cx="3048000" cy="1094146"/>
        </a:xfrm>
        <a:prstGeom prst="rect">
          <a:avLst/>
        </a:prstGeom>
        <a:solidFill>
          <a:srgbClr val="FF9F9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>
              <a:solidFill>
                <a:schemeClr val="tx1"/>
              </a:solidFill>
            </a:rPr>
            <a:t>No</a:t>
          </a:r>
          <a:r>
            <a:rPr lang="en-US" sz="1600" baseline="0">
              <a:solidFill>
                <a:schemeClr val="tx1"/>
              </a:solidFill>
            </a:rPr>
            <a:t> measurable adsorption of any analytes except PFOA and PFNA at the highest concentration, no modeling conducted.</a:t>
          </a:r>
          <a:endParaRPr lang="en-US" sz="1600">
            <a:solidFill>
              <a:schemeClr val="tx1"/>
            </a:solidFill>
          </a:endParaRPr>
        </a:p>
      </xdr:txBody>
    </xdr:sp>
    <xdr:clientData/>
  </xdr:oneCellAnchor>
  <xdr:oneCellAnchor>
    <xdr:from>
      <xdr:col>18</xdr:col>
      <xdr:colOff>268941</xdr:colOff>
      <xdr:row>1</xdr:row>
      <xdr:rowOff>0</xdr:rowOff>
    </xdr:from>
    <xdr:ext cx="3216088" cy="95346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5C5A571-266E-4CDE-94F4-6884985C61EA}"/>
            </a:ext>
          </a:extLst>
        </xdr:cNvPr>
        <xdr:cNvSpPr txBox="1"/>
      </xdr:nvSpPr>
      <xdr:spPr>
        <a:xfrm>
          <a:off x="16820029" y="201706"/>
          <a:ext cx="3216088" cy="953466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Updating these sample IDs (shaded green) will automatically pull data from All data tab</a:t>
          </a:r>
          <a:r>
            <a:rPr lang="en-US" sz="1100" baseline="0"/>
            <a:t> and update this entire spreadsheet.</a:t>
          </a:r>
          <a:r>
            <a:rPr lang="en-US" sz="1100"/>
            <a:t> The only things that don't change automatically is the graph titles, and Solver must be used for Langmuir fit. </a:t>
          </a:r>
        </a:p>
      </xdr:txBody>
    </xdr:sp>
    <xdr:clientData/>
  </xdr:oneCellAnchor>
  <xdr:twoCellAnchor>
    <xdr:from>
      <xdr:col>14</xdr:col>
      <xdr:colOff>33617</xdr:colOff>
      <xdr:row>27</xdr:row>
      <xdr:rowOff>134470</xdr:rowOff>
    </xdr:from>
    <xdr:to>
      <xdr:col>20</xdr:col>
      <xdr:colOff>602428</xdr:colOff>
      <xdr:row>46</xdr:row>
      <xdr:rowOff>138953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9BB218D0-F29A-454B-B7C0-5C2ACBB08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0.0558</cdr:x>
      <cdr:y>0.90152</cdr:y>
    </cdr:from>
    <cdr:to>
      <cdr:x>0.33574</cdr:x>
      <cdr:y>0.96742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F84C3-B4F8-413F-B248-5377A3780EE0}"/>
            </a:ext>
          </a:extLst>
        </cdr:cNvPr>
        <cdr:cNvSpPr txBox="1"/>
      </cdr:nvSpPr>
      <cdr:spPr>
        <a:xfrm xmlns:a="http://schemas.openxmlformats.org/drawingml/2006/main">
          <a:off x="294640" y="3022600"/>
          <a:ext cx="1478284" cy="22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>
              <a:solidFill>
                <a:sysClr val="windowText" lastClr="000000"/>
              </a:solidFill>
            </a:rPr>
            <a:t>PFAS Conc. </a:t>
          </a:r>
          <a:r>
            <a:rPr lang="en-US" sz="1000" b="1" baseline="0"/>
            <a:t>(µg/L):</a:t>
          </a:r>
          <a:endParaRPr lang="en-US" sz="10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P673"/>
  <sheetViews>
    <sheetView topLeftCell="D1" workbookViewId="0">
      <pane ySplit="1" topLeftCell="A74" activePane="bottomLeft" state="frozen"/>
      <selection pane="bottomLeft" activeCell="F181" sqref="F92:F181"/>
    </sheetView>
  </sheetViews>
  <sheetFormatPr defaultRowHeight="15" x14ac:dyDescent="0.25"/>
  <cols>
    <col min="2" max="3" width="17.140625" customWidth="1"/>
    <col min="4" max="4" width="17.28515625" customWidth="1"/>
    <col min="5" max="5" width="21.140625" customWidth="1"/>
    <col min="6" max="6" width="31.140625" bestFit="1" customWidth="1"/>
    <col min="7" max="7" width="23.28515625" style="170" customWidth="1"/>
    <col min="8" max="8" width="11.140625" customWidth="1"/>
    <col min="9" max="9" width="14.7109375" customWidth="1"/>
    <col min="10" max="10" width="20" customWidth="1"/>
    <col min="11" max="11" width="21.85546875" customWidth="1"/>
    <col min="12" max="13" width="17.28515625" customWidth="1"/>
    <col min="14" max="14" width="12.28515625" bestFit="1" customWidth="1"/>
    <col min="16" max="16" width="14.42578125" customWidth="1"/>
  </cols>
  <sheetData>
    <row r="1" spans="1:16" s="101" customFormat="1" ht="45.75" thickBot="1" x14ac:dyDescent="0.3">
      <c r="A1" s="10" t="s">
        <v>77</v>
      </c>
      <c r="B1" s="10" t="s">
        <v>0</v>
      </c>
      <c r="C1" s="10" t="s">
        <v>0</v>
      </c>
      <c r="D1" s="10" t="s">
        <v>1</v>
      </c>
      <c r="E1" s="10"/>
      <c r="F1" s="10" t="s">
        <v>239</v>
      </c>
      <c r="G1" s="165" t="s">
        <v>1268</v>
      </c>
      <c r="H1" s="10" t="s">
        <v>238</v>
      </c>
      <c r="I1" s="10" t="s">
        <v>244</v>
      </c>
      <c r="J1" s="10" t="s">
        <v>240</v>
      </c>
      <c r="K1" s="10" t="s">
        <v>241</v>
      </c>
      <c r="L1" s="10" t="s">
        <v>245</v>
      </c>
      <c r="M1" s="10" t="s">
        <v>243</v>
      </c>
      <c r="N1" s="100" t="s">
        <v>4</v>
      </c>
      <c r="O1" s="10" t="s">
        <v>5</v>
      </c>
      <c r="P1" s="10" t="s">
        <v>876</v>
      </c>
    </row>
    <row r="2" spans="1:16" x14ac:dyDescent="0.25">
      <c r="A2" s="95" t="s">
        <v>78</v>
      </c>
      <c r="B2" s="1" t="s">
        <v>2</v>
      </c>
      <c r="C2" s="1" t="s">
        <v>2</v>
      </c>
      <c r="D2" s="2" t="s">
        <v>3</v>
      </c>
      <c r="E2" s="94" t="str">
        <f>F2&amp;":"&amp;M2</f>
        <v>BLANK-S0-P0-Day20-A:PFHxA</v>
      </c>
      <c r="F2" s="2" t="str">
        <f>VLOOKUP(C2,'Task 2b Sample List'!I:K,3,FALSE)</f>
        <v>BLANK-S0-P0-Day20-A</v>
      </c>
      <c r="G2" s="166" t="str">
        <f>LEFT(F2,17)</f>
        <v>BLANK-S0-P0-Day20</v>
      </c>
      <c r="H2" s="2" t="str">
        <f>VLOOKUP(C2,'Task 2b Sample List'!I:L,4,FALSE)</f>
        <v>B</v>
      </c>
      <c r="I2" s="2" t="s">
        <v>242</v>
      </c>
      <c r="J2" s="2">
        <v>0</v>
      </c>
      <c r="K2" s="2">
        <v>0</v>
      </c>
      <c r="L2" s="2">
        <v>20</v>
      </c>
      <c r="M2" s="6" t="s">
        <v>22</v>
      </c>
      <c r="N2" s="2" t="s">
        <v>6</v>
      </c>
      <c r="O2" s="3" t="s">
        <v>7</v>
      </c>
      <c r="P2" s="2">
        <v>0</v>
      </c>
    </row>
    <row r="3" spans="1:16" x14ac:dyDescent="0.25">
      <c r="A3" s="95" t="s">
        <v>78</v>
      </c>
      <c r="B3" s="1" t="s">
        <v>2</v>
      </c>
      <c r="C3" s="1" t="s">
        <v>2</v>
      </c>
      <c r="D3" s="2" t="s">
        <v>3</v>
      </c>
      <c r="E3" s="94" t="str">
        <f t="shared" ref="E3:E66" si="0">F3&amp;":"&amp;M3</f>
        <v>BLANK-S0-P0-Day20-A:PFOA</v>
      </c>
      <c r="F3" s="2" t="str">
        <f>VLOOKUP(C3,'Task 2b Sample List'!I:K,3,FALSE)</f>
        <v>BLANK-S0-P0-Day20-A</v>
      </c>
      <c r="G3" s="166" t="str">
        <f t="shared" ref="G3:G19" si="1">LEFT(F3,17)</f>
        <v>BLANK-S0-P0-Day20</v>
      </c>
      <c r="H3" s="2" t="str">
        <f>VLOOKUP(C3,'Task 2b Sample List'!I:L,4,FALSE)</f>
        <v>B</v>
      </c>
      <c r="I3" s="2" t="s">
        <v>242</v>
      </c>
      <c r="J3" s="2">
        <v>0</v>
      </c>
      <c r="K3" s="2">
        <v>0</v>
      </c>
      <c r="L3" s="2">
        <v>20</v>
      </c>
      <c r="M3" s="7" t="s">
        <v>23</v>
      </c>
      <c r="N3" s="4" t="s">
        <v>8</v>
      </c>
      <c r="O3" s="5" t="s">
        <v>9</v>
      </c>
      <c r="P3" s="2">
        <v>0</v>
      </c>
    </row>
    <row r="4" spans="1:16" x14ac:dyDescent="0.25">
      <c r="A4" s="95" t="s">
        <v>78</v>
      </c>
      <c r="B4" s="1" t="s">
        <v>2</v>
      </c>
      <c r="C4" s="1" t="s">
        <v>2</v>
      </c>
      <c r="D4" s="2" t="s">
        <v>3</v>
      </c>
      <c r="E4" s="94" t="str">
        <f t="shared" si="0"/>
        <v>BLANK-S0-P0-Day20-A:PFNA</v>
      </c>
      <c r="F4" s="2" t="str">
        <f>VLOOKUP(C4,'Task 2b Sample List'!I:K,3,FALSE)</f>
        <v>BLANK-S0-P0-Day20-A</v>
      </c>
      <c r="G4" s="166" t="str">
        <f t="shared" si="1"/>
        <v>BLANK-S0-P0-Day20</v>
      </c>
      <c r="H4" s="2" t="str">
        <f>VLOOKUP(C4,'Task 2b Sample List'!I:L,4,FALSE)</f>
        <v>B</v>
      </c>
      <c r="I4" s="2" t="s">
        <v>242</v>
      </c>
      <c r="J4" s="2">
        <v>0</v>
      </c>
      <c r="K4" s="2">
        <v>0</v>
      </c>
      <c r="L4" s="2">
        <v>20</v>
      </c>
      <c r="M4" s="7" t="s">
        <v>24</v>
      </c>
      <c r="N4" s="2" t="s">
        <v>10</v>
      </c>
      <c r="O4" s="3" t="s">
        <v>7</v>
      </c>
      <c r="P4" s="2">
        <v>0</v>
      </c>
    </row>
    <row r="5" spans="1:16" x14ac:dyDescent="0.25">
      <c r="A5" s="95" t="s">
        <v>78</v>
      </c>
      <c r="B5" s="1" t="s">
        <v>2</v>
      </c>
      <c r="C5" s="1" t="s">
        <v>2</v>
      </c>
      <c r="D5" s="2" t="s">
        <v>3</v>
      </c>
      <c r="E5" s="94" t="str">
        <f t="shared" si="0"/>
        <v>BLANK-S0-P0-Day20-A:PFBS</v>
      </c>
      <c r="F5" s="2" t="str">
        <f>VLOOKUP(C5,'Task 2b Sample List'!I:K,3,FALSE)</f>
        <v>BLANK-S0-P0-Day20-A</v>
      </c>
      <c r="G5" s="166" t="str">
        <f t="shared" si="1"/>
        <v>BLANK-S0-P0-Day20</v>
      </c>
      <c r="H5" s="2" t="str">
        <f>VLOOKUP(C5,'Task 2b Sample List'!I:L,4,FALSE)</f>
        <v>B</v>
      </c>
      <c r="I5" s="2" t="s">
        <v>242</v>
      </c>
      <c r="J5" s="2">
        <v>0</v>
      </c>
      <c r="K5" s="2">
        <v>0</v>
      </c>
      <c r="L5" s="2">
        <v>20</v>
      </c>
      <c r="M5" s="7" t="s">
        <v>25</v>
      </c>
      <c r="N5" s="4" t="s">
        <v>11</v>
      </c>
      <c r="O5" s="5" t="s">
        <v>9</v>
      </c>
      <c r="P5" s="2">
        <v>0</v>
      </c>
    </row>
    <row r="6" spans="1:16" x14ac:dyDescent="0.25">
      <c r="A6" s="95" t="s">
        <v>78</v>
      </c>
      <c r="B6" s="1" t="s">
        <v>2</v>
      </c>
      <c r="C6" s="1" t="s">
        <v>2</v>
      </c>
      <c r="D6" s="2" t="s">
        <v>3</v>
      </c>
      <c r="E6" s="94" t="str">
        <f t="shared" si="0"/>
        <v>BLANK-S0-P0-Day20-A:PFOS</v>
      </c>
      <c r="F6" s="2" t="str">
        <f>VLOOKUP(C6,'Task 2b Sample List'!I:K,3,FALSE)</f>
        <v>BLANK-S0-P0-Day20-A</v>
      </c>
      <c r="G6" s="166" t="str">
        <f t="shared" si="1"/>
        <v>BLANK-S0-P0-Day20</v>
      </c>
      <c r="H6" s="2" t="str">
        <f>VLOOKUP(C6,'Task 2b Sample List'!I:L,4,FALSE)</f>
        <v>B</v>
      </c>
      <c r="I6" s="2" t="s">
        <v>242</v>
      </c>
      <c r="J6" s="2">
        <v>0</v>
      </c>
      <c r="K6" s="2">
        <v>0</v>
      </c>
      <c r="L6" s="2">
        <v>20</v>
      </c>
      <c r="M6" s="7" t="s">
        <v>26</v>
      </c>
      <c r="N6" s="2" t="s">
        <v>12</v>
      </c>
      <c r="O6" s="3" t="s">
        <v>9</v>
      </c>
      <c r="P6" s="2">
        <v>0</v>
      </c>
    </row>
    <row r="7" spans="1:16" ht="15.75" thickBot="1" x14ac:dyDescent="0.3">
      <c r="A7" s="95" t="s">
        <v>78</v>
      </c>
      <c r="B7" s="1" t="s">
        <v>2</v>
      </c>
      <c r="C7" s="1" t="s">
        <v>2</v>
      </c>
      <c r="D7" s="2" t="s">
        <v>3</v>
      </c>
      <c r="E7" s="94" t="str">
        <f t="shared" si="0"/>
        <v>BLANK-S0-P0-Day20-A:8:2FTS</v>
      </c>
      <c r="F7" s="2" t="str">
        <f>VLOOKUP(C7,'Task 2b Sample List'!I:K,3,FALSE)</f>
        <v>BLANK-S0-P0-Day20-A</v>
      </c>
      <c r="G7" s="166" t="str">
        <f t="shared" si="1"/>
        <v>BLANK-S0-P0-Day20</v>
      </c>
      <c r="H7" s="2" t="str">
        <f>VLOOKUP(C7,'Task 2b Sample List'!I:L,4,FALSE)</f>
        <v>B</v>
      </c>
      <c r="I7" s="2" t="s">
        <v>242</v>
      </c>
      <c r="J7" s="2">
        <v>0</v>
      </c>
      <c r="K7" s="2">
        <v>0</v>
      </c>
      <c r="L7" s="2">
        <v>20</v>
      </c>
      <c r="M7" s="8" t="s">
        <v>27</v>
      </c>
      <c r="N7" s="4" t="s">
        <v>13</v>
      </c>
      <c r="O7" s="5" t="s">
        <v>14</v>
      </c>
      <c r="P7" s="2" t="s">
        <v>13</v>
      </c>
    </row>
    <row r="8" spans="1:16" x14ac:dyDescent="0.25">
      <c r="A8" s="95" t="s">
        <v>78</v>
      </c>
      <c r="B8" s="1" t="s">
        <v>15</v>
      </c>
      <c r="C8" s="1" t="s">
        <v>15</v>
      </c>
      <c r="D8" s="2" t="s">
        <v>16</v>
      </c>
      <c r="E8" s="94" t="str">
        <f t="shared" si="0"/>
        <v>BLANK-S0-P0-Day20-B:PFHxA</v>
      </c>
      <c r="F8" s="2" t="str">
        <f>VLOOKUP(C8,'Task 2b Sample List'!I:K,3,FALSE)</f>
        <v>BLANK-S0-P0-Day20-B</v>
      </c>
      <c r="G8" s="166" t="str">
        <f t="shared" si="1"/>
        <v>BLANK-S0-P0-Day20</v>
      </c>
      <c r="H8" s="2" t="str">
        <f>VLOOKUP(C8,'Task 2b Sample List'!I:L,4,FALSE)</f>
        <v>B</v>
      </c>
      <c r="I8" s="2" t="s">
        <v>242</v>
      </c>
      <c r="J8" s="2">
        <v>0</v>
      </c>
      <c r="K8" s="2">
        <v>0</v>
      </c>
      <c r="L8" s="2">
        <v>20</v>
      </c>
      <c r="M8" s="6" t="s">
        <v>22</v>
      </c>
      <c r="N8" s="2" t="s">
        <v>17</v>
      </c>
      <c r="O8" s="3" t="s">
        <v>7</v>
      </c>
      <c r="P8" s="2">
        <v>0</v>
      </c>
    </row>
    <row r="9" spans="1:16" x14ac:dyDescent="0.25">
      <c r="A9" s="95" t="s">
        <v>78</v>
      </c>
      <c r="B9" s="1" t="s">
        <v>15</v>
      </c>
      <c r="C9" s="1" t="s">
        <v>15</v>
      </c>
      <c r="D9" s="2" t="s">
        <v>16</v>
      </c>
      <c r="E9" s="94" t="str">
        <f t="shared" si="0"/>
        <v>BLANK-S0-P0-Day20-B:PFOA</v>
      </c>
      <c r="F9" s="2" t="str">
        <f>VLOOKUP(C9,'Task 2b Sample List'!I:K,3,FALSE)</f>
        <v>BLANK-S0-P0-Day20-B</v>
      </c>
      <c r="G9" s="166" t="str">
        <f t="shared" si="1"/>
        <v>BLANK-S0-P0-Day20</v>
      </c>
      <c r="H9" s="2" t="str">
        <f>VLOOKUP(C9,'Task 2b Sample List'!I:L,4,FALSE)</f>
        <v>B</v>
      </c>
      <c r="I9" s="2" t="s">
        <v>242</v>
      </c>
      <c r="J9" s="2">
        <v>0</v>
      </c>
      <c r="K9" s="2">
        <v>0</v>
      </c>
      <c r="L9" s="2">
        <v>20</v>
      </c>
      <c r="M9" s="7" t="s">
        <v>23</v>
      </c>
      <c r="N9" s="4" t="s">
        <v>18</v>
      </c>
      <c r="O9" s="5" t="s">
        <v>7</v>
      </c>
      <c r="P9" s="2">
        <v>0</v>
      </c>
    </row>
    <row r="10" spans="1:16" x14ac:dyDescent="0.25">
      <c r="A10" s="95" t="s">
        <v>78</v>
      </c>
      <c r="B10" s="1" t="s">
        <v>15</v>
      </c>
      <c r="C10" s="1" t="s">
        <v>15</v>
      </c>
      <c r="D10" s="2" t="s">
        <v>16</v>
      </c>
      <c r="E10" s="94" t="str">
        <f t="shared" si="0"/>
        <v>BLANK-S0-P0-Day20-B:PFNA</v>
      </c>
      <c r="F10" s="2" t="str">
        <f>VLOOKUP(C10,'Task 2b Sample List'!I:K,3,FALSE)</f>
        <v>BLANK-S0-P0-Day20-B</v>
      </c>
      <c r="G10" s="166" t="str">
        <f t="shared" si="1"/>
        <v>BLANK-S0-P0-Day20</v>
      </c>
      <c r="H10" s="2" t="str">
        <f>VLOOKUP(C10,'Task 2b Sample List'!I:L,4,FALSE)</f>
        <v>B</v>
      </c>
      <c r="I10" s="2" t="s">
        <v>242</v>
      </c>
      <c r="J10" s="2">
        <v>0</v>
      </c>
      <c r="K10" s="2">
        <v>0</v>
      </c>
      <c r="L10" s="2">
        <v>20</v>
      </c>
      <c r="M10" s="7" t="s">
        <v>24</v>
      </c>
      <c r="N10" s="2" t="s">
        <v>19</v>
      </c>
      <c r="O10" s="3" t="s">
        <v>7</v>
      </c>
      <c r="P10" s="2">
        <v>0</v>
      </c>
    </row>
    <row r="11" spans="1:16" x14ac:dyDescent="0.25">
      <c r="A11" s="95" t="s">
        <v>78</v>
      </c>
      <c r="B11" s="1" t="s">
        <v>15</v>
      </c>
      <c r="C11" s="1" t="s">
        <v>15</v>
      </c>
      <c r="D11" s="2" t="s">
        <v>16</v>
      </c>
      <c r="E11" s="94" t="str">
        <f t="shared" si="0"/>
        <v>BLANK-S0-P0-Day20-B:PFBS</v>
      </c>
      <c r="F11" s="2" t="str">
        <f>VLOOKUP(C11,'Task 2b Sample List'!I:K,3,FALSE)</f>
        <v>BLANK-S0-P0-Day20-B</v>
      </c>
      <c r="G11" s="166" t="str">
        <f t="shared" si="1"/>
        <v>BLANK-S0-P0-Day20</v>
      </c>
      <c r="H11" s="2" t="str">
        <f>VLOOKUP(C11,'Task 2b Sample List'!I:L,4,FALSE)</f>
        <v>B</v>
      </c>
      <c r="I11" s="2" t="s">
        <v>242</v>
      </c>
      <c r="J11" s="2">
        <v>0</v>
      </c>
      <c r="K11" s="2">
        <v>0</v>
      </c>
      <c r="L11" s="2">
        <v>20</v>
      </c>
      <c r="M11" s="7" t="s">
        <v>25</v>
      </c>
      <c r="N11" s="4" t="s">
        <v>20</v>
      </c>
      <c r="O11" s="5" t="s">
        <v>14</v>
      </c>
      <c r="P11" s="2" t="s">
        <v>20</v>
      </c>
    </row>
    <row r="12" spans="1:16" x14ac:dyDescent="0.25">
      <c r="A12" s="95" t="s">
        <v>78</v>
      </c>
      <c r="B12" s="1" t="s">
        <v>15</v>
      </c>
      <c r="C12" s="1" t="s">
        <v>15</v>
      </c>
      <c r="D12" s="2" t="s">
        <v>16</v>
      </c>
      <c r="E12" s="94" t="str">
        <f t="shared" si="0"/>
        <v>BLANK-S0-P0-Day20-B:PFOS</v>
      </c>
      <c r="F12" s="2" t="str">
        <f>VLOOKUP(C12,'Task 2b Sample List'!I:K,3,FALSE)</f>
        <v>BLANK-S0-P0-Day20-B</v>
      </c>
      <c r="G12" s="166" t="str">
        <f t="shared" si="1"/>
        <v>BLANK-S0-P0-Day20</v>
      </c>
      <c r="H12" s="2" t="str">
        <f>VLOOKUP(C12,'Task 2b Sample List'!I:L,4,FALSE)</f>
        <v>B</v>
      </c>
      <c r="I12" s="2" t="s">
        <v>242</v>
      </c>
      <c r="J12" s="2">
        <v>0</v>
      </c>
      <c r="K12" s="2">
        <v>0</v>
      </c>
      <c r="L12" s="2">
        <v>20</v>
      </c>
      <c r="M12" s="7" t="s">
        <v>26</v>
      </c>
      <c r="N12" s="2" t="s">
        <v>12</v>
      </c>
      <c r="O12" s="3" t="s">
        <v>9</v>
      </c>
      <c r="P12" s="2">
        <v>0</v>
      </c>
    </row>
    <row r="13" spans="1:16" ht="15.75" thickBot="1" x14ac:dyDescent="0.3">
      <c r="A13" s="95" t="s">
        <v>78</v>
      </c>
      <c r="B13" s="1" t="s">
        <v>15</v>
      </c>
      <c r="C13" s="1" t="s">
        <v>15</v>
      </c>
      <c r="D13" s="2" t="s">
        <v>16</v>
      </c>
      <c r="E13" s="94" t="str">
        <f t="shared" si="0"/>
        <v>BLANK-S0-P0-Day20-B:8:2FTS</v>
      </c>
      <c r="F13" s="2" t="str">
        <f>VLOOKUP(C13,'Task 2b Sample List'!I:K,3,FALSE)</f>
        <v>BLANK-S0-P0-Day20-B</v>
      </c>
      <c r="G13" s="166" t="str">
        <f t="shared" si="1"/>
        <v>BLANK-S0-P0-Day20</v>
      </c>
      <c r="H13" s="2" t="str">
        <f>VLOOKUP(C13,'Task 2b Sample List'!I:L,4,FALSE)</f>
        <v>B</v>
      </c>
      <c r="I13" s="2" t="s">
        <v>242</v>
      </c>
      <c r="J13" s="2">
        <v>0</v>
      </c>
      <c r="K13" s="2">
        <v>0</v>
      </c>
      <c r="L13" s="2">
        <v>20</v>
      </c>
      <c r="M13" s="8" t="s">
        <v>27</v>
      </c>
      <c r="N13" s="4" t="s">
        <v>21</v>
      </c>
      <c r="O13" s="5" t="s">
        <v>14</v>
      </c>
      <c r="P13" s="2" t="s">
        <v>21</v>
      </c>
    </row>
    <row r="14" spans="1:16" x14ac:dyDescent="0.25">
      <c r="A14" s="95" t="s">
        <v>78</v>
      </c>
      <c r="B14" s="1" t="s">
        <v>28</v>
      </c>
      <c r="C14" s="1" t="s">
        <v>28</v>
      </c>
      <c r="D14" s="2" t="s">
        <v>29</v>
      </c>
      <c r="E14" s="94" t="str">
        <f t="shared" si="0"/>
        <v>BLANK-S0-P0-Day20-C:PFHxA</v>
      </c>
      <c r="F14" s="2" t="str">
        <f>VLOOKUP(C14,'Task 2b Sample List'!I:K,3,FALSE)</f>
        <v>BLANK-S0-P0-Day20-C</v>
      </c>
      <c r="G14" s="166" t="str">
        <f t="shared" si="1"/>
        <v>BLANK-S0-P0-Day20</v>
      </c>
      <c r="H14" s="2" t="str">
        <f>VLOOKUP(C14,'Task 2b Sample List'!I:L,4,FALSE)</f>
        <v>B</v>
      </c>
      <c r="I14" s="2" t="s">
        <v>242</v>
      </c>
      <c r="J14" s="2">
        <v>0</v>
      </c>
      <c r="K14" s="2">
        <v>0</v>
      </c>
      <c r="L14" s="2">
        <v>20</v>
      </c>
      <c r="M14" s="6" t="s">
        <v>22</v>
      </c>
      <c r="N14" s="2" t="s">
        <v>30</v>
      </c>
      <c r="O14" s="3" t="s">
        <v>7</v>
      </c>
      <c r="P14" s="2">
        <v>0</v>
      </c>
    </row>
    <row r="15" spans="1:16" x14ac:dyDescent="0.25">
      <c r="A15" s="95" t="s">
        <v>78</v>
      </c>
      <c r="B15" s="1" t="s">
        <v>28</v>
      </c>
      <c r="C15" s="1" t="s">
        <v>28</v>
      </c>
      <c r="D15" s="2" t="s">
        <v>29</v>
      </c>
      <c r="E15" s="94" t="str">
        <f t="shared" si="0"/>
        <v>BLANK-S0-P0-Day20-C:PFOA</v>
      </c>
      <c r="F15" s="2" t="str">
        <f>VLOOKUP(C15,'Task 2b Sample List'!I:K,3,FALSE)</f>
        <v>BLANK-S0-P0-Day20-C</v>
      </c>
      <c r="G15" s="166" t="str">
        <f t="shared" si="1"/>
        <v>BLANK-S0-P0-Day20</v>
      </c>
      <c r="H15" s="2" t="str">
        <f>VLOOKUP(C15,'Task 2b Sample List'!I:L,4,FALSE)</f>
        <v>B</v>
      </c>
      <c r="I15" s="2" t="s">
        <v>242</v>
      </c>
      <c r="J15" s="2">
        <v>0</v>
      </c>
      <c r="K15" s="2">
        <v>0</v>
      </c>
      <c r="L15" s="2">
        <v>20</v>
      </c>
      <c r="M15" s="7" t="s">
        <v>23</v>
      </c>
      <c r="N15" s="4" t="s">
        <v>31</v>
      </c>
      <c r="O15" s="5" t="s">
        <v>7</v>
      </c>
      <c r="P15" s="2">
        <v>0</v>
      </c>
    </row>
    <row r="16" spans="1:16" x14ac:dyDescent="0.25">
      <c r="A16" s="95" t="s">
        <v>78</v>
      </c>
      <c r="B16" s="1" t="s">
        <v>28</v>
      </c>
      <c r="C16" s="1" t="s">
        <v>28</v>
      </c>
      <c r="D16" s="2" t="s">
        <v>29</v>
      </c>
      <c r="E16" s="94" t="str">
        <f t="shared" si="0"/>
        <v>BLANK-S0-P0-Day20-C:PFNA</v>
      </c>
      <c r="F16" s="2" t="str">
        <f>VLOOKUP(C16,'Task 2b Sample List'!I:K,3,FALSE)</f>
        <v>BLANK-S0-P0-Day20-C</v>
      </c>
      <c r="G16" s="166" t="str">
        <f t="shared" si="1"/>
        <v>BLANK-S0-P0-Day20</v>
      </c>
      <c r="H16" s="2" t="str">
        <f>VLOOKUP(C16,'Task 2b Sample List'!I:L,4,FALSE)</f>
        <v>B</v>
      </c>
      <c r="I16" s="2" t="s">
        <v>242</v>
      </c>
      <c r="J16" s="2">
        <v>0</v>
      </c>
      <c r="K16" s="2">
        <v>0</v>
      </c>
      <c r="L16" s="2">
        <v>20</v>
      </c>
      <c r="M16" s="7" t="s">
        <v>24</v>
      </c>
      <c r="N16" s="2" t="s">
        <v>32</v>
      </c>
      <c r="O16" s="3" t="s">
        <v>7</v>
      </c>
      <c r="P16" s="2">
        <v>0</v>
      </c>
    </row>
    <row r="17" spans="1:16" x14ac:dyDescent="0.25">
      <c r="A17" s="95" t="s">
        <v>78</v>
      </c>
      <c r="B17" s="1" t="s">
        <v>28</v>
      </c>
      <c r="C17" s="1" t="s">
        <v>28</v>
      </c>
      <c r="D17" s="2" t="s">
        <v>29</v>
      </c>
      <c r="E17" s="94" t="str">
        <f t="shared" si="0"/>
        <v>BLANK-S0-P0-Day20-C:PFBS</v>
      </c>
      <c r="F17" s="2" t="str">
        <f>VLOOKUP(C17,'Task 2b Sample List'!I:K,3,FALSE)</f>
        <v>BLANK-S0-P0-Day20-C</v>
      </c>
      <c r="G17" s="166" t="str">
        <f t="shared" si="1"/>
        <v>BLANK-S0-P0-Day20</v>
      </c>
      <c r="H17" s="2" t="str">
        <f>VLOOKUP(C17,'Task 2b Sample List'!I:L,4,FALSE)</f>
        <v>B</v>
      </c>
      <c r="I17" s="2" t="s">
        <v>242</v>
      </c>
      <c r="J17" s="2">
        <v>0</v>
      </c>
      <c r="K17" s="2">
        <v>0</v>
      </c>
      <c r="L17" s="2">
        <v>20</v>
      </c>
      <c r="M17" s="7" t="s">
        <v>25</v>
      </c>
      <c r="N17" s="4" t="s">
        <v>33</v>
      </c>
      <c r="O17" s="5" t="s">
        <v>7</v>
      </c>
      <c r="P17" s="2">
        <v>0</v>
      </c>
    </row>
    <row r="18" spans="1:16" x14ac:dyDescent="0.25">
      <c r="A18" s="95" t="s">
        <v>78</v>
      </c>
      <c r="B18" s="1" t="s">
        <v>28</v>
      </c>
      <c r="C18" s="1" t="s">
        <v>28</v>
      </c>
      <c r="D18" s="2" t="s">
        <v>29</v>
      </c>
      <c r="E18" s="94" t="str">
        <f t="shared" si="0"/>
        <v>BLANK-S0-P0-Day20-C:PFOS</v>
      </c>
      <c r="F18" s="2" t="str">
        <f>VLOOKUP(C18,'Task 2b Sample List'!I:K,3,FALSE)</f>
        <v>BLANK-S0-P0-Day20-C</v>
      </c>
      <c r="G18" s="166" t="str">
        <f t="shared" si="1"/>
        <v>BLANK-S0-P0-Day20</v>
      </c>
      <c r="H18" s="2" t="str">
        <f>VLOOKUP(C18,'Task 2b Sample List'!I:L,4,FALSE)</f>
        <v>B</v>
      </c>
      <c r="I18" s="2" t="s">
        <v>242</v>
      </c>
      <c r="J18" s="2">
        <v>0</v>
      </c>
      <c r="K18" s="2">
        <v>0</v>
      </c>
      <c r="L18" s="2">
        <v>20</v>
      </c>
      <c r="M18" s="7" t="s">
        <v>26</v>
      </c>
      <c r="N18" s="2" t="s">
        <v>34</v>
      </c>
      <c r="O18" s="3" t="s">
        <v>7</v>
      </c>
      <c r="P18" s="2">
        <v>0</v>
      </c>
    </row>
    <row r="19" spans="1:16" ht="15.75" thickBot="1" x14ac:dyDescent="0.3">
      <c r="A19" s="95" t="s">
        <v>78</v>
      </c>
      <c r="B19" s="1" t="s">
        <v>28</v>
      </c>
      <c r="C19" s="1" t="s">
        <v>28</v>
      </c>
      <c r="D19" s="2" t="s">
        <v>29</v>
      </c>
      <c r="E19" s="94" t="str">
        <f t="shared" si="0"/>
        <v>BLANK-S0-P0-Day20-C:8:2FTS</v>
      </c>
      <c r="F19" s="2" t="str">
        <f>VLOOKUP(C19,'Task 2b Sample List'!I:K,3,FALSE)</f>
        <v>BLANK-S0-P0-Day20-C</v>
      </c>
      <c r="G19" s="166" t="str">
        <f t="shared" si="1"/>
        <v>BLANK-S0-P0-Day20</v>
      </c>
      <c r="H19" s="2" t="str">
        <f>VLOOKUP(C19,'Task 2b Sample List'!I:L,4,FALSE)</f>
        <v>B</v>
      </c>
      <c r="I19" s="2" t="s">
        <v>242</v>
      </c>
      <c r="J19" s="2">
        <v>0</v>
      </c>
      <c r="K19" s="2">
        <v>0</v>
      </c>
      <c r="L19" s="2">
        <v>20</v>
      </c>
      <c r="M19" s="93" t="s">
        <v>27</v>
      </c>
      <c r="N19" s="4" t="s">
        <v>35</v>
      </c>
      <c r="O19" s="5" t="s">
        <v>14</v>
      </c>
      <c r="P19" s="2" t="s">
        <v>35</v>
      </c>
    </row>
    <row r="20" spans="1:16" s="112" customFormat="1" x14ac:dyDescent="0.25">
      <c r="A20" s="106" t="s">
        <v>78</v>
      </c>
      <c r="B20" s="107" t="s">
        <v>36</v>
      </c>
      <c r="C20" s="107" t="s">
        <v>36</v>
      </c>
      <c r="D20" s="108" t="s">
        <v>37</v>
      </c>
      <c r="E20" s="109" t="str">
        <f t="shared" si="0"/>
        <v>PFAS-S0-P10-Day20-A:PFHxA</v>
      </c>
      <c r="F20" s="108" t="str">
        <f>VLOOKUP(C20,'Task 2b Sample List'!I:K,3,FALSE)</f>
        <v>PFAS-S0-P10-Day20-A</v>
      </c>
      <c r="G20" s="167" t="str">
        <f>LEFT(F20,17)</f>
        <v>PFAS-S0-P10-Day20</v>
      </c>
      <c r="H20" s="108" t="str">
        <f>VLOOKUP(C20,'Task 2b Sample List'!I:L,4,FALSE)</f>
        <v>A</v>
      </c>
      <c r="I20" s="108" t="s">
        <v>242</v>
      </c>
      <c r="J20" s="108">
        <v>0</v>
      </c>
      <c r="K20" s="108">
        <v>10</v>
      </c>
      <c r="L20" s="108">
        <v>20</v>
      </c>
      <c r="M20" s="110" t="s">
        <v>22</v>
      </c>
      <c r="N20" s="108" t="s">
        <v>38</v>
      </c>
      <c r="O20" s="111" t="s">
        <v>39</v>
      </c>
      <c r="P20" s="108" t="s">
        <v>38</v>
      </c>
    </row>
    <row r="21" spans="1:16" s="119" customFormat="1" x14ac:dyDescent="0.25">
      <c r="A21" s="113" t="s">
        <v>78</v>
      </c>
      <c r="B21" s="114" t="s">
        <v>36</v>
      </c>
      <c r="C21" s="114" t="s">
        <v>36</v>
      </c>
      <c r="D21" s="115" t="s">
        <v>37</v>
      </c>
      <c r="E21" s="116" t="str">
        <f t="shared" si="0"/>
        <v>PFAS-S0-P10-Day20-A:PFOA</v>
      </c>
      <c r="F21" s="115" t="str">
        <f>VLOOKUP(C21,'Task 2b Sample List'!I:K,3,FALSE)</f>
        <v>PFAS-S0-P10-Day20-A</v>
      </c>
      <c r="G21" s="168" t="str">
        <f>LEFT(F21,17)</f>
        <v>PFAS-S0-P10-Day20</v>
      </c>
      <c r="H21" s="115" t="str">
        <f>VLOOKUP(C21,'Task 2b Sample List'!I:L,4,FALSE)</f>
        <v>A</v>
      </c>
      <c r="I21" s="115" t="s">
        <v>242</v>
      </c>
      <c r="J21" s="115">
        <v>0</v>
      </c>
      <c r="K21" s="115">
        <v>10</v>
      </c>
      <c r="L21" s="115">
        <v>20</v>
      </c>
      <c r="M21" s="117" t="s">
        <v>23</v>
      </c>
      <c r="N21" s="115" t="s">
        <v>40</v>
      </c>
      <c r="O21" s="118" t="s">
        <v>39</v>
      </c>
      <c r="P21" s="115" t="s">
        <v>40</v>
      </c>
    </row>
    <row r="22" spans="1:16" s="119" customFormat="1" x14ac:dyDescent="0.25">
      <c r="A22" s="113" t="s">
        <v>78</v>
      </c>
      <c r="B22" s="114" t="s">
        <v>36</v>
      </c>
      <c r="C22" s="114" t="s">
        <v>36</v>
      </c>
      <c r="D22" s="115" t="s">
        <v>37</v>
      </c>
      <c r="E22" s="116" t="str">
        <f t="shared" si="0"/>
        <v>PFAS-S0-P10-Day20-A:PFNA</v>
      </c>
      <c r="F22" s="115" t="str">
        <f>VLOOKUP(C22,'Task 2b Sample List'!I:K,3,FALSE)</f>
        <v>PFAS-S0-P10-Day20-A</v>
      </c>
      <c r="G22" s="168" t="str">
        <f t="shared" ref="G22:G55" si="2">LEFT(F22,17)</f>
        <v>PFAS-S0-P10-Day20</v>
      </c>
      <c r="H22" s="115" t="str">
        <f>VLOOKUP(C22,'Task 2b Sample List'!I:L,4,FALSE)</f>
        <v>A</v>
      </c>
      <c r="I22" s="115" t="s">
        <v>242</v>
      </c>
      <c r="J22" s="115">
        <v>0</v>
      </c>
      <c r="K22" s="115">
        <v>10</v>
      </c>
      <c r="L22" s="115">
        <v>20</v>
      </c>
      <c r="M22" s="117" t="s">
        <v>24</v>
      </c>
      <c r="N22" s="115" t="s">
        <v>41</v>
      </c>
      <c r="O22" s="118" t="s">
        <v>39</v>
      </c>
      <c r="P22" s="115" t="s">
        <v>41</v>
      </c>
    </row>
    <row r="23" spans="1:16" s="119" customFormat="1" x14ac:dyDescent="0.25">
      <c r="A23" s="113" t="s">
        <v>78</v>
      </c>
      <c r="B23" s="114" t="s">
        <v>36</v>
      </c>
      <c r="C23" s="114" t="s">
        <v>36</v>
      </c>
      <c r="D23" s="115" t="s">
        <v>37</v>
      </c>
      <c r="E23" s="116" t="str">
        <f t="shared" si="0"/>
        <v>PFAS-S0-P10-Day20-A:PFBS</v>
      </c>
      <c r="F23" s="115" t="str">
        <f>VLOOKUP(C23,'Task 2b Sample List'!I:K,3,FALSE)</f>
        <v>PFAS-S0-P10-Day20-A</v>
      </c>
      <c r="G23" s="168" t="str">
        <f t="shared" si="2"/>
        <v>PFAS-S0-P10-Day20</v>
      </c>
      <c r="H23" s="115" t="str">
        <f>VLOOKUP(C23,'Task 2b Sample List'!I:L,4,FALSE)</f>
        <v>A</v>
      </c>
      <c r="I23" s="115" t="s">
        <v>242</v>
      </c>
      <c r="J23" s="115">
        <v>0</v>
      </c>
      <c r="K23" s="115">
        <v>10</v>
      </c>
      <c r="L23" s="115">
        <v>20</v>
      </c>
      <c r="M23" s="117" t="s">
        <v>25</v>
      </c>
      <c r="N23" s="115" t="s">
        <v>42</v>
      </c>
      <c r="O23" s="118" t="s">
        <v>39</v>
      </c>
      <c r="P23" s="115" t="s">
        <v>42</v>
      </c>
    </row>
    <row r="24" spans="1:16" s="119" customFormat="1" x14ac:dyDescent="0.25">
      <c r="A24" s="113" t="s">
        <v>78</v>
      </c>
      <c r="B24" s="114" t="s">
        <v>36</v>
      </c>
      <c r="C24" s="114" t="s">
        <v>36</v>
      </c>
      <c r="D24" s="115" t="s">
        <v>37</v>
      </c>
      <c r="E24" s="116" t="str">
        <f t="shared" si="0"/>
        <v>PFAS-S0-P10-Day20-A:PFOS</v>
      </c>
      <c r="F24" s="115" t="str">
        <f>VLOOKUP(C24,'Task 2b Sample List'!I:K,3,FALSE)</f>
        <v>PFAS-S0-P10-Day20-A</v>
      </c>
      <c r="G24" s="168" t="str">
        <f t="shared" si="2"/>
        <v>PFAS-S0-P10-Day20</v>
      </c>
      <c r="H24" s="115" t="str">
        <f>VLOOKUP(C24,'Task 2b Sample List'!I:L,4,FALSE)</f>
        <v>A</v>
      </c>
      <c r="I24" s="115" t="s">
        <v>242</v>
      </c>
      <c r="J24" s="115">
        <v>0</v>
      </c>
      <c r="K24" s="115">
        <v>10</v>
      </c>
      <c r="L24" s="115">
        <v>20</v>
      </c>
      <c r="M24" s="117" t="s">
        <v>26</v>
      </c>
      <c r="N24" s="115" t="s">
        <v>43</v>
      </c>
      <c r="O24" s="118" t="s">
        <v>39</v>
      </c>
      <c r="P24" s="115" t="s">
        <v>43</v>
      </c>
    </row>
    <row r="25" spans="1:16" s="119" customFormat="1" ht="15.75" thickBot="1" x14ac:dyDescent="0.3">
      <c r="A25" s="113" t="s">
        <v>78</v>
      </c>
      <c r="B25" s="114" t="s">
        <v>36</v>
      </c>
      <c r="C25" s="114" t="s">
        <v>36</v>
      </c>
      <c r="D25" s="115" t="s">
        <v>37</v>
      </c>
      <c r="E25" s="116" t="str">
        <f t="shared" si="0"/>
        <v>PFAS-S0-P10-Day20-A:8:2FTS</v>
      </c>
      <c r="F25" s="115" t="str">
        <f>VLOOKUP(C25,'Task 2b Sample List'!I:K,3,FALSE)</f>
        <v>PFAS-S0-P10-Day20-A</v>
      </c>
      <c r="G25" s="168" t="str">
        <f t="shared" si="2"/>
        <v>PFAS-S0-P10-Day20</v>
      </c>
      <c r="H25" s="115" t="str">
        <f>VLOOKUP(C25,'Task 2b Sample List'!I:L,4,FALSE)</f>
        <v>A</v>
      </c>
      <c r="I25" s="115" t="s">
        <v>242</v>
      </c>
      <c r="J25" s="115">
        <v>0</v>
      </c>
      <c r="K25" s="115">
        <v>10</v>
      </c>
      <c r="L25" s="115">
        <v>20</v>
      </c>
      <c r="M25" s="120" t="s">
        <v>27</v>
      </c>
      <c r="N25" s="115" t="s">
        <v>44</v>
      </c>
      <c r="O25" s="118" t="s">
        <v>39</v>
      </c>
      <c r="P25" s="115" t="s">
        <v>44</v>
      </c>
    </row>
    <row r="26" spans="1:16" s="119" customFormat="1" x14ac:dyDescent="0.25">
      <c r="A26" s="113" t="s">
        <v>78</v>
      </c>
      <c r="B26" s="114" t="s">
        <v>45</v>
      </c>
      <c r="C26" s="114" t="s">
        <v>45</v>
      </c>
      <c r="D26" s="115" t="s">
        <v>46</v>
      </c>
      <c r="E26" s="116" t="str">
        <f t="shared" si="0"/>
        <v>PFAS-S0-P10-Day20-B:PFHxA</v>
      </c>
      <c r="F26" s="115" t="str">
        <f>VLOOKUP(C26,'Task 2b Sample List'!I:K,3,FALSE)</f>
        <v>PFAS-S0-P10-Day20-B</v>
      </c>
      <c r="G26" s="168" t="str">
        <f t="shared" si="2"/>
        <v>PFAS-S0-P10-Day20</v>
      </c>
      <c r="H26" s="115" t="str">
        <f>VLOOKUP(C26,'Task 2b Sample List'!I:L,4,FALSE)</f>
        <v>A</v>
      </c>
      <c r="I26" s="115" t="s">
        <v>242</v>
      </c>
      <c r="J26" s="115">
        <v>0</v>
      </c>
      <c r="K26" s="115">
        <v>10</v>
      </c>
      <c r="L26" s="115">
        <v>20</v>
      </c>
      <c r="M26" s="121" t="s">
        <v>22</v>
      </c>
      <c r="N26" s="115" t="s">
        <v>47</v>
      </c>
      <c r="O26" s="118" t="s">
        <v>39</v>
      </c>
      <c r="P26" s="115" t="s">
        <v>47</v>
      </c>
    </row>
    <row r="27" spans="1:16" s="119" customFormat="1" x14ac:dyDescent="0.25">
      <c r="A27" s="113" t="s">
        <v>78</v>
      </c>
      <c r="B27" s="114" t="s">
        <v>45</v>
      </c>
      <c r="C27" s="114" t="s">
        <v>45</v>
      </c>
      <c r="D27" s="115" t="s">
        <v>46</v>
      </c>
      <c r="E27" s="116" t="str">
        <f t="shared" si="0"/>
        <v>PFAS-S0-P10-Day20-B:PFOA</v>
      </c>
      <c r="F27" s="115" t="str">
        <f>VLOOKUP(C27,'Task 2b Sample List'!I:K,3,FALSE)</f>
        <v>PFAS-S0-P10-Day20-B</v>
      </c>
      <c r="G27" s="168" t="str">
        <f t="shared" si="2"/>
        <v>PFAS-S0-P10-Day20</v>
      </c>
      <c r="H27" s="115" t="str">
        <f>VLOOKUP(C27,'Task 2b Sample List'!I:L,4,FALSE)</f>
        <v>A</v>
      </c>
      <c r="I27" s="115" t="s">
        <v>242</v>
      </c>
      <c r="J27" s="115">
        <v>0</v>
      </c>
      <c r="K27" s="115">
        <v>10</v>
      </c>
      <c r="L27" s="115">
        <v>20</v>
      </c>
      <c r="M27" s="117" t="s">
        <v>23</v>
      </c>
      <c r="N27" s="115" t="s">
        <v>48</v>
      </c>
      <c r="O27" s="118" t="s">
        <v>39</v>
      </c>
      <c r="P27" s="115" t="s">
        <v>48</v>
      </c>
    </row>
    <row r="28" spans="1:16" s="119" customFormat="1" x14ac:dyDescent="0.25">
      <c r="A28" s="113" t="s">
        <v>78</v>
      </c>
      <c r="B28" s="114" t="s">
        <v>45</v>
      </c>
      <c r="C28" s="114" t="s">
        <v>45</v>
      </c>
      <c r="D28" s="115" t="s">
        <v>46</v>
      </c>
      <c r="E28" s="116" t="str">
        <f t="shared" si="0"/>
        <v>PFAS-S0-P10-Day20-B:PFNA</v>
      </c>
      <c r="F28" s="115" t="str">
        <f>VLOOKUP(C28,'Task 2b Sample List'!I:K,3,FALSE)</f>
        <v>PFAS-S0-P10-Day20-B</v>
      </c>
      <c r="G28" s="168" t="str">
        <f t="shared" si="2"/>
        <v>PFAS-S0-P10-Day20</v>
      </c>
      <c r="H28" s="115" t="str">
        <f>VLOOKUP(C28,'Task 2b Sample List'!I:L,4,FALSE)</f>
        <v>A</v>
      </c>
      <c r="I28" s="115" t="s">
        <v>242</v>
      </c>
      <c r="J28" s="115">
        <v>0</v>
      </c>
      <c r="K28" s="115">
        <v>10</v>
      </c>
      <c r="L28" s="115">
        <v>20</v>
      </c>
      <c r="M28" s="117" t="s">
        <v>24</v>
      </c>
      <c r="N28" s="115" t="s">
        <v>49</v>
      </c>
      <c r="O28" s="118" t="s">
        <v>39</v>
      </c>
      <c r="P28" s="115" t="s">
        <v>49</v>
      </c>
    </row>
    <row r="29" spans="1:16" s="119" customFormat="1" x14ac:dyDescent="0.25">
      <c r="A29" s="113" t="s">
        <v>78</v>
      </c>
      <c r="B29" s="114" t="s">
        <v>45</v>
      </c>
      <c r="C29" s="114" t="s">
        <v>45</v>
      </c>
      <c r="D29" s="115" t="s">
        <v>46</v>
      </c>
      <c r="E29" s="116" t="str">
        <f t="shared" si="0"/>
        <v>PFAS-S0-P10-Day20-B:PFBS</v>
      </c>
      <c r="F29" s="115" t="str">
        <f>VLOOKUP(C29,'Task 2b Sample List'!I:K,3,FALSE)</f>
        <v>PFAS-S0-P10-Day20-B</v>
      </c>
      <c r="G29" s="168" t="str">
        <f t="shared" si="2"/>
        <v>PFAS-S0-P10-Day20</v>
      </c>
      <c r="H29" s="115" t="str">
        <f>VLOOKUP(C29,'Task 2b Sample List'!I:L,4,FALSE)</f>
        <v>A</v>
      </c>
      <c r="I29" s="115" t="s">
        <v>242</v>
      </c>
      <c r="J29" s="115">
        <v>0</v>
      </c>
      <c r="K29" s="115">
        <v>10</v>
      </c>
      <c r="L29" s="115">
        <v>20</v>
      </c>
      <c r="M29" s="117" t="s">
        <v>25</v>
      </c>
      <c r="N29" s="115" t="s">
        <v>50</v>
      </c>
      <c r="O29" s="118" t="s">
        <v>39</v>
      </c>
      <c r="P29" s="115" t="s">
        <v>50</v>
      </c>
    </row>
    <row r="30" spans="1:16" s="119" customFormat="1" x14ac:dyDescent="0.25">
      <c r="A30" s="113" t="s">
        <v>78</v>
      </c>
      <c r="B30" s="114" t="s">
        <v>45</v>
      </c>
      <c r="C30" s="114" t="s">
        <v>45</v>
      </c>
      <c r="D30" s="115" t="s">
        <v>46</v>
      </c>
      <c r="E30" s="116" t="str">
        <f t="shared" si="0"/>
        <v>PFAS-S0-P10-Day20-B:PFOS</v>
      </c>
      <c r="F30" s="115" t="str">
        <f>VLOOKUP(C30,'Task 2b Sample List'!I:K,3,FALSE)</f>
        <v>PFAS-S0-P10-Day20-B</v>
      </c>
      <c r="G30" s="168" t="str">
        <f t="shared" si="2"/>
        <v>PFAS-S0-P10-Day20</v>
      </c>
      <c r="H30" s="115" t="str">
        <f>VLOOKUP(C30,'Task 2b Sample List'!I:L,4,FALSE)</f>
        <v>A</v>
      </c>
      <c r="I30" s="115" t="s">
        <v>242</v>
      </c>
      <c r="J30" s="115">
        <v>0</v>
      </c>
      <c r="K30" s="115">
        <v>10</v>
      </c>
      <c r="L30" s="115">
        <v>20</v>
      </c>
      <c r="M30" s="117" t="s">
        <v>26</v>
      </c>
      <c r="N30" s="115" t="s">
        <v>51</v>
      </c>
      <c r="O30" s="118" t="s">
        <v>39</v>
      </c>
      <c r="P30" s="115" t="s">
        <v>51</v>
      </c>
    </row>
    <row r="31" spans="1:16" s="119" customFormat="1" ht="15.75" thickBot="1" x14ac:dyDescent="0.3">
      <c r="A31" s="113" t="s">
        <v>78</v>
      </c>
      <c r="B31" s="114" t="s">
        <v>45</v>
      </c>
      <c r="C31" s="114" t="s">
        <v>45</v>
      </c>
      <c r="D31" s="115" t="s">
        <v>46</v>
      </c>
      <c r="E31" s="116" t="str">
        <f t="shared" si="0"/>
        <v>PFAS-S0-P10-Day20-B:8:2FTS</v>
      </c>
      <c r="F31" s="115" t="str">
        <f>VLOOKUP(C31,'Task 2b Sample List'!I:K,3,FALSE)</f>
        <v>PFAS-S0-P10-Day20-B</v>
      </c>
      <c r="G31" s="168" t="str">
        <f t="shared" si="2"/>
        <v>PFAS-S0-P10-Day20</v>
      </c>
      <c r="H31" s="115" t="str">
        <f>VLOOKUP(C31,'Task 2b Sample List'!I:L,4,FALSE)</f>
        <v>A</v>
      </c>
      <c r="I31" s="115" t="s">
        <v>242</v>
      </c>
      <c r="J31" s="115">
        <v>0</v>
      </c>
      <c r="K31" s="115">
        <v>10</v>
      </c>
      <c r="L31" s="115">
        <v>20</v>
      </c>
      <c r="M31" s="120" t="s">
        <v>27</v>
      </c>
      <c r="N31" s="115" t="s">
        <v>52</v>
      </c>
      <c r="O31" s="118" t="s">
        <v>39</v>
      </c>
      <c r="P31" s="115" t="s">
        <v>52</v>
      </c>
    </row>
    <row r="32" spans="1:16" s="119" customFormat="1" x14ac:dyDescent="0.25">
      <c r="A32" s="113" t="s">
        <v>78</v>
      </c>
      <c r="B32" s="114" t="s">
        <v>53</v>
      </c>
      <c r="C32" s="114" t="s">
        <v>53</v>
      </c>
      <c r="D32" s="115" t="s">
        <v>54</v>
      </c>
      <c r="E32" s="116" t="str">
        <f t="shared" si="0"/>
        <v>PFAS-S0-P10-Day20-C:PFHxA</v>
      </c>
      <c r="F32" s="115" t="str">
        <f>VLOOKUP(C32,'Task 2b Sample List'!I:K,3,FALSE)</f>
        <v>PFAS-S0-P10-Day20-C</v>
      </c>
      <c r="G32" s="168" t="str">
        <f t="shared" si="2"/>
        <v>PFAS-S0-P10-Day20</v>
      </c>
      <c r="H32" s="115" t="str">
        <f>VLOOKUP(C32,'Task 2b Sample List'!I:L,4,FALSE)</f>
        <v>A</v>
      </c>
      <c r="I32" s="115" t="s">
        <v>242</v>
      </c>
      <c r="J32" s="115">
        <v>0</v>
      </c>
      <c r="K32" s="115">
        <v>10</v>
      </c>
      <c r="L32" s="115">
        <v>20</v>
      </c>
      <c r="M32" s="121" t="s">
        <v>22</v>
      </c>
      <c r="N32" s="115" t="s">
        <v>55</v>
      </c>
      <c r="O32" s="118" t="s">
        <v>39</v>
      </c>
      <c r="P32" s="115" t="s">
        <v>55</v>
      </c>
    </row>
    <row r="33" spans="1:16" s="119" customFormat="1" x14ac:dyDescent="0.25">
      <c r="A33" s="113" t="s">
        <v>78</v>
      </c>
      <c r="B33" s="114" t="s">
        <v>53</v>
      </c>
      <c r="C33" s="114" t="s">
        <v>53</v>
      </c>
      <c r="D33" s="115" t="s">
        <v>54</v>
      </c>
      <c r="E33" s="116" t="str">
        <f t="shared" si="0"/>
        <v>PFAS-S0-P10-Day20-C:PFOA</v>
      </c>
      <c r="F33" s="115" t="str">
        <f>VLOOKUP(C33,'Task 2b Sample List'!I:K,3,FALSE)</f>
        <v>PFAS-S0-P10-Day20-C</v>
      </c>
      <c r="G33" s="168" t="str">
        <f t="shared" si="2"/>
        <v>PFAS-S0-P10-Day20</v>
      </c>
      <c r="H33" s="115" t="str">
        <f>VLOOKUP(C33,'Task 2b Sample List'!I:L,4,FALSE)</f>
        <v>A</v>
      </c>
      <c r="I33" s="115" t="s">
        <v>242</v>
      </c>
      <c r="J33" s="115">
        <v>0</v>
      </c>
      <c r="K33" s="115">
        <v>10</v>
      </c>
      <c r="L33" s="115">
        <v>20</v>
      </c>
      <c r="M33" s="117" t="s">
        <v>23</v>
      </c>
      <c r="N33" s="115" t="s">
        <v>56</v>
      </c>
      <c r="O33" s="118" t="s">
        <v>39</v>
      </c>
      <c r="P33" s="115" t="s">
        <v>56</v>
      </c>
    </row>
    <row r="34" spans="1:16" s="119" customFormat="1" x14ac:dyDescent="0.25">
      <c r="A34" s="113" t="s">
        <v>78</v>
      </c>
      <c r="B34" s="114" t="s">
        <v>53</v>
      </c>
      <c r="C34" s="114" t="s">
        <v>53</v>
      </c>
      <c r="D34" s="115" t="s">
        <v>54</v>
      </c>
      <c r="E34" s="116" t="str">
        <f t="shared" si="0"/>
        <v>PFAS-S0-P10-Day20-C:PFNA</v>
      </c>
      <c r="F34" s="115" t="str">
        <f>VLOOKUP(C34,'Task 2b Sample List'!I:K,3,FALSE)</f>
        <v>PFAS-S0-P10-Day20-C</v>
      </c>
      <c r="G34" s="168" t="str">
        <f t="shared" si="2"/>
        <v>PFAS-S0-P10-Day20</v>
      </c>
      <c r="H34" s="115" t="str">
        <f>VLOOKUP(C34,'Task 2b Sample List'!I:L,4,FALSE)</f>
        <v>A</v>
      </c>
      <c r="I34" s="115" t="s">
        <v>242</v>
      </c>
      <c r="J34" s="115">
        <v>0</v>
      </c>
      <c r="K34" s="115">
        <v>10</v>
      </c>
      <c r="L34" s="115">
        <v>20</v>
      </c>
      <c r="M34" s="117" t="s">
        <v>24</v>
      </c>
      <c r="N34" s="115" t="s">
        <v>57</v>
      </c>
      <c r="O34" s="118" t="s">
        <v>39</v>
      </c>
      <c r="P34" s="115" t="s">
        <v>57</v>
      </c>
    </row>
    <row r="35" spans="1:16" s="119" customFormat="1" x14ac:dyDescent="0.25">
      <c r="A35" s="113" t="s">
        <v>78</v>
      </c>
      <c r="B35" s="114" t="s">
        <v>53</v>
      </c>
      <c r="C35" s="114" t="s">
        <v>53</v>
      </c>
      <c r="D35" s="115" t="s">
        <v>54</v>
      </c>
      <c r="E35" s="116" t="str">
        <f t="shared" si="0"/>
        <v>PFAS-S0-P10-Day20-C:PFBS</v>
      </c>
      <c r="F35" s="115" t="str">
        <f>VLOOKUP(C35,'Task 2b Sample List'!I:K,3,FALSE)</f>
        <v>PFAS-S0-P10-Day20-C</v>
      </c>
      <c r="G35" s="168" t="str">
        <f t="shared" si="2"/>
        <v>PFAS-S0-P10-Day20</v>
      </c>
      <c r="H35" s="115" t="str">
        <f>VLOOKUP(C35,'Task 2b Sample List'!I:L,4,FALSE)</f>
        <v>A</v>
      </c>
      <c r="I35" s="115" t="s">
        <v>242</v>
      </c>
      <c r="J35" s="115">
        <v>0</v>
      </c>
      <c r="K35" s="115">
        <v>10</v>
      </c>
      <c r="L35" s="115">
        <v>20</v>
      </c>
      <c r="M35" s="117" t="s">
        <v>25</v>
      </c>
      <c r="N35" s="115" t="s">
        <v>58</v>
      </c>
      <c r="O35" s="118" t="s">
        <v>39</v>
      </c>
      <c r="P35" s="115" t="s">
        <v>58</v>
      </c>
    </row>
    <row r="36" spans="1:16" s="119" customFormat="1" x14ac:dyDescent="0.25">
      <c r="A36" s="113" t="s">
        <v>78</v>
      </c>
      <c r="B36" s="114" t="s">
        <v>53</v>
      </c>
      <c r="C36" s="114" t="s">
        <v>53</v>
      </c>
      <c r="D36" s="115" t="s">
        <v>54</v>
      </c>
      <c r="E36" s="116" t="str">
        <f t="shared" si="0"/>
        <v>PFAS-S0-P10-Day20-C:PFOS</v>
      </c>
      <c r="F36" s="115" t="str">
        <f>VLOOKUP(C36,'Task 2b Sample List'!I:K,3,FALSE)</f>
        <v>PFAS-S0-P10-Day20-C</v>
      </c>
      <c r="G36" s="168" t="str">
        <f t="shared" si="2"/>
        <v>PFAS-S0-P10-Day20</v>
      </c>
      <c r="H36" s="115" t="str">
        <f>VLOOKUP(C36,'Task 2b Sample List'!I:L,4,FALSE)</f>
        <v>A</v>
      </c>
      <c r="I36" s="115" t="s">
        <v>242</v>
      </c>
      <c r="J36" s="115">
        <v>0</v>
      </c>
      <c r="K36" s="115">
        <v>10</v>
      </c>
      <c r="L36" s="115">
        <v>20</v>
      </c>
      <c r="M36" s="117" t="s">
        <v>26</v>
      </c>
      <c r="N36" s="115" t="s">
        <v>59</v>
      </c>
      <c r="O36" s="118" t="s">
        <v>39</v>
      </c>
      <c r="P36" s="115" t="s">
        <v>59</v>
      </c>
    </row>
    <row r="37" spans="1:16" s="119" customFormat="1" ht="15.75" thickBot="1" x14ac:dyDescent="0.3">
      <c r="A37" s="113" t="s">
        <v>78</v>
      </c>
      <c r="B37" s="114" t="s">
        <v>53</v>
      </c>
      <c r="C37" s="114" t="s">
        <v>53</v>
      </c>
      <c r="D37" s="115" t="s">
        <v>54</v>
      </c>
      <c r="E37" s="116" t="str">
        <f t="shared" si="0"/>
        <v>PFAS-S0-P10-Day20-C:8:2FTS</v>
      </c>
      <c r="F37" s="115" t="str">
        <f>VLOOKUP(C37,'Task 2b Sample List'!I:K,3,FALSE)</f>
        <v>PFAS-S0-P10-Day20-C</v>
      </c>
      <c r="G37" s="168" t="str">
        <f t="shared" si="2"/>
        <v>PFAS-S0-P10-Day20</v>
      </c>
      <c r="H37" s="115" t="str">
        <f>VLOOKUP(C37,'Task 2b Sample List'!I:L,4,FALSE)</f>
        <v>A</v>
      </c>
      <c r="I37" s="115" t="s">
        <v>242</v>
      </c>
      <c r="J37" s="115">
        <v>0</v>
      </c>
      <c r="K37" s="115">
        <v>10</v>
      </c>
      <c r="L37" s="115">
        <v>20</v>
      </c>
      <c r="M37" s="120" t="s">
        <v>27</v>
      </c>
      <c r="N37" s="115" t="s">
        <v>60</v>
      </c>
      <c r="O37" s="118" t="s">
        <v>39</v>
      </c>
      <c r="P37" s="115" t="s">
        <v>60</v>
      </c>
    </row>
    <row r="38" spans="1:16" s="119" customFormat="1" x14ac:dyDescent="0.25">
      <c r="A38" s="113" t="s">
        <v>78</v>
      </c>
      <c r="B38" s="114" t="s">
        <v>61</v>
      </c>
      <c r="C38" s="114" t="s">
        <v>61</v>
      </c>
      <c r="D38" s="115" t="s">
        <v>62</v>
      </c>
      <c r="E38" s="116" t="str">
        <f t="shared" si="0"/>
        <v>PFAS-S0-P50-Day20-A:PFHxA</v>
      </c>
      <c r="F38" s="115" t="str">
        <f>VLOOKUP(C38,'Task 2b Sample List'!I:K,3,FALSE)</f>
        <v>PFAS-S0-P50-Day20-A</v>
      </c>
      <c r="G38" s="168" t="str">
        <f t="shared" si="2"/>
        <v>PFAS-S0-P50-Day20</v>
      </c>
      <c r="H38" s="115" t="str">
        <f>VLOOKUP(C38,'Task 2b Sample List'!I:L,4,FALSE)</f>
        <v>A</v>
      </c>
      <c r="I38" s="115" t="s">
        <v>242</v>
      </c>
      <c r="J38" s="115">
        <v>0</v>
      </c>
      <c r="K38" s="115">
        <v>50</v>
      </c>
      <c r="L38" s="115">
        <v>20</v>
      </c>
      <c r="M38" s="121" t="s">
        <v>22</v>
      </c>
      <c r="N38" s="115" t="s">
        <v>63</v>
      </c>
      <c r="O38" s="118" t="s">
        <v>39</v>
      </c>
      <c r="P38" s="115" t="s">
        <v>63</v>
      </c>
    </row>
    <row r="39" spans="1:16" s="119" customFormat="1" x14ac:dyDescent="0.25">
      <c r="A39" s="113" t="s">
        <v>78</v>
      </c>
      <c r="B39" s="114" t="s">
        <v>61</v>
      </c>
      <c r="C39" s="114" t="s">
        <v>61</v>
      </c>
      <c r="D39" s="115" t="s">
        <v>62</v>
      </c>
      <c r="E39" s="116" t="str">
        <f t="shared" si="0"/>
        <v>PFAS-S0-P50-Day20-A:PFOA</v>
      </c>
      <c r="F39" s="115" t="str">
        <f>VLOOKUP(C39,'Task 2b Sample List'!I:K,3,FALSE)</f>
        <v>PFAS-S0-P50-Day20-A</v>
      </c>
      <c r="G39" s="168" t="str">
        <f t="shared" si="2"/>
        <v>PFAS-S0-P50-Day20</v>
      </c>
      <c r="H39" s="115" t="str">
        <f>VLOOKUP(C39,'Task 2b Sample List'!I:L,4,FALSE)</f>
        <v>A</v>
      </c>
      <c r="I39" s="115" t="s">
        <v>242</v>
      </c>
      <c r="J39" s="115">
        <v>0</v>
      </c>
      <c r="K39" s="115">
        <v>50</v>
      </c>
      <c r="L39" s="115">
        <v>20</v>
      </c>
      <c r="M39" s="117" t="s">
        <v>23</v>
      </c>
      <c r="N39" s="115" t="s">
        <v>64</v>
      </c>
      <c r="O39" s="118" t="s">
        <v>39</v>
      </c>
      <c r="P39" s="115" t="s">
        <v>64</v>
      </c>
    </row>
    <row r="40" spans="1:16" s="119" customFormat="1" x14ac:dyDescent="0.25">
      <c r="A40" s="113" t="s">
        <v>78</v>
      </c>
      <c r="B40" s="114" t="s">
        <v>61</v>
      </c>
      <c r="C40" s="114" t="s">
        <v>61</v>
      </c>
      <c r="D40" s="115" t="s">
        <v>62</v>
      </c>
      <c r="E40" s="116" t="str">
        <f t="shared" si="0"/>
        <v>PFAS-S0-P50-Day20-A:PFNA</v>
      </c>
      <c r="F40" s="115" t="str">
        <f>VLOOKUP(C40,'Task 2b Sample List'!I:K,3,FALSE)</f>
        <v>PFAS-S0-P50-Day20-A</v>
      </c>
      <c r="G40" s="168" t="str">
        <f t="shared" si="2"/>
        <v>PFAS-S0-P50-Day20</v>
      </c>
      <c r="H40" s="115" t="str">
        <f>VLOOKUP(C40,'Task 2b Sample List'!I:L,4,FALSE)</f>
        <v>A</v>
      </c>
      <c r="I40" s="115" t="s">
        <v>242</v>
      </c>
      <c r="J40" s="115">
        <v>0</v>
      </c>
      <c r="K40" s="115">
        <v>50</v>
      </c>
      <c r="L40" s="115">
        <v>20</v>
      </c>
      <c r="M40" s="117" t="s">
        <v>24</v>
      </c>
      <c r="N40" s="115" t="s">
        <v>65</v>
      </c>
      <c r="O40" s="118" t="s">
        <v>39</v>
      </c>
      <c r="P40" s="115" t="s">
        <v>65</v>
      </c>
    </row>
    <row r="41" spans="1:16" s="119" customFormat="1" x14ac:dyDescent="0.25">
      <c r="A41" s="113" t="s">
        <v>78</v>
      </c>
      <c r="B41" s="114" t="s">
        <v>61</v>
      </c>
      <c r="C41" s="114" t="s">
        <v>61</v>
      </c>
      <c r="D41" s="115" t="s">
        <v>62</v>
      </c>
      <c r="E41" s="116" t="str">
        <f t="shared" si="0"/>
        <v>PFAS-S0-P50-Day20-A:PFBS</v>
      </c>
      <c r="F41" s="115" t="str">
        <f>VLOOKUP(C41,'Task 2b Sample List'!I:K,3,FALSE)</f>
        <v>PFAS-S0-P50-Day20-A</v>
      </c>
      <c r="G41" s="168" t="str">
        <f t="shared" si="2"/>
        <v>PFAS-S0-P50-Day20</v>
      </c>
      <c r="H41" s="115" t="str">
        <f>VLOOKUP(C41,'Task 2b Sample List'!I:L,4,FALSE)</f>
        <v>A</v>
      </c>
      <c r="I41" s="115" t="s">
        <v>242</v>
      </c>
      <c r="J41" s="115">
        <v>0</v>
      </c>
      <c r="K41" s="115">
        <v>50</v>
      </c>
      <c r="L41" s="115">
        <v>20</v>
      </c>
      <c r="M41" s="117" t="s">
        <v>25</v>
      </c>
      <c r="N41" s="115" t="s">
        <v>66</v>
      </c>
      <c r="O41" s="118" t="s">
        <v>39</v>
      </c>
      <c r="P41" s="115" t="s">
        <v>66</v>
      </c>
    </row>
    <row r="42" spans="1:16" s="119" customFormat="1" x14ac:dyDescent="0.25">
      <c r="A42" s="113" t="s">
        <v>78</v>
      </c>
      <c r="B42" s="114" t="s">
        <v>61</v>
      </c>
      <c r="C42" s="114" t="s">
        <v>61</v>
      </c>
      <c r="D42" s="115" t="s">
        <v>62</v>
      </c>
      <c r="E42" s="116" t="str">
        <f t="shared" si="0"/>
        <v>PFAS-S0-P50-Day20-A:PFOS</v>
      </c>
      <c r="F42" s="115" t="str">
        <f>VLOOKUP(C42,'Task 2b Sample List'!I:K,3,FALSE)</f>
        <v>PFAS-S0-P50-Day20-A</v>
      </c>
      <c r="G42" s="168" t="str">
        <f t="shared" si="2"/>
        <v>PFAS-S0-P50-Day20</v>
      </c>
      <c r="H42" s="115" t="str">
        <f>VLOOKUP(C42,'Task 2b Sample List'!I:L,4,FALSE)</f>
        <v>A</v>
      </c>
      <c r="I42" s="115" t="s">
        <v>242</v>
      </c>
      <c r="J42" s="115">
        <v>0</v>
      </c>
      <c r="K42" s="115">
        <v>50</v>
      </c>
      <c r="L42" s="115">
        <v>20</v>
      </c>
      <c r="M42" s="117" t="s">
        <v>26</v>
      </c>
      <c r="N42" s="115" t="s">
        <v>67</v>
      </c>
      <c r="O42" s="118" t="s">
        <v>39</v>
      </c>
      <c r="P42" s="115" t="s">
        <v>67</v>
      </c>
    </row>
    <row r="43" spans="1:16" s="119" customFormat="1" ht="15.75" thickBot="1" x14ac:dyDescent="0.3">
      <c r="A43" s="113" t="s">
        <v>78</v>
      </c>
      <c r="B43" s="114" t="s">
        <v>61</v>
      </c>
      <c r="C43" s="114" t="s">
        <v>61</v>
      </c>
      <c r="D43" s="115" t="s">
        <v>62</v>
      </c>
      <c r="E43" s="116" t="str">
        <f t="shared" si="0"/>
        <v>PFAS-S0-P50-Day20-A:8:2FTS</v>
      </c>
      <c r="F43" s="115" t="str">
        <f>VLOOKUP(C43,'Task 2b Sample List'!I:K,3,FALSE)</f>
        <v>PFAS-S0-P50-Day20-A</v>
      </c>
      <c r="G43" s="168" t="str">
        <f t="shared" si="2"/>
        <v>PFAS-S0-P50-Day20</v>
      </c>
      <c r="H43" s="115" t="str">
        <f>VLOOKUP(C43,'Task 2b Sample List'!I:L,4,FALSE)</f>
        <v>A</v>
      </c>
      <c r="I43" s="115" t="s">
        <v>242</v>
      </c>
      <c r="J43" s="115">
        <v>0</v>
      </c>
      <c r="K43" s="115">
        <v>50</v>
      </c>
      <c r="L43" s="115">
        <v>20</v>
      </c>
      <c r="M43" s="120" t="s">
        <v>27</v>
      </c>
      <c r="N43" s="115" t="s">
        <v>68</v>
      </c>
      <c r="O43" s="118" t="s">
        <v>39</v>
      </c>
      <c r="P43" s="115" t="s">
        <v>68</v>
      </c>
    </row>
    <row r="44" spans="1:16" s="119" customFormat="1" x14ac:dyDescent="0.25">
      <c r="A44" s="113" t="s">
        <v>78</v>
      </c>
      <c r="B44" s="114" t="s">
        <v>69</v>
      </c>
      <c r="C44" s="114" t="s">
        <v>69</v>
      </c>
      <c r="D44" s="115" t="s">
        <v>70</v>
      </c>
      <c r="E44" s="116" t="str">
        <f t="shared" si="0"/>
        <v>PFAS-S0-P50-Day20-B:PFHxA</v>
      </c>
      <c r="F44" s="115" t="str">
        <f>VLOOKUP(C44,'Task 2b Sample List'!I:K,3,FALSE)</f>
        <v>PFAS-S0-P50-Day20-B</v>
      </c>
      <c r="G44" s="168" t="str">
        <f t="shared" si="2"/>
        <v>PFAS-S0-P50-Day20</v>
      </c>
      <c r="H44" s="115" t="str">
        <f>VLOOKUP(C44,'Task 2b Sample List'!I:L,4,FALSE)</f>
        <v>A</v>
      </c>
      <c r="I44" s="115" t="s">
        <v>242</v>
      </c>
      <c r="J44" s="115">
        <v>0</v>
      </c>
      <c r="K44" s="115">
        <v>50</v>
      </c>
      <c r="L44" s="115">
        <v>20</v>
      </c>
      <c r="M44" s="121" t="s">
        <v>22</v>
      </c>
      <c r="N44" s="115" t="s">
        <v>71</v>
      </c>
      <c r="O44" s="118" t="s">
        <v>39</v>
      </c>
      <c r="P44" s="115" t="s">
        <v>71</v>
      </c>
    </row>
    <row r="45" spans="1:16" s="119" customFormat="1" x14ac:dyDescent="0.25">
      <c r="A45" s="113" t="s">
        <v>78</v>
      </c>
      <c r="B45" s="114" t="s">
        <v>69</v>
      </c>
      <c r="C45" s="114" t="s">
        <v>69</v>
      </c>
      <c r="D45" s="115" t="s">
        <v>70</v>
      </c>
      <c r="E45" s="116" t="str">
        <f t="shared" si="0"/>
        <v>PFAS-S0-P50-Day20-B:PFOA</v>
      </c>
      <c r="F45" s="115" t="str">
        <f>VLOOKUP(C45,'Task 2b Sample List'!I:K,3,FALSE)</f>
        <v>PFAS-S0-P50-Day20-B</v>
      </c>
      <c r="G45" s="168" t="str">
        <f t="shared" si="2"/>
        <v>PFAS-S0-P50-Day20</v>
      </c>
      <c r="H45" s="115" t="str">
        <f>VLOOKUP(C45,'Task 2b Sample List'!I:L,4,FALSE)</f>
        <v>A</v>
      </c>
      <c r="I45" s="115" t="s">
        <v>242</v>
      </c>
      <c r="J45" s="115">
        <v>0</v>
      </c>
      <c r="K45" s="115">
        <v>50</v>
      </c>
      <c r="L45" s="115">
        <v>20</v>
      </c>
      <c r="M45" s="117" t="s">
        <v>23</v>
      </c>
      <c r="N45" s="115" t="s">
        <v>72</v>
      </c>
      <c r="O45" s="118" t="s">
        <v>39</v>
      </c>
      <c r="P45" s="115" t="s">
        <v>72</v>
      </c>
    </row>
    <row r="46" spans="1:16" s="119" customFormat="1" x14ac:dyDescent="0.25">
      <c r="A46" s="113" t="s">
        <v>78</v>
      </c>
      <c r="B46" s="114" t="s">
        <v>69</v>
      </c>
      <c r="C46" s="114" t="s">
        <v>69</v>
      </c>
      <c r="D46" s="115" t="s">
        <v>70</v>
      </c>
      <c r="E46" s="116" t="str">
        <f t="shared" si="0"/>
        <v>PFAS-S0-P50-Day20-B:PFNA</v>
      </c>
      <c r="F46" s="115" t="str">
        <f>VLOOKUP(C46,'Task 2b Sample List'!I:K,3,FALSE)</f>
        <v>PFAS-S0-P50-Day20-B</v>
      </c>
      <c r="G46" s="168" t="str">
        <f t="shared" si="2"/>
        <v>PFAS-S0-P50-Day20</v>
      </c>
      <c r="H46" s="115" t="str">
        <f>VLOOKUP(C46,'Task 2b Sample List'!I:L,4,FALSE)</f>
        <v>A</v>
      </c>
      <c r="I46" s="115" t="s">
        <v>242</v>
      </c>
      <c r="J46" s="115">
        <v>0</v>
      </c>
      <c r="K46" s="115">
        <v>50</v>
      </c>
      <c r="L46" s="115">
        <v>20</v>
      </c>
      <c r="M46" s="117" t="s">
        <v>24</v>
      </c>
      <c r="N46" s="115" t="s">
        <v>73</v>
      </c>
      <c r="O46" s="118" t="s">
        <v>39</v>
      </c>
      <c r="P46" s="115" t="s">
        <v>73</v>
      </c>
    </row>
    <row r="47" spans="1:16" s="119" customFormat="1" x14ac:dyDescent="0.25">
      <c r="A47" s="113" t="s">
        <v>78</v>
      </c>
      <c r="B47" s="114" t="s">
        <v>69</v>
      </c>
      <c r="C47" s="114" t="s">
        <v>69</v>
      </c>
      <c r="D47" s="115" t="s">
        <v>70</v>
      </c>
      <c r="E47" s="116" t="str">
        <f t="shared" si="0"/>
        <v>PFAS-S0-P50-Day20-B:PFBS</v>
      </c>
      <c r="F47" s="115" t="str">
        <f>VLOOKUP(C47,'Task 2b Sample List'!I:K,3,FALSE)</f>
        <v>PFAS-S0-P50-Day20-B</v>
      </c>
      <c r="G47" s="168" t="str">
        <f t="shared" si="2"/>
        <v>PFAS-S0-P50-Day20</v>
      </c>
      <c r="H47" s="115" t="str">
        <f>VLOOKUP(C47,'Task 2b Sample List'!I:L,4,FALSE)</f>
        <v>A</v>
      </c>
      <c r="I47" s="115" t="s">
        <v>242</v>
      </c>
      <c r="J47" s="115">
        <v>0</v>
      </c>
      <c r="K47" s="115">
        <v>50</v>
      </c>
      <c r="L47" s="115">
        <v>20</v>
      </c>
      <c r="M47" s="117" t="s">
        <v>25</v>
      </c>
      <c r="N47" s="115" t="s">
        <v>74</v>
      </c>
      <c r="O47" s="118" t="s">
        <v>39</v>
      </c>
      <c r="P47" s="115" t="s">
        <v>74</v>
      </c>
    </row>
    <row r="48" spans="1:16" s="119" customFormat="1" x14ac:dyDescent="0.25">
      <c r="A48" s="113" t="s">
        <v>78</v>
      </c>
      <c r="B48" s="114" t="s">
        <v>69</v>
      </c>
      <c r="C48" s="114" t="s">
        <v>69</v>
      </c>
      <c r="D48" s="115" t="s">
        <v>70</v>
      </c>
      <c r="E48" s="116" t="str">
        <f t="shared" si="0"/>
        <v>PFAS-S0-P50-Day20-B:PFOS</v>
      </c>
      <c r="F48" s="115" t="str">
        <f>VLOOKUP(C48,'Task 2b Sample List'!I:K,3,FALSE)</f>
        <v>PFAS-S0-P50-Day20-B</v>
      </c>
      <c r="G48" s="168" t="str">
        <f t="shared" si="2"/>
        <v>PFAS-S0-P50-Day20</v>
      </c>
      <c r="H48" s="115" t="str">
        <f>VLOOKUP(C48,'Task 2b Sample List'!I:L,4,FALSE)</f>
        <v>A</v>
      </c>
      <c r="I48" s="115" t="s">
        <v>242</v>
      </c>
      <c r="J48" s="115">
        <v>0</v>
      </c>
      <c r="K48" s="115">
        <v>50</v>
      </c>
      <c r="L48" s="115">
        <v>20</v>
      </c>
      <c r="M48" s="117" t="s">
        <v>26</v>
      </c>
      <c r="N48" s="115" t="s">
        <v>75</v>
      </c>
      <c r="O48" s="118" t="s">
        <v>39</v>
      </c>
      <c r="P48" s="115" t="s">
        <v>75</v>
      </c>
    </row>
    <row r="49" spans="1:16" s="119" customFormat="1" ht="15.75" thickBot="1" x14ac:dyDescent="0.3">
      <c r="A49" s="113" t="s">
        <v>78</v>
      </c>
      <c r="B49" s="114" t="s">
        <v>69</v>
      </c>
      <c r="C49" s="114" t="s">
        <v>69</v>
      </c>
      <c r="D49" s="115" t="s">
        <v>70</v>
      </c>
      <c r="E49" s="116" t="str">
        <f t="shared" si="0"/>
        <v>PFAS-S0-P50-Day20-B:8:2FTS</v>
      </c>
      <c r="F49" s="115" t="str">
        <f>VLOOKUP(C49,'Task 2b Sample List'!I:K,3,FALSE)</f>
        <v>PFAS-S0-P50-Day20-B</v>
      </c>
      <c r="G49" s="168" t="str">
        <f t="shared" si="2"/>
        <v>PFAS-S0-P50-Day20</v>
      </c>
      <c r="H49" s="115" t="str">
        <f>VLOOKUP(C49,'Task 2b Sample List'!I:L,4,FALSE)</f>
        <v>A</v>
      </c>
      <c r="I49" s="115" t="s">
        <v>242</v>
      </c>
      <c r="J49" s="115">
        <v>0</v>
      </c>
      <c r="K49" s="115">
        <v>50</v>
      </c>
      <c r="L49" s="115">
        <v>20</v>
      </c>
      <c r="M49" s="120" t="s">
        <v>27</v>
      </c>
      <c r="N49" s="115" t="s">
        <v>76</v>
      </c>
      <c r="O49" s="118" t="s">
        <v>39</v>
      </c>
      <c r="P49" s="115" t="s">
        <v>76</v>
      </c>
    </row>
    <row r="50" spans="1:16" s="119" customFormat="1" x14ac:dyDescent="0.25">
      <c r="A50" s="113" t="s">
        <v>78</v>
      </c>
      <c r="B50" s="114" t="s">
        <v>84</v>
      </c>
      <c r="C50" s="114" t="s">
        <v>84</v>
      </c>
      <c r="D50" s="115" t="s">
        <v>85</v>
      </c>
      <c r="E50" s="116" t="str">
        <f t="shared" si="0"/>
        <v>PFAS-S0-P50-Day20-C:PFHxA</v>
      </c>
      <c r="F50" s="115" t="str">
        <f>VLOOKUP(C50,'Task 2b Sample List'!I:K,3,FALSE)</f>
        <v>PFAS-S0-P50-Day20-C</v>
      </c>
      <c r="G50" s="168" t="str">
        <f t="shared" si="2"/>
        <v>PFAS-S0-P50-Day20</v>
      </c>
      <c r="H50" s="115" t="str">
        <f>VLOOKUP(C50,'Task 2b Sample List'!I:L,4,FALSE)</f>
        <v>A</v>
      </c>
      <c r="I50" s="115" t="s">
        <v>242</v>
      </c>
      <c r="J50" s="115">
        <v>0</v>
      </c>
      <c r="K50" s="115">
        <v>50</v>
      </c>
      <c r="L50" s="115">
        <v>20</v>
      </c>
      <c r="M50" s="121" t="s">
        <v>22</v>
      </c>
      <c r="N50" s="115" t="s">
        <v>86</v>
      </c>
      <c r="O50" s="118" t="s">
        <v>39</v>
      </c>
      <c r="P50" s="115" t="s">
        <v>86</v>
      </c>
    </row>
    <row r="51" spans="1:16" s="119" customFormat="1" x14ac:dyDescent="0.25">
      <c r="A51" s="113" t="s">
        <v>78</v>
      </c>
      <c r="B51" s="114" t="s">
        <v>84</v>
      </c>
      <c r="C51" s="114" t="s">
        <v>84</v>
      </c>
      <c r="D51" s="115" t="s">
        <v>85</v>
      </c>
      <c r="E51" s="116" t="str">
        <f t="shared" si="0"/>
        <v>PFAS-S0-P50-Day20-C:PFOA</v>
      </c>
      <c r="F51" s="115" t="str">
        <f>VLOOKUP(C51,'Task 2b Sample List'!I:K,3,FALSE)</f>
        <v>PFAS-S0-P50-Day20-C</v>
      </c>
      <c r="G51" s="168" t="str">
        <f t="shared" si="2"/>
        <v>PFAS-S0-P50-Day20</v>
      </c>
      <c r="H51" s="115" t="str">
        <f>VLOOKUP(C51,'Task 2b Sample List'!I:L,4,FALSE)</f>
        <v>A</v>
      </c>
      <c r="I51" s="115" t="s">
        <v>242</v>
      </c>
      <c r="J51" s="115">
        <v>0</v>
      </c>
      <c r="K51" s="115">
        <v>50</v>
      </c>
      <c r="L51" s="115">
        <v>20</v>
      </c>
      <c r="M51" s="117" t="s">
        <v>23</v>
      </c>
      <c r="N51" s="115" t="s">
        <v>87</v>
      </c>
      <c r="O51" s="118" t="s">
        <v>39</v>
      </c>
      <c r="P51" s="115" t="s">
        <v>87</v>
      </c>
    </row>
    <row r="52" spans="1:16" s="119" customFormat="1" x14ac:dyDescent="0.25">
      <c r="A52" s="113" t="s">
        <v>78</v>
      </c>
      <c r="B52" s="114" t="s">
        <v>84</v>
      </c>
      <c r="C52" s="114" t="s">
        <v>84</v>
      </c>
      <c r="D52" s="115" t="s">
        <v>85</v>
      </c>
      <c r="E52" s="116" t="str">
        <f t="shared" si="0"/>
        <v>PFAS-S0-P50-Day20-C:PFNA</v>
      </c>
      <c r="F52" s="115" t="str">
        <f>VLOOKUP(C52,'Task 2b Sample List'!I:K,3,FALSE)</f>
        <v>PFAS-S0-P50-Day20-C</v>
      </c>
      <c r="G52" s="168" t="str">
        <f t="shared" si="2"/>
        <v>PFAS-S0-P50-Day20</v>
      </c>
      <c r="H52" s="115" t="str">
        <f>VLOOKUP(C52,'Task 2b Sample List'!I:L,4,FALSE)</f>
        <v>A</v>
      </c>
      <c r="I52" s="115" t="s">
        <v>242</v>
      </c>
      <c r="J52" s="115">
        <v>0</v>
      </c>
      <c r="K52" s="115">
        <v>50</v>
      </c>
      <c r="L52" s="115">
        <v>20</v>
      </c>
      <c r="M52" s="117" t="s">
        <v>24</v>
      </c>
      <c r="N52" s="115" t="s">
        <v>88</v>
      </c>
      <c r="O52" s="118" t="s">
        <v>39</v>
      </c>
      <c r="P52" s="115" t="s">
        <v>88</v>
      </c>
    </row>
    <row r="53" spans="1:16" s="119" customFormat="1" x14ac:dyDescent="0.25">
      <c r="A53" s="113" t="s">
        <v>78</v>
      </c>
      <c r="B53" s="114" t="s">
        <v>84</v>
      </c>
      <c r="C53" s="114" t="s">
        <v>84</v>
      </c>
      <c r="D53" s="115" t="s">
        <v>85</v>
      </c>
      <c r="E53" s="116" t="str">
        <f t="shared" si="0"/>
        <v>PFAS-S0-P50-Day20-C:PFBS</v>
      </c>
      <c r="F53" s="115" t="str">
        <f>VLOOKUP(C53,'Task 2b Sample List'!I:K,3,FALSE)</f>
        <v>PFAS-S0-P50-Day20-C</v>
      </c>
      <c r="G53" s="168" t="str">
        <f t="shared" si="2"/>
        <v>PFAS-S0-P50-Day20</v>
      </c>
      <c r="H53" s="115" t="str">
        <f>VLOOKUP(C53,'Task 2b Sample List'!I:L,4,FALSE)</f>
        <v>A</v>
      </c>
      <c r="I53" s="115" t="s">
        <v>242</v>
      </c>
      <c r="J53" s="115">
        <v>0</v>
      </c>
      <c r="K53" s="115">
        <v>50</v>
      </c>
      <c r="L53" s="115">
        <v>20</v>
      </c>
      <c r="M53" s="117" t="s">
        <v>25</v>
      </c>
      <c r="N53" s="115" t="s">
        <v>74</v>
      </c>
      <c r="O53" s="118" t="s">
        <v>39</v>
      </c>
      <c r="P53" s="115" t="s">
        <v>74</v>
      </c>
    </row>
    <row r="54" spans="1:16" s="119" customFormat="1" x14ac:dyDescent="0.25">
      <c r="A54" s="113" t="s">
        <v>78</v>
      </c>
      <c r="B54" s="114" t="s">
        <v>84</v>
      </c>
      <c r="C54" s="114" t="s">
        <v>84</v>
      </c>
      <c r="D54" s="115" t="s">
        <v>85</v>
      </c>
      <c r="E54" s="116" t="str">
        <f t="shared" si="0"/>
        <v>PFAS-S0-P50-Day20-C:PFOS</v>
      </c>
      <c r="F54" s="115" t="str">
        <f>VLOOKUP(C54,'Task 2b Sample List'!I:K,3,FALSE)</f>
        <v>PFAS-S0-P50-Day20-C</v>
      </c>
      <c r="G54" s="168" t="str">
        <f t="shared" si="2"/>
        <v>PFAS-S0-P50-Day20</v>
      </c>
      <c r="H54" s="115" t="str">
        <f>VLOOKUP(C54,'Task 2b Sample List'!I:L,4,FALSE)</f>
        <v>A</v>
      </c>
      <c r="I54" s="115" t="s">
        <v>242</v>
      </c>
      <c r="J54" s="115">
        <v>0</v>
      </c>
      <c r="K54" s="115">
        <v>50</v>
      </c>
      <c r="L54" s="115">
        <v>20</v>
      </c>
      <c r="M54" s="117" t="s">
        <v>26</v>
      </c>
      <c r="N54" s="115" t="s">
        <v>89</v>
      </c>
      <c r="O54" s="118" t="s">
        <v>39</v>
      </c>
      <c r="P54" s="115" t="s">
        <v>89</v>
      </c>
    </row>
    <row r="55" spans="1:16" s="119" customFormat="1" ht="15.75" thickBot="1" x14ac:dyDescent="0.3">
      <c r="A55" s="113" t="s">
        <v>78</v>
      </c>
      <c r="B55" s="114" t="s">
        <v>84</v>
      </c>
      <c r="C55" s="114" t="s">
        <v>84</v>
      </c>
      <c r="D55" s="115" t="s">
        <v>85</v>
      </c>
      <c r="E55" s="116" t="str">
        <f t="shared" si="0"/>
        <v>PFAS-S0-P50-Day20-C:8:2FTS</v>
      </c>
      <c r="F55" s="115" t="str">
        <f>VLOOKUP(C55,'Task 2b Sample List'!I:K,3,FALSE)</f>
        <v>PFAS-S0-P50-Day20-C</v>
      </c>
      <c r="G55" s="168" t="str">
        <f t="shared" si="2"/>
        <v>PFAS-S0-P50-Day20</v>
      </c>
      <c r="H55" s="115" t="str">
        <f>VLOOKUP(C55,'Task 2b Sample List'!I:L,4,FALSE)</f>
        <v>A</v>
      </c>
      <c r="I55" s="115" t="s">
        <v>242</v>
      </c>
      <c r="J55" s="115">
        <v>0</v>
      </c>
      <c r="K55" s="115">
        <v>50</v>
      </c>
      <c r="L55" s="115">
        <v>20</v>
      </c>
      <c r="M55" s="120" t="s">
        <v>27</v>
      </c>
      <c r="N55" s="115" t="s">
        <v>90</v>
      </c>
      <c r="O55" s="118" t="s">
        <v>39</v>
      </c>
      <c r="P55" s="115" t="s">
        <v>90</v>
      </c>
    </row>
    <row r="56" spans="1:16" s="119" customFormat="1" x14ac:dyDescent="0.25">
      <c r="A56" s="113" t="s">
        <v>78</v>
      </c>
      <c r="B56" s="114" t="s">
        <v>91</v>
      </c>
      <c r="C56" s="114" t="s">
        <v>91</v>
      </c>
      <c r="D56" s="115" t="s">
        <v>92</v>
      </c>
      <c r="E56" s="116" t="str">
        <f>F56&amp;":"&amp;M56</f>
        <v>PFAS-S0-P100-Day20-A:PFHxA</v>
      </c>
      <c r="F56" s="115" t="str">
        <f>VLOOKUP(C56,'Task 2b Sample List'!I:K,3,FALSE)</f>
        <v>PFAS-S0-P100-Day20-A</v>
      </c>
      <c r="G56" s="168" t="str">
        <f>LEFT(F56,18)</f>
        <v>PFAS-S0-P100-Day20</v>
      </c>
      <c r="H56" s="115" t="str">
        <f>VLOOKUP(C56,'Task 2b Sample List'!I:L,4,FALSE)</f>
        <v>B</v>
      </c>
      <c r="I56" s="115" t="s">
        <v>242</v>
      </c>
      <c r="J56" s="115">
        <v>0</v>
      </c>
      <c r="K56" s="115">
        <v>100</v>
      </c>
      <c r="L56" s="115">
        <v>20</v>
      </c>
      <c r="M56" s="121" t="s">
        <v>22</v>
      </c>
      <c r="N56" s="115" t="s">
        <v>93</v>
      </c>
      <c r="O56" s="118" t="s">
        <v>39</v>
      </c>
      <c r="P56" s="115" t="s">
        <v>93</v>
      </c>
    </row>
    <row r="57" spans="1:16" s="119" customFormat="1" x14ac:dyDescent="0.25">
      <c r="A57" s="113" t="s">
        <v>78</v>
      </c>
      <c r="B57" s="114" t="s">
        <v>91</v>
      </c>
      <c r="C57" s="114" t="s">
        <v>91</v>
      </c>
      <c r="D57" s="115" t="s">
        <v>92</v>
      </c>
      <c r="E57" s="116" t="str">
        <f t="shared" si="0"/>
        <v>PFAS-S0-P100-Day20-A:PFOA</v>
      </c>
      <c r="F57" s="115" t="str">
        <f>VLOOKUP(C57,'Task 2b Sample List'!I:K,3,FALSE)</f>
        <v>PFAS-S0-P100-Day20-A</v>
      </c>
      <c r="G57" s="168" t="str">
        <f t="shared" ref="G57:G91" si="3">LEFT(F57,18)</f>
        <v>PFAS-S0-P100-Day20</v>
      </c>
      <c r="H57" s="115" t="str">
        <f>VLOOKUP(C57,'Task 2b Sample List'!I:L,4,FALSE)</f>
        <v>B</v>
      </c>
      <c r="I57" s="115" t="s">
        <v>242</v>
      </c>
      <c r="J57" s="115">
        <v>0</v>
      </c>
      <c r="K57" s="115">
        <v>100</v>
      </c>
      <c r="L57" s="115">
        <v>20</v>
      </c>
      <c r="M57" s="117" t="s">
        <v>23</v>
      </c>
      <c r="N57" s="115" t="s">
        <v>94</v>
      </c>
      <c r="O57" s="118" t="s">
        <v>39</v>
      </c>
      <c r="P57" s="115" t="s">
        <v>94</v>
      </c>
    </row>
    <row r="58" spans="1:16" s="119" customFormat="1" x14ac:dyDescent="0.25">
      <c r="A58" s="113" t="s">
        <v>78</v>
      </c>
      <c r="B58" s="114" t="s">
        <v>91</v>
      </c>
      <c r="C58" s="114" t="s">
        <v>91</v>
      </c>
      <c r="D58" s="115" t="s">
        <v>92</v>
      </c>
      <c r="E58" s="116" t="str">
        <f t="shared" si="0"/>
        <v>PFAS-S0-P100-Day20-A:PFNA</v>
      </c>
      <c r="F58" s="115" t="str">
        <f>VLOOKUP(C58,'Task 2b Sample List'!I:K,3,FALSE)</f>
        <v>PFAS-S0-P100-Day20-A</v>
      </c>
      <c r="G58" s="168" t="str">
        <f t="shared" si="3"/>
        <v>PFAS-S0-P100-Day20</v>
      </c>
      <c r="H58" s="115" t="str">
        <f>VLOOKUP(C58,'Task 2b Sample List'!I:L,4,FALSE)</f>
        <v>B</v>
      </c>
      <c r="I58" s="115" t="s">
        <v>242</v>
      </c>
      <c r="J58" s="115">
        <v>0</v>
      </c>
      <c r="K58" s="115">
        <v>100</v>
      </c>
      <c r="L58" s="115">
        <v>20</v>
      </c>
      <c r="M58" s="117" t="s">
        <v>24</v>
      </c>
      <c r="N58" s="115" t="s">
        <v>95</v>
      </c>
      <c r="O58" s="118" t="s">
        <v>39</v>
      </c>
      <c r="P58" s="115" t="s">
        <v>95</v>
      </c>
    </row>
    <row r="59" spans="1:16" s="119" customFormat="1" x14ac:dyDescent="0.25">
      <c r="A59" s="113" t="s">
        <v>78</v>
      </c>
      <c r="B59" s="114" t="s">
        <v>91</v>
      </c>
      <c r="C59" s="114" t="s">
        <v>91</v>
      </c>
      <c r="D59" s="115" t="s">
        <v>92</v>
      </c>
      <c r="E59" s="116" t="str">
        <f t="shared" si="0"/>
        <v>PFAS-S0-P100-Day20-A:PFBS</v>
      </c>
      <c r="F59" s="115" t="str">
        <f>VLOOKUP(C59,'Task 2b Sample List'!I:K,3,FALSE)</f>
        <v>PFAS-S0-P100-Day20-A</v>
      </c>
      <c r="G59" s="168" t="str">
        <f t="shared" si="3"/>
        <v>PFAS-S0-P100-Day20</v>
      </c>
      <c r="H59" s="115" t="str">
        <f>VLOOKUP(C59,'Task 2b Sample List'!I:L,4,FALSE)</f>
        <v>B</v>
      </c>
      <c r="I59" s="115" t="s">
        <v>242</v>
      </c>
      <c r="J59" s="115">
        <v>0</v>
      </c>
      <c r="K59" s="115">
        <v>100</v>
      </c>
      <c r="L59" s="115">
        <v>20</v>
      </c>
      <c r="M59" s="117" t="s">
        <v>25</v>
      </c>
      <c r="N59" s="115" t="s">
        <v>96</v>
      </c>
      <c r="O59" s="118" t="s">
        <v>39</v>
      </c>
      <c r="P59" s="115" t="s">
        <v>96</v>
      </c>
    </row>
    <row r="60" spans="1:16" s="119" customFormat="1" x14ac:dyDescent="0.25">
      <c r="A60" s="113" t="s">
        <v>78</v>
      </c>
      <c r="B60" s="114" t="s">
        <v>91</v>
      </c>
      <c r="C60" s="114" t="s">
        <v>91</v>
      </c>
      <c r="D60" s="115" t="s">
        <v>92</v>
      </c>
      <c r="E60" s="116" t="str">
        <f t="shared" si="0"/>
        <v>PFAS-S0-P100-Day20-A:PFOS</v>
      </c>
      <c r="F60" s="115" t="str">
        <f>VLOOKUP(C60,'Task 2b Sample List'!I:K,3,FALSE)</f>
        <v>PFAS-S0-P100-Day20-A</v>
      </c>
      <c r="G60" s="168" t="str">
        <f t="shared" si="3"/>
        <v>PFAS-S0-P100-Day20</v>
      </c>
      <c r="H60" s="115" t="str">
        <f>VLOOKUP(C60,'Task 2b Sample List'!I:L,4,FALSE)</f>
        <v>B</v>
      </c>
      <c r="I60" s="115" t="s">
        <v>242</v>
      </c>
      <c r="J60" s="115">
        <v>0</v>
      </c>
      <c r="K60" s="115">
        <v>100</v>
      </c>
      <c r="L60" s="115">
        <v>20</v>
      </c>
      <c r="M60" s="117" t="s">
        <v>26</v>
      </c>
      <c r="N60" s="115" t="s">
        <v>97</v>
      </c>
      <c r="O60" s="118" t="s">
        <v>39</v>
      </c>
      <c r="P60" s="115" t="s">
        <v>97</v>
      </c>
    </row>
    <row r="61" spans="1:16" s="119" customFormat="1" ht="15.75" thickBot="1" x14ac:dyDescent="0.3">
      <c r="A61" s="113" t="s">
        <v>78</v>
      </c>
      <c r="B61" s="114" t="s">
        <v>91</v>
      </c>
      <c r="C61" s="114" t="s">
        <v>91</v>
      </c>
      <c r="D61" s="115" t="s">
        <v>92</v>
      </c>
      <c r="E61" s="116" t="str">
        <f t="shared" si="0"/>
        <v>PFAS-S0-P100-Day20-A:8:2FTS</v>
      </c>
      <c r="F61" s="115" t="str">
        <f>VLOOKUP(C61,'Task 2b Sample List'!I:K,3,FALSE)</f>
        <v>PFAS-S0-P100-Day20-A</v>
      </c>
      <c r="G61" s="168" t="str">
        <f t="shared" si="3"/>
        <v>PFAS-S0-P100-Day20</v>
      </c>
      <c r="H61" s="115" t="str">
        <f>VLOOKUP(C61,'Task 2b Sample List'!I:L,4,FALSE)</f>
        <v>B</v>
      </c>
      <c r="I61" s="115" t="s">
        <v>242</v>
      </c>
      <c r="J61" s="115">
        <v>0</v>
      </c>
      <c r="K61" s="115">
        <v>100</v>
      </c>
      <c r="L61" s="115">
        <v>20</v>
      </c>
      <c r="M61" s="120" t="s">
        <v>27</v>
      </c>
      <c r="N61" s="115" t="s">
        <v>98</v>
      </c>
      <c r="O61" s="118" t="s">
        <v>39</v>
      </c>
      <c r="P61" s="115" t="s">
        <v>98</v>
      </c>
    </row>
    <row r="62" spans="1:16" s="119" customFormat="1" x14ac:dyDescent="0.25">
      <c r="A62" s="113" t="s">
        <v>78</v>
      </c>
      <c r="B62" s="114" t="s">
        <v>99</v>
      </c>
      <c r="C62" s="114" t="s">
        <v>99</v>
      </c>
      <c r="D62" s="115" t="s">
        <v>100</v>
      </c>
      <c r="E62" s="116" t="str">
        <f t="shared" si="0"/>
        <v>PFAS-S0-P100-Day20-B:PFHxA</v>
      </c>
      <c r="F62" s="115" t="str">
        <f>VLOOKUP(C62,'Task 2b Sample List'!I:K,3,FALSE)</f>
        <v>PFAS-S0-P100-Day20-B</v>
      </c>
      <c r="G62" s="168" t="str">
        <f t="shared" si="3"/>
        <v>PFAS-S0-P100-Day20</v>
      </c>
      <c r="H62" s="115" t="str">
        <f>VLOOKUP(C62,'Task 2b Sample List'!I:L,4,FALSE)</f>
        <v>B</v>
      </c>
      <c r="I62" s="115" t="s">
        <v>242</v>
      </c>
      <c r="J62" s="115">
        <v>0</v>
      </c>
      <c r="K62" s="115">
        <v>100</v>
      </c>
      <c r="L62" s="115">
        <v>20</v>
      </c>
      <c r="M62" s="121" t="s">
        <v>22</v>
      </c>
      <c r="N62" s="115" t="s">
        <v>101</v>
      </c>
      <c r="O62" s="118" t="s">
        <v>39</v>
      </c>
      <c r="P62" s="115" t="s">
        <v>101</v>
      </c>
    </row>
    <row r="63" spans="1:16" s="119" customFormat="1" x14ac:dyDescent="0.25">
      <c r="A63" s="113" t="s">
        <v>78</v>
      </c>
      <c r="B63" s="114" t="s">
        <v>99</v>
      </c>
      <c r="C63" s="114" t="s">
        <v>99</v>
      </c>
      <c r="D63" s="115" t="s">
        <v>100</v>
      </c>
      <c r="E63" s="116" t="str">
        <f t="shared" si="0"/>
        <v>PFAS-S0-P100-Day20-B:PFOA</v>
      </c>
      <c r="F63" s="115" t="str">
        <f>VLOOKUP(C63,'Task 2b Sample List'!I:K,3,FALSE)</f>
        <v>PFAS-S0-P100-Day20-B</v>
      </c>
      <c r="G63" s="168" t="str">
        <f t="shared" si="3"/>
        <v>PFAS-S0-P100-Day20</v>
      </c>
      <c r="H63" s="115" t="str">
        <f>VLOOKUP(C63,'Task 2b Sample List'!I:L,4,FALSE)</f>
        <v>B</v>
      </c>
      <c r="I63" s="115" t="s">
        <v>242</v>
      </c>
      <c r="J63" s="115">
        <v>0</v>
      </c>
      <c r="K63" s="115">
        <v>100</v>
      </c>
      <c r="L63" s="115">
        <v>20</v>
      </c>
      <c r="M63" s="117" t="s">
        <v>23</v>
      </c>
      <c r="N63" s="115" t="s">
        <v>102</v>
      </c>
      <c r="O63" s="118" t="s">
        <v>39</v>
      </c>
      <c r="P63" s="115" t="s">
        <v>102</v>
      </c>
    </row>
    <row r="64" spans="1:16" s="119" customFormat="1" x14ac:dyDescent="0.25">
      <c r="A64" s="113" t="s">
        <v>78</v>
      </c>
      <c r="B64" s="114" t="s">
        <v>99</v>
      </c>
      <c r="C64" s="114" t="s">
        <v>99</v>
      </c>
      <c r="D64" s="115" t="s">
        <v>100</v>
      </c>
      <c r="E64" s="116" t="str">
        <f t="shared" si="0"/>
        <v>PFAS-S0-P100-Day20-B:PFNA</v>
      </c>
      <c r="F64" s="115" t="str">
        <f>VLOOKUP(C64,'Task 2b Sample List'!I:K,3,FALSE)</f>
        <v>PFAS-S0-P100-Day20-B</v>
      </c>
      <c r="G64" s="168" t="str">
        <f t="shared" si="3"/>
        <v>PFAS-S0-P100-Day20</v>
      </c>
      <c r="H64" s="115" t="str">
        <f>VLOOKUP(C64,'Task 2b Sample List'!I:L,4,FALSE)</f>
        <v>B</v>
      </c>
      <c r="I64" s="115" t="s">
        <v>242</v>
      </c>
      <c r="J64" s="115">
        <v>0</v>
      </c>
      <c r="K64" s="115">
        <v>100</v>
      </c>
      <c r="L64" s="115">
        <v>20</v>
      </c>
      <c r="M64" s="117" t="s">
        <v>24</v>
      </c>
      <c r="N64" s="115" t="s">
        <v>103</v>
      </c>
      <c r="O64" s="118" t="s">
        <v>39</v>
      </c>
      <c r="P64" s="115" t="s">
        <v>103</v>
      </c>
    </row>
    <row r="65" spans="1:16" s="119" customFormat="1" x14ac:dyDescent="0.25">
      <c r="A65" s="113" t="s">
        <v>78</v>
      </c>
      <c r="B65" s="114" t="s">
        <v>99</v>
      </c>
      <c r="C65" s="114" t="s">
        <v>99</v>
      </c>
      <c r="D65" s="115" t="s">
        <v>100</v>
      </c>
      <c r="E65" s="116" t="str">
        <f t="shared" si="0"/>
        <v>PFAS-S0-P100-Day20-B:PFBS</v>
      </c>
      <c r="F65" s="115" t="str">
        <f>VLOOKUP(C65,'Task 2b Sample List'!I:K,3,FALSE)</f>
        <v>PFAS-S0-P100-Day20-B</v>
      </c>
      <c r="G65" s="168" t="str">
        <f t="shared" si="3"/>
        <v>PFAS-S0-P100-Day20</v>
      </c>
      <c r="H65" s="115" t="str">
        <f>VLOOKUP(C65,'Task 2b Sample List'!I:L,4,FALSE)</f>
        <v>B</v>
      </c>
      <c r="I65" s="115" t="s">
        <v>242</v>
      </c>
      <c r="J65" s="115">
        <v>0</v>
      </c>
      <c r="K65" s="115">
        <v>100</v>
      </c>
      <c r="L65" s="115">
        <v>20</v>
      </c>
      <c r="M65" s="117" t="s">
        <v>25</v>
      </c>
      <c r="N65" s="115" t="s">
        <v>104</v>
      </c>
      <c r="O65" s="118" t="s">
        <v>39</v>
      </c>
      <c r="P65" s="115" t="s">
        <v>104</v>
      </c>
    </row>
    <row r="66" spans="1:16" s="119" customFormat="1" x14ac:dyDescent="0.25">
      <c r="A66" s="113" t="s">
        <v>78</v>
      </c>
      <c r="B66" s="114" t="s">
        <v>99</v>
      </c>
      <c r="C66" s="114" t="s">
        <v>99</v>
      </c>
      <c r="D66" s="115" t="s">
        <v>100</v>
      </c>
      <c r="E66" s="116" t="str">
        <f t="shared" si="0"/>
        <v>PFAS-S0-P100-Day20-B:PFOS</v>
      </c>
      <c r="F66" s="115" t="str">
        <f>VLOOKUP(C66,'Task 2b Sample List'!I:K,3,FALSE)</f>
        <v>PFAS-S0-P100-Day20-B</v>
      </c>
      <c r="G66" s="168" t="str">
        <f t="shared" si="3"/>
        <v>PFAS-S0-P100-Day20</v>
      </c>
      <c r="H66" s="115" t="str">
        <f>VLOOKUP(C66,'Task 2b Sample List'!I:L,4,FALSE)</f>
        <v>B</v>
      </c>
      <c r="I66" s="115" t="s">
        <v>242</v>
      </c>
      <c r="J66" s="115">
        <v>0</v>
      </c>
      <c r="K66" s="115">
        <v>100</v>
      </c>
      <c r="L66" s="115">
        <v>20</v>
      </c>
      <c r="M66" s="117" t="s">
        <v>26</v>
      </c>
      <c r="N66" s="115" t="s">
        <v>105</v>
      </c>
      <c r="O66" s="118" t="s">
        <v>39</v>
      </c>
      <c r="P66" s="115" t="s">
        <v>105</v>
      </c>
    </row>
    <row r="67" spans="1:16" s="119" customFormat="1" ht="15.75" thickBot="1" x14ac:dyDescent="0.3">
      <c r="A67" s="113" t="s">
        <v>78</v>
      </c>
      <c r="B67" s="114" t="s">
        <v>99</v>
      </c>
      <c r="C67" s="114" t="s">
        <v>99</v>
      </c>
      <c r="D67" s="115" t="s">
        <v>100</v>
      </c>
      <c r="E67" s="116" t="str">
        <f t="shared" ref="E67:E108" si="4">F67&amp;":"&amp;M67</f>
        <v>PFAS-S0-P100-Day20-B:8:2FTS</v>
      </c>
      <c r="F67" s="115" t="str">
        <f>VLOOKUP(C67,'Task 2b Sample List'!I:K,3,FALSE)</f>
        <v>PFAS-S0-P100-Day20-B</v>
      </c>
      <c r="G67" s="168" t="str">
        <f t="shared" si="3"/>
        <v>PFAS-S0-P100-Day20</v>
      </c>
      <c r="H67" s="115" t="str">
        <f>VLOOKUP(C67,'Task 2b Sample List'!I:L,4,FALSE)</f>
        <v>B</v>
      </c>
      <c r="I67" s="115" t="s">
        <v>242</v>
      </c>
      <c r="J67" s="115">
        <v>0</v>
      </c>
      <c r="K67" s="115">
        <v>100</v>
      </c>
      <c r="L67" s="115">
        <v>20</v>
      </c>
      <c r="M67" s="120" t="s">
        <v>27</v>
      </c>
      <c r="N67" s="115" t="s">
        <v>106</v>
      </c>
      <c r="O67" s="118" t="s">
        <v>39</v>
      </c>
      <c r="P67" s="115" t="s">
        <v>106</v>
      </c>
    </row>
    <row r="68" spans="1:16" s="119" customFormat="1" x14ac:dyDescent="0.25">
      <c r="A68" s="113" t="s">
        <v>78</v>
      </c>
      <c r="B68" s="114" t="s">
        <v>107</v>
      </c>
      <c r="C68" s="114" t="s">
        <v>107</v>
      </c>
      <c r="D68" s="115" t="s">
        <v>108</v>
      </c>
      <c r="E68" s="116" t="str">
        <f t="shared" si="4"/>
        <v>PFAS-S0-P100-Day20-C:PFHxA</v>
      </c>
      <c r="F68" s="115" t="str">
        <f>VLOOKUP(C68,'Task 2b Sample List'!I:K,3,FALSE)</f>
        <v>PFAS-S0-P100-Day20-C</v>
      </c>
      <c r="G68" s="168" t="str">
        <f t="shared" si="3"/>
        <v>PFAS-S0-P100-Day20</v>
      </c>
      <c r="H68" s="115" t="str">
        <f>VLOOKUP(C68,'Task 2b Sample List'!I:L,4,FALSE)</f>
        <v>B</v>
      </c>
      <c r="I68" s="115" t="s">
        <v>242</v>
      </c>
      <c r="J68" s="115">
        <v>0</v>
      </c>
      <c r="K68" s="115">
        <v>100</v>
      </c>
      <c r="L68" s="115">
        <v>20</v>
      </c>
      <c r="M68" s="121" t="s">
        <v>22</v>
      </c>
      <c r="N68" s="115" t="s">
        <v>109</v>
      </c>
      <c r="O68" s="118" t="s">
        <v>39</v>
      </c>
      <c r="P68" s="115" t="s">
        <v>109</v>
      </c>
    </row>
    <row r="69" spans="1:16" s="119" customFormat="1" x14ac:dyDescent="0.25">
      <c r="A69" s="113" t="s">
        <v>78</v>
      </c>
      <c r="B69" s="114" t="s">
        <v>107</v>
      </c>
      <c r="C69" s="114" t="s">
        <v>107</v>
      </c>
      <c r="D69" s="115" t="s">
        <v>108</v>
      </c>
      <c r="E69" s="116" t="str">
        <f t="shared" si="4"/>
        <v>PFAS-S0-P100-Day20-C:PFOA</v>
      </c>
      <c r="F69" s="115" t="str">
        <f>VLOOKUP(C69,'Task 2b Sample List'!I:K,3,FALSE)</f>
        <v>PFAS-S0-P100-Day20-C</v>
      </c>
      <c r="G69" s="168" t="str">
        <f t="shared" si="3"/>
        <v>PFAS-S0-P100-Day20</v>
      </c>
      <c r="H69" s="115" t="str">
        <f>VLOOKUP(C69,'Task 2b Sample List'!I:L,4,FALSE)</f>
        <v>B</v>
      </c>
      <c r="I69" s="115" t="s">
        <v>242</v>
      </c>
      <c r="J69" s="115">
        <v>0</v>
      </c>
      <c r="K69" s="115">
        <v>100</v>
      </c>
      <c r="L69" s="115">
        <v>20</v>
      </c>
      <c r="M69" s="117" t="s">
        <v>23</v>
      </c>
      <c r="N69" s="115" t="s">
        <v>110</v>
      </c>
      <c r="O69" s="118" t="s">
        <v>39</v>
      </c>
      <c r="P69" s="115" t="s">
        <v>110</v>
      </c>
    </row>
    <row r="70" spans="1:16" s="119" customFormat="1" x14ac:dyDescent="0.25">
      <c r="A70" s="113" t="s">
        <v>78</v>
      </c>
      <c r="B70" s="114" t="s">
        <v>107</v>
      </c>
      <c r="C70" s="114" t="s">
        <v>107</v>
      </c>
      <c r="D70" s="115" t="s">
        <v>108</v>
      </c>
      <c r="E70" s="116" t="str">
        <f t="shared" si="4"/>
        <v>PFAS-S0-P100-Day20-C:PFNA</v>
      </c>
      <c r="F70" s="115" t="str">
        <f>VLOOKUP(C70,'Task 2b Sample List'!I:K,3,FALSE)</f>
        <v>PFAS-S0-P100-Day20-C</v>
      </c>
      <c r="G70" s="168" t="str">
        <f t="shared" si="3"/>
        <v>PFAS-S0-P100-Day20</v>
      </c>
      <c r="H70" s="115" t="str">
        <f>VLOOKUP(C70,'Task 2b Sample List'!I:L,4,FALSE)</f>
        <v>B</v>
      </c>
      <c r="I70" s="115" t="s">
        <v>242</v>
      </c>
      <c r="J70" s="115">
        <v>0</v>
      </c>
      <c r="K70" s="115">
        <v>100</v>
      </c>
      <c r="L70" s="115">
        <v>20</v>
      </c>
      <c r="M70" s="117" t="s">
        <v>24</v>
      </c>
      <c r="N70" s="115" t="s">
        <v>111</v>
      </c>
      <c r="O70" s="118" t="s">
        <v>39</v>
      </c>
      <c r="P70" s="115" t="s">
        <v>111</v>
      </c>
    </row>
    <row r="71" spans="1:16" s="119" customFormat="1" x14ac:dyDescent="0.25">
      <c r="A71" s="113" t="s">
        <v>78</v>
      </c>
      <c r="B71" s="114" t="s">
        <v>107</v>
      </c>
      <c r="C71" s="114" t="s">
        <v>107</v>
      </c>
      <c r="D71" s="115" t="s">
        <v>108</v>
      </c>
      <c r="E71" s="116" t="str">
        <f t="shared" si="4"/>
        <v>PFAS-S0-P100-Day20-C:PFBS</v>
      </c>
      <c r="F71" s="115" t="str">
        <f>VLOOKUP(C71,'Task 2b Sample List'!I:K,3,FALSE)</f>
        <v>PFAS-S0-P100-Day20-C</v>
      </c>
      <c r="G71" s="168" t="str">
        <f t="shared" si="3"/>
        <v>PFAS-S0-P100-Day20</v>
      </c>
      <c r="H71" s="115" t="str">
        <f>VLOOKUP(C71,'Task 2b Sample List'!I:L,4,FALSE)</f>
        <v>B</v>
      </c>
      <c r="I71" s="115" t="s">
        <v>242</v>
      </c>
      <c r="J71" s="115">
        <v>0</v>
      </c>
      <c r="K71" s="115">
        <v>100</v>
      </c>
      <c r="L71" s="115">
        <v>20</v>
      </c>
      <c r="M71" s="117" t="s">
        <v>25</v>
      </c>
      <c r="N71" s="115" t="s">
        <v>112</v>
      </c>
      <c r="O71" s="118" t="s">
        <v>39</v>
      </c>
      <c r="P71" s="115" t="s">
        <v>112</v>
      </c>
    </row>
    <row r="72" spans="1:16" s="119" customFormat="1" x14ac:dyDescent="0.25">
      <c r="A72" s="113" t="s">
        <v>78</v>
      </c>
      <c r="B72" s="114" t="s">
        <v>107</v>
      </c>
      <c r="C72" s="114" t="s">
        <v>107</v>
      </c>
      <c r="D72" s="115" t="s">
        <v>108</v>
      </c>
      <c r="E72" s="116" t="str">
        <f t="shared" si="4"/>
        <v>PFAS-S0-P100-Day20-C:PFOS</v>
      </c>
      <c r="F72" s="115" t="str">
        <f>VLOOKUP(C72,'Task 2b Sample List'!I:K,3,FALSE)</f>
        <v>PFAS-S0-P100-Day20-C</v>
      </c>
      <c r="G72" s="168" t="str">
        <f t="shared" si="3"/>
        <v>PFAS-S0-P100-Day20</v>
      </c>
      <c r="H72" s="115" t="str">
        <f>VLOOKUP(C72,'Task 2b Sample List'!I:L,4,FALSE)</f>
        <v>B</v>
      </c>
      <c r="I72" s="115" t="s">
        <v>242</v>
      </c>
      <c r="J72" s="115">
        <v>0</v>
      </c>
      <c r="K72" s="115">
        <v>100</v>
      </c>
      <c r="L72" s="115">
        <v>20</v>
      </c>
      <c r="M72" s="117" t="s">
        <v>26</v>
      </c>
      <c r="N72" s="115" t="s">
        <v>113</v>
      </c>
      <c r="O72" s="118" t="s">
        <v>39</v>
      </c>
      <c r="P72" s="115" t="s">
        <v>113</v>
      </c>
    </row>
    <row r="73" spans="1:16" s="119" customFormat="1" ht="15.75" thickBot="1" x14ac:dyDescent="0.3">
      <c r="A73" s="113" t="s">
        <v>78</v>
      </c>
      <c r="B73" s="114" t="s">
        <v>107</v>
      </c>
      <c r="C73" s="114" t="s">
        <v>107</v>
      </c>
      <c r="D73" s="115" t="s">
        <v>108</v>
      </c>
      <c r="E73" s="116" t="str">
        <f t="shared" si="4"/>
        <v>PFAS-S0-P100-Day20-C:8:2FTS</v>
      </c>
      <c r="F73" s="115" t="str">
        <f>VLOOKUP(C73,'Task 2b Sample List'!I:K,3,FALSE)</f>
        <v>PFAS-S0-P100-Day20-C</v>
      </c>
      <c r="G73" s="168" t="str">
        <f t="shared" si="3"/>
        <v>PFAS-S0-P100-Day20</v>
      </c>
      <c r="H73" s="115" t="str">
        <f>VLOOKUP(C73,'Task 2b Sample List'!I:L,4,FALSE)</f>
        <v>B</v>
      </c>
      <c r="I73" s="115" t="s">
        <v>242</v>
      </c>
      <c r="J73" s="115">
        <v>0</v>
      </c>
      <c r="K73" s="115">
        <v>100</v>
      </c>
      <c r="L73" s="115">
        <v>20</v>
      </c>
      <c r="M73" s="120" t="s">
        <v>27</v>
      </c>
      <c r="N73" s="115" t="s">
        <v>114</v>
      </c>
      <c r="O73" s="118" t="s">
        <v>39</v>
      </c>
      <c r="P73" s="115" t="s">
        <v>114</v>
      </c>
    </row>
    <row r="74" spans="1:16" s="119" customFormat="1" x14ac:dyDescent="0.25">
      <c r="A74" s="113" t="s">
        <v>78</v>
      </c>
      <c r="B74" s="114" t="s">
        <v>115</v>
      </c>
      <c r="C74" s="114" t="s">
        <v>115</v>
      </c>
      <c r="D74" s="115" t="s">
        <v>116</v>
      </c>
      <c r="E74" s="116" t="str">
        <f t="shared" si="4"/>
        <v>PFAS-S0-P500-Day20-A:PFHxA</v>
      </c>
      <c r="F74" s="115" t="str">
        <f>VLOOKUP(C74,'Task 2b Sample List'!I:K,3,FALSE)</f>
        <v>PFAS-S0-P500-Day20-A</v>
      </c>
      <c r="G74" s="168" t="str">
        <f t="shared" si="3"/>
        <v>PFAS-S0-P500-Day20</v>
      </c>
      <c r="H74" s="115" t="str">
        <f>VLOOKUP(C74,'Task 2b Sample List'!I:L,4,FALSE)</f>
        <v>A</v>
      </c>
      <c r="I74" s="115" t="s">
        <v>242</v>
      </c>
      <c r="J74" s="115">
        <v>0</v>
      </c>
      <c r="K74" s="115">
        <v>500</v>
      </c>
      <c r="L74" s="115">
        <v>20</v>
      </c>
      <c r="M74" s="121" t="s">
        <v>22</v>
      </c>
      <c r="N74" s="115" t="s">
        <v>117</v>
      </c>
      <c r="O74" s="118" t="s">
        <v>39</v>
      </c>
      <c r="P74" s="115" t="s">
        <v>117</v>
      </c>
    </row>
    <row r="75" spans="1:16" s="119" customFormat="1" x14ac:dyDescent="0.25">
      <c r="A75" s="113" t="s">
        <v>78</v>
      </c>
      <c r="B75" s="114" t="s">
        <v>115</v>
      </c>
      <c r="C75" s="114" t="s">
        <v>115</v>
      </c>
      <c r="D75" s="115" t="s">
        <v>116</v>
      </c>
      <c r="E75" s="116" t="str">
        <f t="shared" si="4"/>
        <v>PFAS-S0-P500-Day20-A:PFOA</v>
      </c>
      <c r="F75" s="115" t="str">
        <f>VLOOKUP(C75,'Task 2b Sample List'!I:K,3,FALSE)</f>
        <v>PFAS-S0-P500-Day20-A</v>
      </c>
      <c r="G75" s="168" t="str">
        <f t="shared" si="3"/>
        <v>PFAS-S0-P500-Day20</v>
      </c>
      <c r="H75" s="115" t="str">
        <f>VLOOKUP(C75,'Task 2b Sample List'!I:L,4,FALSE)</f>
        <v>A</v>
      </c>
      <c r="I75" s="115" t="s">
        <v>242</v>
      </c>
      <c r="J75" s="115">
        <v>0</v>
      </c>
      <c r="K75" s="115">
        <v>500</v>
      </c>
      <c r="L75" s="115">
        <v>20</v>
      </c>
      <c r="M75" s="117" t="s">
        <v>23</v>
      </c>
      <c r="N75" s="115" t="s">
        <v>118</v>
      </c>
      <c r="O75" s="118" t="s">
        <v>39</v>
      </c>
      <c r="P75" s="115" t="s">
        <v>118</v>
      </c>
    </row>
    <row r="76" spans="1:16" s="119" customFormat="1" x14ac:dyDescent="0.25">
      <c r="A76" s="113" t="s">
        <v>78</v>
      </c>
      <c r="B76" s="114" t="s">
        <v>115</v>
      </c>
      <c r="C76" s="114" t="s">
        <v>115</v>
      </c>
      <c r="D76" s="115" t="s">
        <v>116</v>
      </c>
      <c r="E76" s="116" t="str">
        <f t="shared" si="4"/>
        <v>PFAS-S0-P500-Day20-A:PFNA</v>
      </c>
      <c r="F76" s="115" t="str">
        <f>VLOOKUP(C76,'Task 2b Sample List'!I:K,3,FALSE)</f>
        <v>PFAS-S0-P500-Day20-A</v>
      </c>
      <c r="G76" s="168" t="str">
        <f t="shared" si="3"/>
        <v>PFAS-S0-P500-Day20</v>
      </c>
      <c r="H76" s="115" t="str">
        <f>VLOOKUP(C76,'Task 2b Sample List'!I:L,4,FALSE)</f>
        <v>A</v>
      </c>
      <c r="I76" s="115" t="s">
        <v>242</v>
      </c>
      <c r="J76" s="115">
        <v>0</v>
      </c>
      <c r="K76" s="115">
        <v>500</v>
      </c>
      <c r="L76" s="115">
        <v>20</v>
      </c>
      <c r="M76" s="117" t="s">
        <v>24</v>
      </c>
      <c r="N76" s="115" t="s">
        <v>119</v>
      </c>
      <c r="O76" s="118" t="s">
        <v>39</v>
      </c>
      <c r="P76" s="115" t="s">
        <v>119</v>
      </c>
    </row>
    <row r="77" spans="1:16" s="119" customFormat="1" x14ac:dyDescent="0.25">
      <c r="A77" s="113" t="s">
        <v>78</v>
      </c>
      <c r="B77" s="114" t="s">
        <v>115</v>
      </c>
      <c r="C77" s="114" t="s">
        <v>115</v>
      </c>
      <c r="D77" s="115" t="s">
        <v>116</v>
      </c>
      <c r="E77" s="116" t="str">
        <f t="shared" si="4"/>
        <v>PFAS-S0-P500-Day20-A:PFBS</v>
      </c>
      <c r="F77" s="115" t="str">
        <f>VLOOKUP(C77,'Task 2b Sample List'!I:K,3,FALSE)</f>
        <v>PFAS-S0-P500-Day20-A</v>
      </c>
      <c r="G77" s="168" t="str">
        <f t="shared" si="3"/>
        <v>PFAS-S0-P500-Day20</v>
      </c>
      <c r="H77" s="115" t="str">
        <f>VLOOKUP(C77,'Task 2b Sample List'!I:L,4,FALSE)</f>
        <v>A</v>
      </c>
      <c r="I77" s="115" t="s">
        <v>242</v>
      </c>
      <c r="J77" s="115">
        <v>0</v>
      </c>
      <c r="K77" s="115">
        <v>500</v>
      </c>
      <c r="L77" s="115">
        <v>20</v>
      </c>
      <c r="M77" s="117" t="s">
        <v>25</v>
      </c>
      <c r="N77" s="115" t="s">
        <v>120</v>
      </c>
      <c r="O77" s="118" t="s">
        <v>39</v>
      </c>
      <c r="P77" s="115" t="s">
        <v>120</v>
      </c>
    </row>
    <row r="78" spans="1:16" s="119" customFormat="1" x14ac:dyDescent="0.25">
      <c r="A78" s="113" t="s">
        <v>78</v>
      </c>
      <c r="B78" s="114" t="s">
        <v>115</v>
      </c>
      <c r="C78" s="114" t="s">
        <v>115</v>
      </c>
      <c r="D78" s="115" t="s">
        <v>116</v>
      </c>
      <c r="E78" s="116" t="str">
        <f t="shared" si="4"/>
        <v>PFAS-S0-P500-Day20-A:PFOS</v>
      </c>
      <c r="F78" s="115" t="str">
        <f>VLOOKUP(C78,'Task 2b Sample List'!I:K,3,FALSE)</f>
        <v>PFAS-S0-P500-Day20-A</v>
      </c>
      <c r="G78" s="168" t="str">
        <f t="shared" si="3"/>
        <v>PFAS-S0-P500-Day20</v>
      </c>
      <c r="H78" s="115" t="str">
        <f>VLOOKUP(C78,'Task 2b Sample List'!I:L,4,FALSE)</f>
        <v>A</v>
      </c>
      <c r="I78" s="115" t="s">
        <v>242</v>
      </c>
      <c r="J78" s="115">
        <v>0</v>
      </c>
      <c r="K78" s="115">
        <v>500</v>
      </c>
      <c r="L78" s="115">
        <v>20</v>
      </c>
      <c r="M78" s="117" t="s">
        <v>26</v>
      </c>
      <c r="N78" s="115" t="s">
        <v>121</v>
      </c>
      <c r="O78" s="118" t="s">
        <v>39</v>
      </c>
      <c r="P78" s="115" t="s">
        <v>121</v>
      </c>
    </row>
    <row r="79" spans="1:16" s="119" customFormat="1" ht="15.75" thickBot="1" x14ac:dyDescent="0.3">
      <c r="A79" s="113" t="s">
        <v>78</v>
      </c>
      <c r="B79" s="114" t="s">
        <v>115</v>
      </c>
      <c r="C79" s="114" t="s">
        <v>115</v>
      </c>
      <c r="D79" s="115" t="s">
        <v>116</v>
      </c>
      <c r="E79" s="116" t="str">
        <f t="shared" si="4"/>
        <v>PFAS-S0-P500-Day20-A:8:2FTS</v>
      </c>
      <c r="F79" s="115" t="str">
        <f>VLOOKUP(C79,'Task 2b Sample List'!I:K,3,FALSE)</f>
        <v>PFAS-S0-P500-Day20-A</v>
      </c>
      <c r="G79" s="168" t="str">
        <f t="shared" si="3"/>
        <v>PFAS-S0-P500-Day20</v>
      </c>
      <c r="H79" s="115" t="str">
        <f>VLOOKUP(C79,'Task 2b Sample List'!I:L,4,FALSE)</f>
        <v>A</v>
      </c>
      <c r="I79" s="115" t="s">
        <v>242</v>
      </c>
      <c r="J79" s="115">
        <v>0</v>
      </c>
      <c r="K79" s="115">
        <v>500</v>
      </c>
      <c r="L79" s="115">
        <v>20</v>
      </c>
      <c r="M79" s="120" t="s">
        <v>27</v>
      </c>
      <c r="N79" s="115" t="s">
        <v>122</v>
      </c>
      <c r="O79" s="118" t="s">
        <v>39</v>
      </c>
      <c r="P79" s="115" t="s">
        <v>122</v>
      </c>
    </row>
    <row r="80" spans="1:16" s="119" customFormat="1" x14ac:dyDescent="0.25">
      <c r="A80" s="113" t="s">
        <v>78</v>
      </c>
      <c r="B80" s="114" t="s">
        <v>123</v>
      </c>
      <c r="C80" s="114" t="s">
        <v>123</v>
      </c>
      <c r="D80" s="115" t="s">
        <v>124</v>
      </c>
      <c r="E80" s="116" t="str">
        <f t="shared" si="4"/>
        <v>PFAS-S0-P500-Day20-B:PFHxA</v>
      </c>
      <c r="F80" s="115" t="str">
        <f>VLOOKUP(C80,'Task 2b Sample List'!I:K,3,FALSE)</f>
        <v>PFAS-S0-P500-Day20-B</v>
      </c>
      <c r="G80" s="168" t="str">
        <f t="shared" si="3"/>
        <v>PFAS-S0-P500-Day20</v>
      </c>
      <c r="H80" s="115" t="str">
        <f>VLOOKUP(C80,'Task 2b Sample List'!I:L,4,FALSE)</f>
        <v>A</v>
      </c>
      <c r="I80" s="115" t="s">
        <v>242</v>
      </c>
      <c r="J80" s="115">
        <v>0</v>
      </c>
      <c r="K80" s="115">
        <v>500</v>
      </c>
      <c r="L80" s="115">
        <v>20</v>
      </c>
      <c r="M80" s="121" t="s">
        <v>22</v>
      </c>
      <c r="N80" s="115" t="s">
        <v>125</v>
      </c>
      <c r="O80" s="118" t="s">
        <v>39</v>
      </c>
      <c r="P80" s="115" t="s">
        <v>125</v>
      </c>
    </row>
    <row r="81" spans="1:16" s="119" customFormat="1" x14ac:dyDescent="0.25">
      <c r="A81" s="113" t="s">
        <v>78</v>
      </c>
      <c r="B81" s="114" t="s">
        <v>123</v>
      </c>
      <c r="C81" s="114" t="s">
        <v>123</v>
      </c>
      <c r="D81" s="115" t="s">
        <v>124</v>
      </c>
      <c r="E81" s="116" t="str">
        <f t="shared" si="4"/>
        <v>PFAS-S0-P500-Day20-B:PFOA</v>
      </c>
      <c r="F81" s="115" t="str">
        <f>VLOOKUP(C81,'Task 2b Sample List'!I:K,3,FALSE)</f>
        <v>PFAS-S0-P500-Day20-B</v>
      </c>
      <c r="G81" s="168" t="str">
        <f t="shared" si="3"/>
        <v>PFAS-S0-P500-Day20</v>
      </c>
      <c r="H81" s="115" t="str">
        <f>VLOOKUP(C81,'Task 2b Sample List'!I:L,4,FALSE)</f>
        <v>A</v>
      </c>
      <c r="I81" s="115" t="s">
        <v>242</v>
      </c>
      <c r="J81" s="115">
        <v>0</v>
      </c>
      <c r="K81" s="115">
        <v>500</v>
      </c>
      <c r="L81" s="115">
        <v>20</v>
      </c>
      <c r="M81" s="117" t="s">
        <v>23</v>
      </c>
      <c r="N81" s="115" t="s">
        <v>126</v>
      </c>
      <c r="O81" s="118" t="s">
        <v>39</v>
      </c>
      <c r="P81" s="115" t="s">
        <v>126</v>
      </c>
    </row>
    <row r="82" spans="1:16" s="119" customFormat="1" x14ac:dyDescent="0.25">
      <c r="A82" s="113" t="s">
        <v>78</v>
      </c>
      <c r="B82" s="114" t="s">
        <v>123</v>
      </c>
      <c r="C82" s="114" t="s">
        <v>123</v>
      </c>
      <c r="D82" s="115" t="s">
        <v>124</v>
      </c>
      <c r="E82" s="116" t="str">
        <f t="shared" si="4"/>
        <v>PFAS-S0-P500-Day20-B:PFNA</v>
      </c>
      <c r="F82" s="115" t="str">
        <f>VLOOKUP(C82,'Task 2b Sample List'!I:K,3,FALSE)</f>
        <v>PFAS-S0-P500-Day20-B</v>
      </c>
      <c r="G82" s="168" t="str">
        <f t="shared" si="3"/>
        <v>PFAS-S0-P500-Day20</v>
      </c>
      <c r="H82" s="115" t="str">
        <f>VLOOKUP(C82,'Task 2b Sample List'!I:L,4,FALSE)</f>
        <v>A</v>
      </c>
      <c r="I82" s="115" t="s">
        <v>242</v>
      </c>
      <c r="J82" s="115">
        <v>0</v>
      </c>
      <c r="K82" s="115">
        <v>500</v>
      </c>
      <c r="L82" s="115">
        <v>20</v>
      </c>
      <c r="M82" s="117" t="s">
        <v>24</v>
      </c>
      <c r="N82" s="115" t="s">
        <v>127</v>
      </c>
      <c r="O82" s="118" t="s">
        <v>39</v>
      </c>
      <c r="P82" s="115" t="s">
        <v>127</v>
      </c>
    </row>
    <row r="83" spans="1:16" s="119" customFormat="1" x14ac:dyDescent="0.25">
      <c r="A83" s="113" t="s">
        <v>78</v>
      </c>
      <c r="B83" s="114" t="s">
        <v>123</v>
      </c>
      <c r="C83" s="114" t="s">
        <v>123</v>
      </c>
      <c r="D83" s="115" t="s">
        <v>124</v>
      </c>
      <c r="E83" s="116" t="str">
        <f t="shared" si="4"/>
        <v>PFAS-S0-P500-Day20-B:PFBS</v>
      </c>
      <c r="F83" s="115" t="str">
        <f>VLOOKUP(C83,'Task 2b Sample List'!I:K,3,FALSE)</f>
        <v>PFAS-S0-P500-Day20-B</v>
      </c>
      <c r="G83" s="168" t="str">
        <f t="shared" si="3"/>
        <v>PFAS-S0-P500-Day20</v>
      </c>
      <c r="H83" s="115" t="str">
        <f>VLOOKUP(C83,'Task 2b Sample List'!I:L,4,FALSE)</f>
        <v>A</v>
      </c>
      <c r="I83" s="115" t="s">
        <v>242</v>
      </c>
      <c r="J83" s="115">
        <v>0</v>
      </c>
      <c r="K83" s="115">
        <v>500</v>
      </c>
      <c r="L83" s="115">
        <v>20</v>
      </c>
      <c r="M83" s="117" t="s">
        <v>25</v>
      </c>
      <c r="N83" s="115" t="s">
        <v>128</v>
      </c>
      <c r="O83" s="118" t="s">
        <v>39</v>
      </c>
      <c r="P83" s="115" t="s">
        <v>128</v>
      </c>
    </row>
    <row r="84" spans="1:16" s="119" customFormat="1" x14ac:dyDescent="0.25">
      <c r="A84" s="113" t="s">
        <v>78</v>
      </c>
      <c r="B84" s="114" t="s">
        <v>123</v>
      </c>
      <c r="C84" s="114" t="s">
        <v>123</v>
      </c>
      <c r="D84" s="115" t="s">
        <v>124</v>
      </c>
      <c r="E84" s="116" t="str">
        <f t="shared" si="4"/>
        <v>PFAS-S0-P500-Day20-B:PFOS</v>
      </c>
      <c r="F84" s="115" t="str">
        <f>VLOOKUP(C84,'Task 2b Sample List'!I:K,3,FALSE)</f>
        <v>PFAS-S0-P500-Day20-B</v>
      </c>
      <c r="G84" s="168" t="str">
        <f t="shared" si="3"/>
        <v>PFAS-S0-P500-Day20</v>
      </c>
      <c r="H84" s="115" t="str">
        <f>VLOOKUP(C84,'Task 2b Sample List'!I:L,4,FALSE)</f>
        <v>A</v>
      </c>
      <c r="I84" s="115" t="s">
        <v>242</v>
      </c>
      <c r="J84" s="115">
        <v>0</v>
      </c>
      <c r="K84" s="115">
        <v>500</v>
      </c>
      <c r="L84" s="115">
        <v>20</v>
      </c>
      <c r="M84" s="117" t="s">
        <v>26</v>
      </c>
      <c r="N84" s="115" t="s">
        <v>129</v>
      </c>
      <c r="O84" s="118" t="s">
        <v>39</v>
      </c>
      <c r="P84" s="115" t="s">
        <v>129</v>
      </c>
    </row>
    <row r="85" spans="1:16" s="119" customFormat="1" ht="15.75" thickBot="1" x14ac:dyDescent="0.3">
      <c r="A85" s="113" t="s">
        <v>78</v>
      </c>
      <c r="B85" s="114" t="s">
        <v>123</v>
      </c>
      <c r="C85" s="114" t="s">
        <v>123</v>
      </c>
      <c r="D85" s="115" t="s">
        <v>124</v>
      </c>
      <c r="E85" s="116" t="str">
        <f t="shared" si="4"/>
        <v>PFAS-S0-P500-Day20-B:8:2FTS</v>
      </c>
      <c r="F85" s="115" t="str">
        <f>VLOOKUP(C85,'Task 2b Sample List'!I:K,3,FALSE)</f>
        <v>PFAS-S0-P500-Day20-B</v>
      </c>
      <c r="G85" s="168" t="str">
        <f t="shared" si="3"/>
        <v>PFAS-S0-P500-Day20</v>
      </c>
      <c r="H85" s="115" t="str">
        <f>VLOOKUP(C85,'Task 2b Sample List'!I:L,4,FALSE)</f>
        <v>A</v>
      </c>
      <c r="I85" s="115" t="s">
        <v>242</v>
      </c>
      <c r="J85" s="115">
        <v>0</v>
      </c>
      <c r="K85" s="115">
        <v>500</v>
      </c>
      <c r="L85" s="115">
        <v>20</v>
      </c>
      <c r="M85" s="120" t="s">
        <v>27</v>
      </c>
      <c r="N85" s="115" t="s">
        <v>130</v>
      </c>
      <c r="O85" s="118" t="s">
        <v>39</v>
      </c>
      <c r="P85" s="115" t="s">
        <v>130</v>
      </c>
    </row>
    <row r="86" spans="1:16" s="119" customFormat="1" x14ac:dyDescent="0.25">
      <c r="A86" s="113" t="s">
        <v>78</v>
      </c>
      <c r="B86" s="114" t="s">
        <v>131</v>
      </c>
      <c r="C86" s="114" t="s">
        <v>131</v>
      </c>
      <c r="D86" s="115" t="s">
        <v>132</v>
      </c>
      <c r="E86" s="116" t="str">
        <f t="shared" si="4"/>
        <v>PFAS-S0-P500-Day20-C:PFHxA</v>
      </c>
      <c r="F86" s="115" t="str">
        <f>VLOOKUP(C86,'Task 2b Sample List'!I:K,3,FALSE)</f>
        <v>PFAS-S0-P500-Day20-C</v>
      </c>
      <c r="G86" s="168" t="str">
        <f t="shared" si="3"/>
        <v>PFAS-S0-P500-Day20</v>
      </c>
      <c r="H86" s="115" t="str">
        <f>VLOOKUP(C86,'Task 2b Sample List'!I:L,4,FALSE)</f>
        <v>A</v>
      </c>
      <c r="I86" s="115" t="s">
        <v>242</v>
      </c>
      <c r="J86" s="115">
        <v>0</v>
      </c>
      <c r="K86" s="115">
        <v>500</v>
      </c>
      <c r="L86" s="115">
        <v>20</v>
      </c>
      <c r="M86" s="121" t="s">
        <v>22</v>
      </c>
      <c r="N86" s="115" t="s">
        <v>133</v>
      </c>
      <c r="O86" s="118" t="s">
        <v>39</v>
      </c>
      <c r="P86" s="115" t="s">
        <v>133</v>
      </c>
    </row>
    <row r="87" spans="1:16" s="119" customFormat="1" x14ac:dyDescent="0.25">
      <c r="A87" s="113" t="s">
        <v>78</v>
      </c>
      <c r="B87" s="114" t="s">
        <v>131</v>
      </c>
      <c r="C87" s="114" t="s">
        <v>131</v>
      </c>
      <c r="D87" s="115" t="s">
        <v>132</v>
      </c>
      <c r="E87" s="116" t="str">
        <f t="shared" si="4"/>
        <v>PFAS-S0-P500-Day20-C:PFOA</v>
      </c>
      <c r="F87" s="115" t="str">
        <f>VLOOKUP(C87,'Task 2b Sample List'!I:K,3,FALSE)</f>
        <v>PFAS-S0-P500-Day20-C</v>
      </c>
      <c r="G87" s="168" t="str">
        <f t="shared" si="3"/>
        <v>PFAS-S0-P500-Day20</v>
      </c>
      <c r="H87" s="115" t="str">
        <f>VLOOKUP(C87,'Task 2b Sample List'!I:L,4,FALSE)</f>
        <v>A</v>
      </c>
      <c r="I87" s="115" t="s">
        <v>242</v>
      </c>
      <c r="J87" s="115">
        <v>0</v>
      </c>
      <c r="K87" s="115">
        <v>500</v>
      </c>
      <c r="L87" s="115">
        <v>20</v>
      </c>
      <c r="M87" s="117" t="s">
        <v>23</v>
      </c>
      <c r="N87" s="115" t="s">
        <v>134</v>
      </c>
      <c r="O87" s="118" t="s">
        <v>39</v>
      </c>
      <c r="P87" s="115" t="s">
        <v>134</v>
      </c>
    </row>
    <row r="88" spans="1:16" s="119" customFormat="1" x14ac:dyDescent="0.25">
      <c r="A88" s="113" t="s">
        <v>78</v>
      </c>
      <c r="B88" s="114" t="s">
        <v>131</v>
      </c>
      <c r="C88" s="114" t="s">
        <v>131</v>
      </c>
      <c r="D88" s="115" t="s">
        <v>132</v>
      </c>
      <c r="E88" s="116" t="str">
        <f t="shared" si="4"/>
        <v>PFAS-S0-P500-Day20-C:PFNA</v>
      </c>
      <c r="F88" s="115" t="str">
        <f>VLOOKUP(C88,'Task 2b Sample List'!I:K,3,FALSE)</f>
        <v>PFAS-S0-P500-Day20-C</v>
      </c>
      <c r="G88" s="168" t="str">
        <f t="shared" si="3"/>
        <v>PFAS-S0-P500-Day20</v>
      </c>
      <c r="H88" s="115" t="str">
        <f>VLOOKUP(C88,'Task 2b Sample List'!I:L,4,FALSE)</f>
        <v>A</v>
      </c>
      <c r="I88" s="115" t="s">
        <v>242</v>
      </c>
      <c r="J88" s="115">
        <v>0</v>
      </c>
      <c r="K88" s="115">
        <v>500</v>
      </c>
      <c r="L88" s="115">
        <v>20</v>
      </c>
      <c r="M88" s="117" t="s">
        <v>24</v>
      </c>
      <c r="N88" s="115" t="s">
        <v>135</v>
      </c>
      <c r="O88" s="118" t="s">
        <v>39</v>
      </c>
      <c r="P88" s="115" t="s">
        <v>135</v>
      </c>
    </row>
    <row r="89" spans="1:16" s="119" customFormat="1" x14ac:dyDescent="0.25">
      <c r="A89" s="113" t="s">
        <v>78</v>
      </c>
      <c r="B89" s="114" t="s">
        <v>131</v>
      </c>
      <c r="C89" s="114" t="s">
        <v>131</v>
      </c>
      <c r="D89" s="115" t="s">
        <v>132</v>
      </c>
      <c r="E89" s="116" t="str">
        <f t="shared" si="4"/>
        <v>PFAS-S0-P500-Day20-C:PFBS</v>
      </c>
      <c r="F89" s="115" t="str">
        <f>VLOOKUP(C89,'Task 2b Sample List'!I:K,3,FALSE)</f>
        <v>PFAS-S0-P500-Day20-C</v>
      </c>
      <c r="G89" s="168" t="str">
        <f t="shared" si="3"/>
        <v>PFAS-S0-P500-Day20</v>
      </c>
      <c r="H89" s="115" t="str">
        <f>VLOOKUP(C89,'Task 2b Sample List'!I:L,4,FALSE)</f>
        <v>A</v>
      </c>
      <c r="I89" s="115" t="s">
        <v>242</v>
      </c>
      <c r="J89" s="115">
        <v>0</v>
      </c>
      <c r="K89" s="115">
        <v>500</v>
      </c>
      <c r="L89" s="115">
        <v>20</v>
      </c>
      <c r="M89" s="117" t="s">
        <v>25</v>
      </c>
      <c r="N89" s="115" t="s">
        <v>136</v>
      </c>
      <c r="O89" s="118" t="s">
        <v>39</v>
      </c>
      <c r="P89" s="115" t="s">
        <v>136</v>
      </c>
    </row>
    <row r="90" spans="1:16" s="119" customFormat="1" x14ac:dyDescent="0.25">
      <c r="A90" s="113" t="s">
        <v>78</v>
      </c>
      <c r="B90" s="114" t="s">
        <v>131</v>
      </c>
      <c r="C90" s="114" t="s">
        <v>131</v>
      </c>
      <c r="D90" s="115" t="s">
        <v>132</v>
      </c>
      <c r="E90" s="116" t="str">
        <f t="shared" si="4"/>
        <v>PFAS-S0-P500-Day20-C:PFOS</v>
      </c>
      <c r="F90" s="115" t="str">
        <f>VLOOKUP(C90,'Task 2b Sample List'!I:K,3,FALSE)</f>
        <v>PFAS-S0-P500-Day20-C</v>
      </c>
      <c r="G90" s="168" t="str">
        <f t="shared" si="3"/>
        <v>PFAS-S0-P500-Day20</v>
      </c>
      <c r="H90" s="115" t="str">
        <f>VLOOKUP(C90,'Task 2b Sample List'!I:L,4,FALSE)</f>
        <v>A</v>
      </c>
      <c r="I90" s="115" t="s">
        <v>242</v>
      </c>
      <c r="J90" s="115">
        <v>0</v>
      </c>
      <c r="K90" s="115">
        <v>500</v>
      </c>
      <c r="L90" s="115">
        <v>20</v>
      </c>
      <c r="M90" s="117" t="s">
        <v>26</v>
      </c>
      <c r="N90" s="115" t="s">
        <v>137</v>
      </c>
      <c r="O90" s="118" t="s">
        <v>39</v>
      </c>
      <c r="P90" s="115" t="s">
        <v>137</v>
      </c>
    </row>
    <row r="91" spans="1:16" s="127" customFormat="1" ht="15.75" thickBot="1" x14ac:dyDescent="0.3">
      <c r="A91" s="122" t="s">
        <v>78</v>
      </c>
      <c r="B91" s="123" t="s">
        <v>131</v>
      </c>
      <c r="C91" s="123" t="s">
        <v>131</v>
      </c>
      <c r="D91" s="124" t="s">
        <v>132</v>
      </c>
      <c r="E91" s="125" t="str">
        <f t="shared" si="4"/>
        <v>PFAS-S0-P500-Day20-C:8:2FTS</v>
      </c>
      <c r="F91" s="124" t="str">
        <f>VLOOKUP(C91,'Task 2b Sample List'!I:K,3,FALSE)</f>
        <v>PFAS-S0-P500-Day20-C</v>
      </c>
      <c r="G91" s="169" t="str">
        <f t="shared" si="3"/>
        <v>PFAS-S0-P500-Day20</v>
      </c>
      <c r="H91" s="124" t="str">
        <f>VLOOKUP(C91,'Task 2b Sample List'!I:L,4,FALSE)</f>
        <v>A</v>
      </c>
      <c r="I91" s="124" t="s">
        <v>242</v>
      </c>
      <c r="J91" s="124">
        <v>0</v>
      </c>
      <c r="K91" s="124">
        <v>500</v>
      </c>
      <c r="L91" s="124">
        <v>20</v>
      </c>
      <c r="M91" s="120" t="s">
        <v>27</v>
      </c>
      <c r="N91" s="124" t="s">
        <v>138</v>
      </c>
      <c r="O91" s="126" t="s">
        <v>39</v>
      </c>
      <c r="P91" s="124" t="s">
        <v>138</v>
      </c>
    </row>
    <row r="92" spans="1:16" x14ac:dyDescent="0.25">
      <c r="A92" s="95" t="s">
        <v>78</v>
      </c>
      <c r="B92" s="1" t="s">
        <v>139</v>
      </c>
      <c r="C92" s="1" t="s">
        <v>139</v>
      </c>
      <c r="D92" s="2" t="s">
        <v>140</v>
      </c>
      <c r="E92" s="94" t="str">
        <f t="shared" si="4"/>
        <v>HSM-S50-P0-Day20-A:PFHxA</v>
      </c>
      <c r="F92" s="2" t="str">
        <f>VLOOKUP(C92,'Task 2b Sample List'!I:K,3,FALSE)</f>
        <v>HSM-S50-P0-Day20-A</v>
      </c>
      <c r="G92" s="166" t="str">
        <f>LEFT(F92,16)</f>
        <v>HSM-S50-P0-Day20</v>
      </c>
      <c r="H92" s="2" t="str">
        <f>VLOOKUP(C92,'Task 2b Sample List'!I:L,4,FALSE)</f>
        <v>B</v>
      </c>
      <c r="I92" s="2" t="s">
        <v>175</v>
      </c>
      <c r="J92" s="2">
        <v>50</v>
      </c>
      <c r="K92" s="2">
        <v>0</v>
      </c>
      <c r="L92" s="2">
        <v>20</v>
      </c>
      <c r="M92" s="7" t="s">
        <v>22</v>
      </c>
      <c r="N92" s="2" t="s">
        <v>141</v>
      </c>
      <c r="O92" s="3" t="s">
        <v>142</v>
      </c>
      <c r="P92" s="2" t="s">
        <v>141</v>
      </c>
    </row>
    <row r="93" spans="1:16" x14ac:dyDescent="0.25">
      <c r="A93" s="95" t="s">
        <v>78</v>
      </c>
      <c r="B93" s="1" t="s">
        <v>139</v>
      </c>
      <c r="C93" s="1" t="s">
        <v>139</v>
      </c>
      <c r="D93" s="2" t="s">
        <v>140</v>
      </c>
      <c r="E93" s="94" t="str">
        <f t="shared" si="4"/>
        <v>HSM-S50-P0-Day20-A:PFOA</v>
      </c>
      <c r="F93" s="2" t="str">
        <f>VLOOKUP(C93,'Task 2b Sample List'!I:K,3,FALSE)</f>
        <v>HSM-S50-P0-Day20-A</v>
      </c>
      <c r="G93" s="166" t="str">
        <f t="shared" ref="G93:G109" si="5">LEFT(F93,16)</f>
        <v>HSM-S50-P0-Day20</v>
      </c>
      <c r="H93" s="2" t="str">
        <f>VLOOKUP(C93,'Task 2b Sample List'!I:L,4,FALSE)</f>
        <v>B</v>
      </c>
      <c r="I93" s="2" t="s">
        <v>175</v>
      </c>
      <c r="J93" s="2">
        <v>50</v>
      </c>
      <c r="K93" s="2">
        <v>0</v>
      </c>
      <c r="L93" s="2">
        <v>20</v>
      </c>
      <c r="M93" s="7" t="s">
        <v>23</v>
      </c>
      <c r="N93" s="4" t="s">
        <v>143</v>
      </c>
      <c r="O93" s="5" t="s">
        <v>7</v>
      </c>
      <c r="P93" s="2">
        <v>0</v>
      </c>
    </row>
    <row r="94" spans="1:16" x14ac:dyDescent="0.25">
      <c r="A94" s="95" t="s">
        <v>78</v>
      </c>
      <c r="B94" s="1" t="s">
        <v>139</v>
      </c>
      <c r="C94" s="1" t="s">
        <v>139</v>
      </c>
      <c r="D94" s="2" t="s">
        <v>140</v>
      </c>
      <c r="E94" s="94" t="str">
        <f t="shared" si="4"/>
        <v>HSM-S50-P0-Day20-A:PFNA</v>
      </c>
      <c r="F94" s="2" t="str">
        <f>VLOOKUP(C94,'Task 2b Sample List'!I:K,3,FALSE)</f>
        <v>HSM-S50-P0-Day20-A</v>
      </c>
      <c r="G94" s="166" t="str">
        <f t="shared" si="5"/>
        <v>HSM-S50-P0-Day20</v>
      </c>
      <c r="H94" s="2" t="str">
        <f>VLOOKUP(C94,'Task 2b Sample List'!I:L,4,FALSE)</f>
        <v>B</v>
      </c>
      <c r="I94" s="2" t="s">
        <v>175</v>
      </c>
      <c r="J94" s="2">
        <v>50</v>
      </c>
      <c r="K94" s="2">
        <v>0</v>
      </c>
      <c r="L94" s="2">
        <v>20</v>
      </c>
      <c r="M94" s="7" t="s">
        <v>24</v>
      </c>
      <c r="N94" s="2" t="s">
        <v>144</v>
      </c>
      <c r="O94" s="3" t="s">
        <v>14</v>
      </c>
      <c r="P94" s="2" t="s">
        <v>144</v>
      </c>
    </row>
    <row r="95" spans="1:16" x14ac:dyDescent="0.25">
      <c r="A95" s="95" t="s">
        <v>78</v>
      </c>
      <c r="B95" s="1" t="s">
        <v>139</v>
      </c>
      <c r="C95" s="1" t="s">
        <v>139</v>
      </c>
      <c r="D95" s="2" t="s">
        <v>140</v>
      </c>
      <c r="E95" s="94" t="str">
        <f t="shared" si="4"/>
        <v>HSM-S50-P0-Day20-A:PFBS</v>
      </c>
      <c r="F95" s="2" t="str">
        <f>VLOOKUP(C95,'Task 2b Sample List'!I:K,3,FALSE)</f>
        <v>HSM-S50-P0-Day20-A</v>
      </c>
      <c r="G95" s="166" t="str">
        <f t="shared" si="5"/>
        <v>HSM-S50-P0-Day20</v>
      </c>
      <c r="H95" s="2" t="str">
        <f>VLOOKUP(C95,'Task 2b Sample List'!I:L,4,FALSE)</f>
        <v>B</v>
      </c>
      <c r="I95" s="2" t="s">
        <v>175</v>
      </c>
      <c r="J95" s="2">
        <v>50</v>
      </c>
      <c r="K95" s="2">
        <v>0</v>
      </c>
      <c r="L95" s="2">
        <v>20</v>
      </c>
      <c r="M95" s="7" t="s">
        <v>25</v>
      </c>
      <c r="N95" s="4" t="s">
        <v>145</v>
      </c>
      <c r="O95" s="5" t="s">
        <v>7</v>
      </c>
      <c r="P95" s="2">
        <v>0</v>
      </c>
    </row>
    <row r="96" spans="1:16" x14ac:dyDescent="0.25">
      <c r="A96" s="95" t="s">
        <v>78</v>
      </c>
      <c r="B96" s="1" t="s">
        <v>139</v>
      </c>
      <c r="C96" s="1" t="s">
        <v>139</v>
      </c>
      <c r="D96" s="2" t="s">
        <v>140</v>
      </c>
      <c r="E96" s="94" t="str">
        <f t="shared" si="4"/>
        <v>HSM-S50-P0-Day20-A:PFOS</v>
      </c>
      <c r="F96" s="2" t="str">
        <f>VLOOKUP(C96,'Task 2b Sample List'!I:K,3,FALSE)</f>
        <v>HSM-S50-P0-Day20-A</v>
      </c>
      <c r="G96" s="166" t="str">
        <f t="shared" si="5"/>
        <v>HSM-S50-P0-Day20</v>
      </c>
      <c r="H96" s="2" t="str">
        <f>VLOOKUP(C96,'Task 2b Sample List'!I:L,4,FALSE)</f>
        <v>B</v>
      </c>
      <c r="I96" s="2" t="s">
        <v>175</v>
      </c>
      <c r="J96" s="2">
        <v>50</v>
      </c>
      <c r="K96" s="2">
        <v>0</v>
      </c>
      <c r="L96" s="2">
        <v>20</v>
      </c>
      <c r="M96" s="7" t="s">
        <v>26</v>
      </c>
      <c r="N96" s="2" t="s">
        <v>146</v>
      </c>
      <c r="O96" s="3" t="s">
        <v>7</v>
      </c>
      <c r="P96" s="2">
        <v>0</v>
      </c>
    </row>
    <row r="97" spans="1:16" ht="15.75" thickBot="1" x14ac:dyDescent="0.3">
      <c r="A97" s="95" t="s">
        <v>78</v>
      </c>
      <c r="B97" s="1" t="s">
        <v>139</v>
      </c>
      <c r="C97" s="1" t="s">
        <v>139</v>
      </c>
      <c r="D97" s="2" t="s">
        <v>140</v>
      </c>
      <c r="E97" s="94" t="str">
        <f t="shared" si="4"/>
        <v>HSM-S50-P0-Day20-A:8:2FTS</v>
      </c>
      <c r="F97" s="2" t="str">
        <f>VLOOKUP(C97,'Task 2b Sample List'!I:K,3,FALSE)</f>
        <v>HSM-S50-P0-Day20-A</v>
      </c>
      <c r="G97" s="166" t="str">
        <f t="shared" si="5"/>
        <v>HSM-S50-P0-Day20</v>
      </c>
      <c r="H97" s="2" t="str">
        <f>VLOOKUP(C97,'Task 2b Sample List'!I:L,4,FALSE)</f>
        <v>B</v>
      </c>
      <c r="I97" s="2" t="s">
        <v>175</v>
      </c>
      <c r="J97" s="2">
        <v>50</v>
      </c>
      <c r="K97" s="2">
        <v>0</v>
      </c>
      <c r="L97" s="2">
        <v>20</v>
      </c>
      <c r="M97" s="8" t="s">
        <v>27</v>
      </c>
      <c r="N97" s="4" t="s">
        <v>147</v>
      </c>
      <c r="O97" s="5" t="s">
        <v>14</v>
      </c>
      <c r="P97" s="2" t="s">
        <v>147</v>
      </c>
    </row>
    <row r="98" spans="1:16" x14ac:dyDescent="0.25">
      <c r="A98" s="95" t="s">
        <v>78</v>
      </c>
      <c r="B98" s="1" t="s">
        <v>148</v>
      </c>
      <c r="C98" s="1" t="s">
        <v>148</v>
      </c>
      <c r="D98" s="2" t="s">
        <v>149</v>
      </c>
      <c r="E98" s="94" t="str">
        <f t="shared" si="4"/>
        <v>HSM-S50-P0-Day20-B:PFHxA</v>
      </c>
      <c r="F98" s="2" t="str">
        <f>VLOOKUP(C98,'Task 2b Sample List'!I:K,3,FALSE)</f>
        <v>HSM-S50-P0-Day20-B</v>
      </c>
      <c r="G98" s="166" t="str">
        <f t="shared" si="5"/>
        <v>HSM-S50-P0-Day20</v>
      </c>
      <c r="H98" s="2" t="str">
        <f>VLOOKUP(C98,'Task 2b Sample List'!I:L,4,FALSE)</f>
        <v>B</v>
      </c>
      <c r="I98" s="2" t="s">
        <v>175</v>
      </c>
      <c r="J98" s="2">
        <v>50</v>
      </c>
      <c r="K98" s="2">
        <v>0</v>
      </c>
      <c r="L98" s="2">
        <v>20</v>
      </c>
      <c r="M98" s="6" t="s">
        <v>22</v>
      </c>
      <c r="N98" s="2" t="s">
        <v>150</v>
      </c>
      <c r="O98" s="3" t="s">
        <v>142</v>
      </c>
      <c r="P98" s="2" t="s">
        <v>150</v>
      </c>
    </row>
    <row r="99" spans="1:16" x14ac:dyDescent="0.25">
      <c r="A99" s="95" t="s">
        <v>78</v>
      </c>
      <c r="B99" s="1" t="s">
        <v>148</v>
      </c>
      <c r="C99" s="1" t="s">
        <v>148</v>
      </c>
      <c r="D99" s="2" t="s">
        <v>149</v>
      </c>
      <c r="E99" s="94" t="str">
        <f t="shared" si="4"/>
        <v>HSM-S50-P0-Day20-B:PFOA</v>
      </c>
      <c r="F99" s="2" t="str">
        <f>VLOOKUP(C99,'Task 2b Sample List'!I:K,3,FALSE)</f>
        <v>HSM-S50-P0-Day20-B</v>
      </c>
      <c r="G99" s="166" t="str">
        <f t="shared" si="5"/>
        <v>HSM-S50-P0-Day20</v>
      </c>
      <c r="H99" s="2" t="str">
        <f>VLOOKUP(C99,'Task 2b Sample List'!I:L,4,FALSE)</f>
        <v>B</v>
      </c>
      <c r="I99" s="2" t="s">
        <v>175</v>
      </c>
      <c r="J99" s="2">
        <v>50</v>
      </c>
      <c r="K99" s="2">
        <v>0</v>
      </c>
      <c r="L99" s="2">
        <v>20</v>
      </c>
      <c r="M99" s="7" t="s">
        <v>23</v>
      </c>
      <c r="N99" s="4" t="s">
        <v>151</v>
      </c>
      <c r="O99" s="5" t="s">
        <v>7</v>
      </c>
      <c r="P99" s="2">
        <v>0</v>
      </c>
    </row>
    <row r="100" spans="1:16" x14ac:dyDescent="0.25">
      <c r="A100" s="95" t="s">
        <v>78</v>
      </c>
      <c r="B100" s="1" t="s">
        <v>148</v>
      </c>
      <c r="C100" s="1" t="s">
        <v>148</v>
      </c>
      <c r="D100" s="2" t="s">
        <v>149</v>
      </c>
      <c r="E100" s="94" t="str">
        <f t="shared" si="4"/>
        <v>HSM-S50-P0-Day20-B:PFNA</v>
      </c>
      <c r="F100" s="2" t="str">
        <f>VLOOKUP(C100,'Task 2b Sample List'!I:K,3,FALSE)</f>
        <v>HSM-S50-P0-Day20-B</v>
      </c>
      <c r="G100" s="166" t="str">
        <f t="shared" si="5"/>
        <v>HSM-S50-P0-Day20</v>
      </c>
      <c r="H100" s="2" t="str">
        <f>VLOOKUP(C100,'Task 2b Sample List'!I:L,4,FALSE)</f>
        <v>B</v>
      </c>
      <c r="I100" s="2" t="s">
        <v>175</v>
      </c>
      <c r="J100" s="2">
        <v>50</v>
      </c>
      <c r="K100" s="2">
        <v>0</v>
      </c>
      <c r="L100" s="2">
        <v>20</v>
      </c>
      <c r="M100" s="7" t="s">
        <v>24</v>
      </c>
      <c r="N100" s="2" t="s">
        <v>152</v>
      </c>
      <c r="O100" s="3" t="s">
        <v>7</v>
      </c>
      <c r="P100" s="2">
        <v>0</v>
      </c>
    </row>
    <row r="101" spans="1:16" x14ac:dyDescent="0.25">
      <c r="A101" s="95" t="s">
        <v>78</v>
      </c>
      <c r="B101" s="1" t="s">
        <v>148</v>
      </c>
      <c r="C101" s="1" t="s">
        <v>148</v>
      </c>
      <c r="D101" s="2" t="s">
        <v>149</v>
      </c>
      <c r="E101" s="94" t="str">
        <f t="shared" si="4"/>
        <v>HSM-S50-P0-Day20-B:PFBS</v>
      </c>
      <c r="F101" s="2" t="str">
        <f>VLOOKUP(C101,'Task 2b Sample List'!I:K,3,FALSE)</f>
        <v>HSM-S50-P0-Day20-B</v>
      </c>
      <c r="G101" s="166" t="str">
        <f t="shared" si="5"/>
        <v>HSM-S50-P0-Day20</v>
      </c>
      <c r="H101" s="2" t="str">
        <f>VLOOKUP(C101,'Task 2b Sample List'!I:L,4,FALSE)</f>
        <v>B</v>
      </c>
      <c r="I101" s="2" t="s">
        <v>175</v>
      </c>
      <c r="J101" s="2">
        <v>50</v>
      </c>
      <c r="K101" s="2">
        <v>0</v>
      </c>
      <c r="L101" s="2">
        <v>20</v>
      </c>
      <c r="M101" s="7" t="s">
        <v>25</v>
      </c>
      <c r="N101" s="4" t="s">
        <v>153</v>
      </c>
      <c r="O101" s="5" t="s">
        <v>14</v>
      </c>
      <c r="P101" s="2" t="s">
        <v>153</v>
      </c>
    </row>
    <row r="102" spans="1:16" x14ac:dyDescent="0.25">
      <c r="A102" s="95" t="s">
        <v>78</v>
      </c>
      <c r="B102" s="1" t="s">
        <v>148</v>
      </c>
      <c r="C102" s="1" t="s">
        <v>148</v>
      </c>
      <c r="D102" s="2" t="s">
        <v>149</v>
      </c>
      <c r="E102" s="94" t="str">
        <f t="shared" si="4"/>
        <v>HSM-S50-P0-Day20-B:PFOS</v>
      </c>
      <c r="F102" s="2" t="str">
        <f>VLOOKUP(C102,'Task 2b Sample List'!I:K,3,FALSE)</f>
        <v>HSM-S50-P0-Day20-B</v>
      </c>
      <c r="G102" s="166" t="str">
        <f t="shared" si="5"/>
        <v>HSM-S50-P0-Day20</v>
      </c>
      <c r="H102" s="2" t="str">
        <f>VLOOKUP(C102,'Task 2b Sample List'!I:L,4,FALSE)</f>
        <v>B</v>
      </c>
      <c r="I102" s="2" t="s">
        <v>175</v>
      </c>
      <c r="J102" s="2">
        <v>50</v>
      </c>
      <c r="K102" s="2">
        <v>0</v>
      </c>
      <c r="L102" s="2">
        <v>20</v>
      </c>
      <c r="M102" s="7" t="s">
        <v>26</v>
      </c>
      <c r="N102" s="2" t="s">
        <v>12</v>
      </c>
      <c r="O102" s="3" t="s">
        <v>9</v>
      </c>
      <c r="P102" s="2">
        <v>0</v>
      </c>
    </row>
    <row r="103" spans="1:16" ht="15.75" thickBot="1" x14ac:dyDescent="0.3">
      <c r="A103" s="95" t="s">
        <v>78</v>
      </c>
      <c r="B103" s="1" t="s">
        <v>148</v>
      </c>
      <c r="C103" s="1" t="s">
        <v>148</v>
      </c>
      <c r="D103" s="2" t="s">
        <v>149</v>
      </c>
      <c r="E103" s="94" t="str">
        <f t="shared" si="4"/>
        <v>HSM-S50-P0-Day20-B:8:2FTS</v>
      </c>
      <c r="F103" s="2" t="str">
        <f>VLOOKUP(C103,'Task 2b Sample List'!I:K,3,FALSE)</f>
        <v>HSM-S50-P0-Day20-B</v>
      </c>
      <c r="G103" s="166" t="str">
        <f t="shared" si="5"/>
        <v>HSM-S50-P0-Day20</v>
      </c>
      <c r="H103" s="2" t="str">
        <f>VLOOKUP(C103,'Task 2b Sample List'!I:L,4,FALSE)</f>
        <v>B</v>
      </c>
      <c r="I103" s="2" t="s">
        <v>175</v>
      </c>
      <c r="J103" s="2">
        <v>50</v>
      </c>
      <c r="K103" s="2">
        <v>0</v>
      </c>
      <c r="L103" s="2">
        <v>20</v>
      </c>
      <c r="M103" s="8" t="s">
        <v>27</v>
      </c>
      <c r="N103" s="4" t="s">
        <v>154</v>
      </c>
      <c r="O103" s="5" t="s">
        <v>14</v>
      </c>
      <c r="P103" s="2" t="s">
        <v>154</v>
      </c>
    </row>
    <row r="104" spans="1:16" x14ac:dyDescent="0.25">
      <c r="A104" s="95" t="s">
        <v>78</v>
      </c>
      <c r="B104" s="1" t="s">
        <v>155</v>
      </c>
      <c r="C104" s="1" t="s">
        <v>155</v>
      </c>
      <c r="D104" s="2" t="s">
        <v>156</v>
      </c>
      <c r="E104" s="94" t="str">
        <f t="shared" si="4"/>
        <v>HSM-S50-P0-Day20-C:PFHxA</v>
      </c>
      <c r="F104" s="2" t="str">
        <f>VLOOKUP(C104,'Task 2b Sample List'!I:K,3,FALSE)</f>
        <v>HSM-S50-P0-Day20-C</v>
      </c>
      <c r="G104" s="166" t="str">
        <f t="shared" si="5"/>
        <v>HSM-S50-P0-Day20</v>
      </c>
      <c r="H104" s="2" t="str">
        <f>VLOOKUP(C104,'Task 2b Sample List'!I:L,4,FALSE)</f>
        <v>B</v>
      </c>
      <c r="I104" s="2" t="s">
        <v>175</v>
      </c>
      <c r="J104" s="2">
        <v>50</v>
      </c>
      <c r="K104" s="2">
        <v>0</v>
      </c>
      <c r="L104" s="2">
        <v>20</v>
      </c>
      <c r="M104" s="6" t="s">
        <v>22</v>
      </c>
      <c r="N104" s="2" t="s">
        <v>157</v>
      </c>
      <c r="O104" s="3" t="s">
        <v>142</v>
      </c>
      <c r="P104" s="2" t="s">
        <v>157</v>
      </c>
    </row>
    <row r="105" spans="1:16" x14ac:dyDescent="0.25">
      <c r="A105" s="95" t="s">
        <v>78</v>
      </c>
      <c r="B105" s="1" t="s">
        <v>155</v>
      </c>
      <c r="C105" s="1" t="s">
        <v>155</v>
      </c>
      <c r="D105" s="2" t="s">
        <v>156</v>
      </c>
      <c r="E105" s="94" t="str">
        <f t="shared" si="4"/>
        <v>HSM-S50-P0-Day20-C:PFOA</v>
      </c>
      <c r="F105" s="2" t="str">
        <f>VLOOKUP(C105,'Task 2b Sample List'!I:K,3,FALSE)</f>
        <v>HSM-S50-P0-Day20-C</v>
      </c>
      <c r="G105" s="166" t="str">
        <f t="shared" si="5"/>
        <v>HSM-S50-P0-Day20</v>
      </c>
      <c r="H105" s="2" t="str">
        <f>VLOOKUP(C105,'Task 2b Sample List'!I:L,4,FALSE)</f>
        <v>B</v>
      </c>
      <c r="I105" s="2" t="s">
        <v>175</v>
      </c>
      <c r="J105" s="2">
        <v>50</v>
      </c>
      <c r="K105" s="2">
        <v>0</v>
      </c>
      <c r="L105" s="2">
        <v>20</v>
      </c>
      <c r="M105" s="7" t="s">
        <v>23</v>
      </c>
      <c r="N105" s="4" t="s">
        <v>158</v>
      </c>
      <c r="O105" s="5" t="s">
        <v>7</v>
      </c>
      <c r="P105" s="2">
        <v>0</v>
      </c>
    </row>
    <row r="106" spans="1:16" x14ac:dyDescent="0.25">
      <c r="A106" s="95" t="s">
        <v>78</v>
      </c>
      <c r="B106" s="1" t="s">
        <v>155</v>
      </c>
      <c r="C106" s="1" t="s">
        <v>155</v>
      </c>
      <c r="D106" s="2" t="s">
        <v>156</v>
      </c>
      <c r="E106" s="94" t="str">
        <f t="shared" si="4"/>
        <v>HSM-S50-P0-Day20-C:PFNA</v>
      </c>
      <c r="F106" s="2" t="str">
        <f>VLOOKUP(C106,'Task 2b Sample List'!I:K,3,FALSE)</f>
        <v>HSM-S50-P0-Day20-C</v>
      </c>
      <c r="G106" s="166" t="str">
        <f t="shared" si="5"/>
        <v>HSM-S50-P0-Day20</v>
      </c>
      <c r="H106" s="2" t="str">
        <f>VLOOKUP(C106,'Task 2b Sample List'!I:L,4,FALSE)</f>
        <v>B</v>
      </c>
      <c r="I106" s="2" t="s">
        <v>175</v>
      </c>
      <c r="J106" s="2">
        <v>50</v>
      </c>
      <c r="K106" s="2">
        <v>0</v>
      </c>
      <c r="L106" s="2">
        <v>20</v>
      </c>
      <c r="M106" s="7" t="s">
        <v>24</v>
      </c>
      <c r="N106" s="2" t="s">
        <v>159</v>
      </c>
      <c r="O106" s="3" t="s">
        <v>14</v>
      </c>
      <c r="P106" s="2" t="s">
        <v>159</v>
      </c>
    </row>
    <row r="107" spans="1:16" x14ac:dyDescent="0.25">
      <c r="A107" s="95" t="s">
        <v>78</v>
      </c>
      <c r="B107" s="1" t="s">
        <v>155</v>
      </c>
      <c r="C107" s="1" t="s">
        <v>155</v>
      </c>
      <c r="D107" s="2" t="s">
        <v>156</v>
      </c>
      <c r="E107" s="94" t="str">
        <f t="shared" si="4"/>
        <v>HSM-S50-P0-Day20-C:PFBS</v>
      </c>
      <c r="F107" s="2" t="str">
        <f>VLOOKUP(C107,'Task 2b Sample List'!I:K,3,FALSE)</f>
        <v>HSM-S50-P0-Day20-C</v>
      </c>
      <c r="G107" s="166" t="str">
        <f t="shared" si="5"/>
        <v>HSM-S50-P0-Day20</v>
      </c>
      <c r="H107" s="2" t="str">
        <f>VLOOKUP(C107,'Task 2b Sample List'!I:L,4,FALSE)</f>
        <v>B</v>
      </c>
      <c r="I107" s="2" t="s">
        <v>175</v>
      </c>
      <c r="J107" s="2">
        <v>50</v>
      </c>
      <c r="K107" s="2">
        <v>0</v>
      </c>
      <c r="L107" s="2">
        <v>20</v>
      </c>
      <c r="M107" s="7" t="s">
        <v>25</v>
      </c>
      <c r="N107" s="4" t="s">
        <v>160</v>
      </c>
      <c r="O107" s="5" t="s">
        <v>14</v>
      </c>
      <c r="P107" s="2" t="s">
        <v>160</v>
      </c>
    </row>
    <row r="108" spans="1:16" x14ac:dyDescent="0.25">
      <c r="A108" s="95" t="s">
        <v>78</v>
      </c>
      <c r="B108" s="1" t="s">
        <v>155</v>
      </c>
      <c r="C108" s="1" t="s">
        <v>155</v>
      </c>
      <c r="D108" s="2" t="s">
        <v>156</v>
      </c>
      <c r="E108" s="94" t="str">
        <f t="shared" si="4"/>
        <v>HSM-S50-P0-Day20-C:PFOS</v>
      </c>
      <c r="F108" s="2" t="str">
        <f>VLOOKUP(C108,'Task 2b Sample List'!I:K,3,FALSE)</f>
        <v>HSM-S50-P0-Day20-C</v>
      </c>
      <c r="G108" s="166" t="str">
        <f t="shared" si="5"/>
        <v>HSM-S50-P0-Day20</v>
      </c>
      <c r="H108" s="2" t="str">
        <f>VLOOKUP(C108,'Task 2b Sample List'!I:L,4,FALSE)</f>
        <v>B</v>
      </c>
      <c r="I108" s="2" t="s">
        <v>175</v>
      </c>
      <c r="J108" s="2">
        <v>50</v>
      </c>
      <c r="K108" s="2">
        <v>0</v>
      </c>
      <c r="L108" s="2">
        <v>20</v>
      </c>
      <c r="M108" s="7" t="s">
        <v>26</v>
      </c>
      <c r="N108" s="2" t="s">
        <v>161</v>
      </c>
      <c r="O108" s="3" t="s">
        <v>9</v>
      </c>
      <c r="P108" s="2">
        <v>0</v>
      </c>
    </row>
    <row r="109" spans="1:16" ht="15.75" thickBot="1" x14ac:dyDescent="0.3">
      <c r="A109" s="95" t="s">
        <v>78</v>
      </c>
      <c r="B109" s="1" t="s">
        <v>155</v>
      </c>
      <c r="C109" s="1" t="s">
        <v>155</v>
      </c>
      <c r="D109" s="2" t="s">
        <v>156</v>
      </c>
      <c r="E109" s="94" t="str">
        <f t="shared" ref="E109:E172" si="6">F109&amp;":"&amp;M109</f>
        <v>HSM-S50-P0-Day20-C:8:2FTS</v>
      </c>
      <c r="F109" s="2" t="str">
        <f>VLOOKUP(C109,'Task 2b Sample List'!I:K,3,FALSE)</f>
        <v>HSM-S50-P0-Day20-C</v>
      </c>
      <c r="G109" s="166" t="str">
        <f t="shared" si="5"/>
        <v>HSM-S50-P0-Day20</v>
      </c>
      <c r="H109" s="2" t="str">
        <f>VLOOKUP(C109,'Task 2b Sample List'!I:L,4,FALSE)</f>
        <v>B</v>
      </c>
      <c r="I109" s="2" t="s">
        <v>175</v>
      </c>
      <c r="J109" s="2">
        <v>50</v>
      </c>
      <c r="K109" s="2">
        <v>0</v>
      </c>
      <c r="L109" s="2">
        <v>20</v>
      </c>
      <c r="M109" s="8" t="s">
        <v>27</v>
      </c>
      <c r="N109" s="4" t="s">
        <v>162</v>
      </c>
      <c r="O109" s="5" t="s">
        <v>7</v>
      </c>
      <c r="P109" s="2">
        <v>0</v>
      </c>
    </row>
    <row r="110" spans="1:16" x14ac:dyDescent="0.25">
      <c r="A110" s="96" t="s">
        <v>79</v>
      </c>
      <c r="B110" s="1" t="s">
        <v>255</v>
      </c>
      <c r="C110" s="1" t="s">
        <v>255</v>
      </c>
      <c r="D110" s="2" t="s">
        <v>256</v>
      </c>
      <c r="E110" s="94" t="str">
        <f t="shared" si="6"/>
        <v>HSM-S50-P10-Day20-A:PFHxA</v>
      </c>
      <c r="F110" s="2" t="str">
        <f>VLOOKUP(C110,'Task 2b Sample List'!I:K,3,FALSE)</f>
        <v>HSM-S50-P10-Day20-A</v>
      </c>
      <c r="G110" s="166" t="str">
        <f t="shared" ref="G110:G145" si="7">LEFT(F110,17)</f>
        <v>HSM-S50-P10-Day20</v>
      </c>
      <c r="H110" s="2" t="str">
        <f>VLOOKUP(C110,'Task 2b Sample List'!I:L,4,FALSE)</f>
        <v>A</v>
      </c>
      <c r="I110" s="2" t="s">
        <v>175</v>
      </c>
      <c r="J110" s="2">
        <v>50</v>
      </c>
      <c r="K110" s="2">
        <v>10</v>
      </c>
      <c r="L110" s="2">
        <v>20</v>
      </c>
      <c r="M110" s="6" t="s">
        <v>22</v>
      </c>
      <c r="N110" s="2" t="s">
        <v>257</v>
      </c>
      <c r="O110" s="3" t="s">
        <v>39</v>
      </c>
      <c r="P110" s="2" t="s">
        <v>257</v>
      </c>
    </row>
    <row r="111" spans="1:16" x14ac:dyDescent="0.25">
      <c r="A111" s="96" t="s">
        <v>79</v>
      </c>
      <c r="B111" s="1" t="s">
        <v>255</v>
      </c>
      <c r="C111" s="1" t="s">
        <v>255</v>
      </c>
      <c r="D111" s="2" t="s">
        <v>256</v>
      </c>
      <c r="E111" s="94" t="str">
        <f t="shared" si="6"/>
        <v>HSM-S50-P10-Day20-A:PFOA</v>
      </c>
      <c r="F111" s="2" t="str">
        <f>VLOOKUP(C111,'Task 2b Sample List'!I:K,3,FALSE)</f>
        <v>HSM-S50-P10-Day20-A</v>
      </c>
      <c r="G111" s="166" t="str">
        <f t="shared" si="7"/>
        <v>HSM-S50-P10-Day20</v>
      </c>
      <c r="H111" s="2" t="str">
        <f>VLOOKUP(C111,'Task 2b Sample List'!I:L,4,FALSE)</f>
        <v>A</v>
      </c>
      <c r="I111" s="2" t="s">
        <v>175</v>
      </c>
      <c r="J111" s="2">
        <v>50</v>
      </c>
      <c r="K111" s="2">
        <v>10</v>
      </c>
      <c r="L111" s="2">
        <v>20</v>
      </c>
      <c r="M111" s="7" t="s">
        <v>23</v>
      </c>
      <c r="N111" s="4" t="s">
        <v>258</v>
      </c>
      <c r="O111" s="5" t="s">
        <v>39</v>
      </c>
      <c r="P111" s="2" t="s">
        <v>258</v>
      </c>
    </row>
    <row r="112" spans="1:16" x14ac:dyDescent="0.25">
      <c r="A112" s="96" t="s">
        <v>79</v>
      </c>
      <c r="B112" s="1" t="s">
        <v>255</v>
      </c>
      <c r="C112" s="1" t="s">
        <v>255</v>
      </c>
      <c r="D112" s="2" t="s">
        <v>256</v>
      </c>
      <c r="E112" s="94" t="str">
        <f t="shared" si="6"/>
        <v>HSM-S50-P10-Day20-A:PFNA</v>
      </c>
      <c r="F112" s="2" t="str">
        <f>VLOOKUP(C112,'Task 2b Sample List'!I:K,3,FALSE)</f>
        <v>HSM-S50-P10-Day20-A</v>
      </c>
      <c r="G112" s="166" t="str">
        <f t="shared" si="7"/>
        <v>HSM-S50-P10-Day20</v>
      </c>
      <c r="H112" s="2" t="str">
        <f>VLOOKUP(C112,'Task 2b Sample List'!I:L,4,FALSE)</f>
        <v>A</v>
      </c>
      <c r="I112" s="2" t="s">
        <v>175</v>
      </c>
      <c r="J112" s="2">
        <v>50</v>
      </c>
      <c r="K112" s="2">
        <v>10</v>
      </c>
      <c r="L112" s="2">
        <v>20</v>
      </c>
      <c r="M112" s="7" t="s">
        <v>24</v>
      </c>
      <c r="N112" s="2" t="s">
        <v>259</v>
      </c>
      <c r="O112" s="3" t="s">
        <v>39</v>
      </c>
      <c r="P112" s="2" t="s">
        <v>259</v>
      </c>
    </row>
    <row r="113" spans="1:16" x14ac:dyDescent="0.25">
      <c r="A113" s="96" t="s">
        <v>79</v>
      </c>
      <c r="B113" s="1" t="s">
        <v>255</v>
      </c>
      <c r="C113" s="1" t="s">
        <v>255</v>
      </c>
      <c r="D113" s="2" t="s">
        <v>256</v>
      </c>
      <c r="E113" s="94" t="str">
        <f t="shared" si="6"/>
        <v>HSM-S50-P10-Day20-A:PFBS</v>
      </c>
      <c r="F113" s="2" t="str">
        <f>VLOOKUP(C113,'Task 2b Sample List'!I:K,3,FALSE)</f>
        <v>HSM-S50-P10-Day20-A</v>
      </c>
      <c r="G113" s="166" t="str">
        <f t="shared" si="7"/>
        <v>HSM-S50-P10-Day20</v>
      </c>
      <c r="H113" s="2" t="str">
        <f>VLOOKUP(C113,'Task 2b Sample List'!I:L,4,FALSE)</f>
        <v>A</v>
      </c>
      <c r="I113" s="2" t="s">
        <v>175</v>
      </c>
      <c r="J113" s="2">
        <v>50</v>
      </c>
      <c r="K113" s="2">
        <v>10</v>
      </c>
      <c r="L113" s="2">
        <v>20</v>
      </c>
      <c r="M113" s="7" t="s">
        <v>25</v>
      </c>
      <c r="N113" s="4" t="s">
        <v>260</v>
      </c>
      <c r="O113" s="5" t="s">
        <v>39</v>
      </c>
      <c r="P113" s="2" t="s">
        <v>260</v>
      </c>
    </row>
    <row r="114" spans="1:16" x14ac:dyDescent="0.25">
      <c r="A114" s="96" t="s">
        <v>79</v>
      </c>
      <c r="B114" s="1" t="s">
        <v>255</v>
      </c>
      <c r="C114" s="1" t="s">
        <v>255</v>
      </c>
      <c r="D114" s="2" t="s">
        <v>256</v>
      </c>
      <c r="E114" s="94" t="str">
        <f t="shared" si="6"/>
        <v>HSM-S50-P10-Day20-A:PFOS</v>
      </c>
      <c r="F114" s="2" t="str">
        <f>VLOOKUP(C114,'Task 2b Sample List'!I:K,3,FALSE)</f>
        <v>HSM-S50-P10-Day20-A</v>
      </c>
      <c r="G114" s="166" t="str">
        <f t="shared" si="7"/>
        <v>HSM-S50-P10-Day20</v>
      </c>
      <c r="H114" s="2" t="str">
        <f>VLOOKUP(C114,'Task 2b Sample List'!I:L,4,FALSE)</f>
        <v>A</v>
      </c>
      <c r="I114" s="2" t="s">
        <v>175</v>
      </c>
      <c r="J114" s="2">
        <v>50</v>
      </c>
      <c r="K114" s="2">
        <v>10</v>
      </c>
      <c r="L114" s="2">
        <v>20</v>
      </c>
      <c r="M114" s="7" t="s">
        <v>26</v>
      </c>
      <c r="N114" s="2" t="s">
        <v>261</v>
      </c>
      <c r="O114" s="3" t="s">
        <v>39</v>
      </c>
      <c r="P114" s="2" t="s">
        <v>261</v>
      </c>
    </row>
    <row r="115" spans="1:16" ht="15.75" thickBot="1" x14ac:dyDescent="0.3">
      <c r="A115" s="96" t="s">
        <v>79</v>
      </c>
      <c r="B115" s="1" t="s">
        <v>255</v>
      </c>
      <c r="C115" s="1" t="s">
        <v>255</v>
      </c>
      <c r="D115" s="2" t="s">
        <v>256</v>
      </c>
      <c r="E115" s="94" t="str">
        <f t="shared" si="6"/>
        <v>HSM-S50-P10-Day20-A:8:2FTS</v>
      </c>
      <c r="F115" s="2" t="str">
        <f>VLOOKUP(C115,'Task 2b Sample List'!I:K,3,FALSE)</f>
        <v>HSM-S50-P10-Day20-A</v>
      </c>
      <c r="G115" s="166" t="str">
        <f t="shared" si="7"/>
        <v>HSM-S50-P10-Day20</v>
      </c>
      <c r="H115" s="2" t="str">
        <f>VLOOKUP(C115,'Task 2b Sample List'!I:L,4,FALSE)</f>
        <v>A</v>
      </c>
      <c r="I115" s="2" t="s">
        <v>175</v>
      </c>
      <c r="J115" s="2">
        <v>50</v>
      </c>
      <c r="K115" s="2">
        <v>10</v>
      </c>
      <c r="L115" s="2">
        <v>20</v>
      </c>
      <c r="M115" s="8" t="s">
        <v>27</v>
      </c>
      <c r="N115" s="4" t="s">
        <v>262</v>
      </c>
      <c r="O115" s="5" t="s">
        <v>39</v>
      </c>
      <c r="P115" s="2" t="s">
        <v>262</v>
      </c>
    </row>
    <row r="116" spans="1:16" x14ac:dyDescent="0.25">
      <c r="A116" s="96" t="s">
        <v>79</v>
      </c>
      <c r="B116" s="1" t="s">
        <v>270</v>
      </c>
      <c r="C116" s="1" t="s">
        <v>270</v>
      </c>
      <c r="D116" s="2" t="s">
        <v>263</v>
      </c>
      <c r="E116" s="94" t="str">
        <f t="shared" si="6"/>
        <v>HSM-S50-P10-Day20-B:PFHxA</v>
      </c>
      <c r="F116" s="2" t="str">
        <f>VLOOKUP(C116,'Task 2b Sample List'!I:K,3,FALSE)</f>
        <v>HSM-S50-P10-Day20-B</v>
      </c>
      <c r="G116" s="166" t="str">
        <f t="shared" si="7"/>
        <v>HSM-S50-P10-Day20</v>
      </c>
      <c r="H116" s="2" t="str">
        <f>VLOOKUP(C116,'Task 2b Sample List'!I:L,4,FALSE)</f>
        <v>A</v>
      </c>
      <c r="I116" s="2" t="s">
        <v>175</v>
      </c>
      <c r="J116" s="2">
        <v>50</v>
      </c>
      <c r="K116" s="2">
        <v>10</v>
      </c>
      <c r="L116" s="2">
        <v>20</v>
      </c>
      <c r="M116" s="6" t="s">
        <v>22</v>
      </c>
      <c r="N116" s="2" t="s">
        <v>264</v>
      </c>
      <c r="O116" s="3" t="s">
        <v>39</v>
      </c>
      <c r="P116" s="2" t="s">
        <v>264</v>
      </c>
    </row>
    <row r="117" spans="1:16" x14ac:dyDescent="0.25">
      <c r="A117" s="96" t="s">
        <v>79</v>
      </c>
      <c r="B117" s="1" t="s">
        <v>270</v>
      </c>
      <c r="C117" s="1" t="s">
        <v>270</v>
      </c>
      <c r="D117" s="2" t="s">
        <v>263</v>
      </c>
      <c r="E117" s="94" t="str">
        <f t="shared" si="6"/>
        <v>HSM-S50-P10-Day20-B:PFOA</v>
      </c>
      <c r="F117" s="2" t="str">
        <f>VLOOKUP(C117,'Task 2b Sample List'!I:K,3,FALSE)</f>
        <v>HSM-S50-P10-Day20-B</v>
      </c>
      <c r="G117" s="166" t="str">
        <f t="shared" si="7"/>
        <v>HSM-S50-P10-Day20</v>
      </c>
      <c r="H117" s="2" t="str">
        <f>VLOOKUP(C117,'Task 2b Sample List'!I:L,4,FALSE)</f>
        <v>A</v>
      </c>
      <c r="I117" s="2" t="s">
        <v>175</v>
      </c>
      <c r="J117" s="2">
        <v>50</v>
      </c>
      <c r="K117" s="2">
        <v>10</v>
      </c>
      <c r="L117" s="2">
        <v>20</v>
      </c>
      <c r="M117" s="7" t="s">
        <v>23</v>
      </c>
      <c r="N117" s="4" t="s">
        <v>265</v>
      </c>
      <c r="O117" s="5" t="s">
        <v>39</v>
      </c>
      <c r="P117" s="2" t="s">
        <v>265</v>
      </c>
    </row>
    <row r="118" spans="1:16" x14ac:dyDescent="0.25">
      <c r="A118" s="96" t="s">
        <v>79</v>
      </c>
      <c r="B118" s="1" t="s">
        <v>270</v>
      </c>
      <c r="C118" s="1" t="s">
        <v>270</v>
      </c>
      <c r="D118" s="2" t="s">
        <v>263</v>
      </c>
      <c r="E118" s="94" t="str">
        <f t="shared" si="6"/>
        <v>HSM-S50-P10-Day20-B:PFNA</v>
      </c>
      <c r="F118" s="2" t="str">
        <f>VLOOKUP(C118,'Task 2b Sample List'!I:K,3,FALSE)</f>
        <v>HSM-S50-P10-Day20-B</v>
      </c>
      <c r="G118" s="166" t="str">
        <f t="shared" si="7"/>
        <v>HSM-S50-P10-Day20</v>
      </c>
      <c r="H118" s="2" t="str">
        <f>VLOOKUP(C118,'Task 2b Sample List'!I:L,4,FALSE)</f>
        <v>A</v>
      </c>
      <c r="I118" s="2" t="s">
        <v>175</v>
      </c>
      <c r="J118" s="2">
        <v>50</v>
      </c>
      <c r="K118" s="2">
        <v>10</v>
      </c>
      <c r="L118" s="2">
        <v>20</v>
      </c>
      <c r="M118" s="7" t="s">
        <v>24</v>
      </c>
      <c r="N118" s="2" t="s">
        <v>266</v>
      </c>
      <c r="O118" s="3" t="s">
        <v>39</v>
      </c>
      <c r="P118" s="2" t="s">
        <v>266</v>
      </c>
    </row>
    <row r="119" spans="1:16" x14ac:dyDescent="0.25">
      <c r="A119" s="96" t="s">
        <v>79</v>
      </c>
      <c r="B119" s="1" t="s">
        <v>270</v>
      </c>
      <c r="C119" s="1" t="s">
        <v>270</v>
      </c>
      <c r="D119" s="2" t="s">
        <v>263</v>
      </c>
      <c r="E119" s="94" t="str">
        <f t="shared" si="6"/>
        <v>HSM-S50-P10-Day20-B:PFBS</v>
      </c>
      <c r="F119" s="2" t="str">
        <f>VLOOKUP(C119,'Task 2b Sample List'!I:K,3,FALSE)</f>
        <v>HSM-S50-P10-Day20-B</v>
      </c>
      <c r="G119" s="166" t="str">
        <f t="shared" si="7"/>
        <v>HSM-S50-P10-Day20</v>
      </c>
      <c r="H119" s="2" t="str">
        <f>VLOOKUP(C119,'Task 2b Sample List'!I:L,4,FALSE)</f>
        <v>A</v>
      </c>
      <c r="I119" s="2" t="s">
        <v>175</v>
      </c>
      <c r="J119" s="2">
        <v>50</v>
      </c>
      <c r="K119" s="2">
        <v>10</v>
      </c>
      <c r="L119" s="2">
        <v>20</v>
      </c>
      <c r="M119" s="7" t="s">
        <v>25</v>
      </c>
      <c r="N119" s="4" t="s">
        <v>267</v>
      </c>
      <c r="O119" s="5" t="s">
        <v>39</v>
      </c>
      <c r="P119" s="2" t="s">
        <v>267</v>
      </c>
    </row>
    <row r="120" spans="1:16" x14ac:dyDescent="0.25">
      <c r="A120" s="96" t="s">
        <v>79</v>
      </c>
      <c r="B120" s="1" t="s">
        <v>270</v>
      </c>
      <c r="C120" s="1" t="s">
        <v>270</v>
      </c>
      <c r="D120" s="2" t="s">
        <v>263</v>
      </c>
      <c r="E120" s="94" t="str">
        <f t="shared" si="6"/>
        <v>HSM-S50-P10-Day20-B:PFOS</v>
      </c>
      <c r="F120" s="2" t="str">
        <f>VLOOKUP(C120,'Task 2b Sample List'!I:K,3,FALSE)</f>
        <v>HSM-S50-P10-Day20-B</v>
      </c>
      <c r="G120" s="166" t="str">
        <f t="shared" si="7"/>
        <v>HSM-S50-P10-Day20</v>
      </c>
      <c r="H120" s="2" t="str">
        <f>VLOOKUP(C120,'Task 2b Sample List'!I:L,4,FALSE)</f>
        <v>A</v>
      </c>
      <c r="I120" s="2" t="s">
        <v>175</v>
      </c>
      <c r="J120" s="2">
        <v>50</v>
      </c>
      <c r="K120" s="2">
        <v>10</v>
      </c>
      <c r="L120" s="2">
        <v>20</v>
      </c>
      <c r="M120" s="7" t="s">
        <v>26</v>
      </c>
      <c r="N120" s="2" t="s">
        <v>268</v>
      </c>
      <c r="O120" s="3" t="s">
        <v>39</v>
      </c>
      <c r="P120" s="2" t="s">
        <v>268</v>
      </c>
    </row>
    <row r="121" spans="1:16" ht="15.75" thickBot="1" x14ac:dyDescent="0.3">
      <c r="A121" s="96" t="s">
        <v>79</v>
      </c>
      <c r="B121" s="1" t="s">
        <v>270</v>
      </c>
      <c r="C121" s="1" t="s">
        <v>270</v>
      </c>
      <c r="D121" s="2" t="s">
        <v>263</v>
      </c>
      <c r="E121" s="94" t="str">
        <f t="shared" si="6"/>
        <v>HSM-S50-P10-Day20-B:8:2FTS</v>
      </c>
      <c r="F121" s="2" t="str">
        <f>VLOOKUP(C121,'Task 2b Sample List'!I:K,3,FALSE)</f>
        <v>HSM-S50-P10-Day20-B</v>
      </c>
      <c r="G121" s="166" t="str">
        <f t="shared" si="7"/>
        <v>HSM-S50-P10-Day20</v>
      </c>
      <c r="H121" s="2" t="str">
        <f>VLOOKUP(C121,'Task 2b Sample List'!I:L,4,FALSE)</f>
        <v>A</v>
      </c>
      <c r="I121" s="2" t="s">
        <v>175</v>
      </c>
      <c r="J121" s="2">
        <v>50</v>
      </c>
      <c r="K121" s="2">
        <v>10</v>
      </c>
      <c r="L121" s="2">
        <v>20</v>
      </c>
      <c r="M121" s="8" t="s">
        <v>27</v>
      </c>
      <c r="N121" s="4" t="s">
        <v>269</v>
      </c>
      <c r="O121" s="5" t="s">
        <v>39</v>
      </c>
      <c r="P121" s="2" t="s">
        <v>269</v>
      </c>
    </row>
    <row r="122" spans="1:16" x14ac:dyDescent="0.25">
      <c r="A122" s="96" t="s">
        <v>79</v>
      </c>
      <c r="B122" s="1" t="s">
        <v>271</v>
      </c>
      <c r="C122" s="1" t="s">
        <v>271</v>
      </c>
      <c r="D122" s="2" t="s">
        <v>272</v>
      </c>
      <c r="E122" s="94" t="str">
        <f t="shared" si="6"/>
        <v>HSM-S50-P10-Day20-C:PFHxA</v>
      </c>
      <c r="F122" s="2" t="str">
        <f>VLOOKUP(C122,'Task 2b Sample List'!I:K,3,FALSE)</f>
        <v>HSM-S50-P10-Day20-C</v>
      </c>
      <c r="G122" s="166" t="str">
        <f t="shared" si="7"/>
        <v>HSM-S50-P10-Day20</v>
      </c>
      <c r="H122" s="2" t="str">
        <f>VLOOKUP(C122,'Task 2b Sample List'!I:L,4,FALSE)</f>
        <v>A</v>
      </c>
      <c r="I122" s="2" t="s">
        <v>175</v>
      </c>
      <c r="J122" s="2">
        <v>50</v>
      </c>
      <c r="K122" s="2">
        <v>10</v>
      </c>
      <c r="L122" s="2">
        <v>20</v>
      </c>
      <c r="M122" s="6" t="s">
        <v>22</v>
      </c>
      <c r="N122" s="2" t="s">
        <v>273</v>
      </c>
      <c r="O122" s="3" t="s">
        <v>39</v>
      </c>
      <c r="P122" s="2" t="s">
        <v>273</v>
      </c>
    </row>
    <row r="123" spans="1:16" x14ac:dyDescent="0.25">
      <c r="A123" s="96" t="s">
        <v>79</v>
      </c>
      <c r="B123" s="1" t="s">
        <v>271</v>
      </c>
      <c r="C123" s="1" t="s">
        <v>271</v>
      </c>
      <c r="D123" s="2" t="s">
        <v>272</v>
      </c>
      <c r="E123" s="94" t="str">
        <f t="shared" si="6"/>
        <v>HSM-S50-P10-Day20-C:PFOA</v>
      </c>
      <c r="F123" s="2" t="str">
        <f>VLOOKUP(C123,'Task 2b Sample List'!I:K,3,FALSE)</f>
        <v>HSM-S50-P10-Day20-C</v>
      </c>
      <c r="G123" s="166" t="str">
        <f t="shared" si="7"/>
        <v>HSM-S50-P10-Day20</v>
      </c>
      <c r="H123" s="2" t="str">
        <f>VLOOKUP(C123,'Task 2b Sample List'!I:L,4,FALSE)</f>
        <v>A</v>
      </c>
      <c r="I123" s="2" t="s">
        <v>175</v>
      </c>
      <c r="J123" s="2">
        <v>50</v>
      </c>
      <c r="K123" s="2">
        <v>10</v>
      </c>
      <c r="L123" s="2">
        <v>20</v>
      </c>
      <c r="M123" s="7" t="s">
        <v>23</v>
      </c>
      <c r="N123" s="4" t="s">
        <v>274</v>
      </c>
      <c r="O123" s="5" t="s">
        <v>39</v>
      </c>
      <c r="P123" s="2" t="s">
        <v>274</v>
      </c>
    </row>
    <row r="124" spans="1:16" x14ac:dyDescent="0.25">
      <c r="A124" s="96" t="s">
        <v>79</v>
      </c>
      <c r="B124" s="1" t="s">
        <v>271</v>
      </c>
      <c r="C124" s="1" t="s">
        <v>271</v>
      </c>
      <c r="D124" s="2" t="s">
        <v>272</v>
      </c>
      <c r="E124" s="94" t="str">
        <f t="shared" si="6"/>
        <v>HSM-S50-P10-Day20-C:PFNA</v>
      </c>
      <c r="F124" s="2" t="str">
        <f>VLOOKUP(C124,'Task 2b Sample List'!I:K,3,FALSE)</f>
        <v>HSM-S50-P10-Day20-C</v>
      </c>
      <c r="G124" s="166" t="str">
        <f t="shared" si="7"/>
        <v>HSM-S50-P10-Day20</v>
      </c>
      <c r="H124" s="2" t="str">
        <f>VLOOKUP(C124,'Task 2b Sample List'!I:L,4,FALSE)</f>
        <v>A</v>
      </c>
      <c r="I124" s="2" t="s">
        <v>175</v>
      </c>
      <c r="J124" s="2">
        <v>50</v>
      </c>
      <c r="K124" s="2">
        <v>10</v>
      </c>
      <c r="L124" s="2">
        <v>20</v>
      </c>
      <c r="M124" s="7" t="s">
        <v>24</v>
      </c>
      <c r="N124" s="2" t="s">
        <v>275</v>
      </c>
      <c r="O124" s="3" t="s">
        <v>39</v>
      </c>
      <c r="P124" s="2" t="s">
        <v>275</v>
      </c>
    </row>
    <row r="125" spans="1:16" x14ac:dyDescent="0.25">
      <c r="A125" s="96" t="s">
        <v>79</v>
      </c>
      <c r="B125" s="1" t="s">
        <v>271</v>
      </c>
      <c r="C125" s="1" t="s">
        <v>271</v>
      </c>
      <c r="D125" s="2" t="s">
        <v>272</v>
      </c>
      <c r="E125" s="94" t="str">
        <f t="shared" si="6"/>
        <v>HSM-S50-P10-Day20-C:PFBS</v>
      </c>
      <c r="F125" s="2" t="str">
        <f>VLOOKUP(C125,'Task 2b Sample List'!I:K,3,FALSE)</f>
        <v>HSM-S50-P10-Day20-C</v>
      </c>
      <c r="G125" s="166" t="str">
        <f t="shared" si="7"/>
        <v>HSM-S50-P10-Day20</v>
      </c>
      <c r="H125" s="2" t="str">
        <f>VLOOKUP(C125,'Task 2b Sample List'!I:L,4,FALSE)</f>
        <v>A</v>
      </c>
      <c r="I125" s="2" t="s">
        <v>175</v>
      </c>
      <c r="J125" s="2">
        <v>50</v>
      </c>
      <c r="K125" s="2">
        <v>10</v>
      </c>
      <c r="L125" s="2">
        <v>20</v>
      </c>
      <c r="M125" s="7" t="s">
        <v>25</v>
      </c>
      <c r="N125" s="4" t="s">
        <v>276</v>
      </c>
      <c r="O125" s="5" t="s">
        <v>39</v>
      </c>
      <c r="P125" s="2" t="s">
        <v>276</v>
      </c>
    </row>
    <row r="126" spans="1:16" x14ac:dyDescent="0.25">
      <c r="A126" s="96" t="s">
        <v>79</v>
      </c>
      <c r="B126" s="1" t="s">
        <v>271</v>
      </c>
      <c r="C126" s="1" t="s">
        <v>271</v>
      </c>
      <c r="D126" s="2" t="s">
        <v>272</v>
      </c>
      <c r="E126" s="94" t="str">
        <f t="shared" si="6"/>
        <v>HSM-S50-P10-Day20-C:PFOS</v>
      </c>
      <c r="F126" s="2" t="str">
        <f>VLOOKUP(C126,'Task 2b Sample List'!I:K,3,FALSE)</f>
        <v>HSM-S50-P10-Day20-C</v>
      </c>
      <c r="G126" s="166" t="str">
        <f t="shared" si="7"/>
        <v>HSM-S50-P10-Day20</v>
      </c>
      <c r="H126" s="2" t="str">
        <f>VLOOKUP(C126,'Task 2b Sample List'!I:L,4,FALSE)</f>
        <v>A</v>
      </c>
      <c r="I126" s="2" t="s">
        <v>175</v>
      </c>
      <c r="J126" s="2">
        <v>50</v>
      </c>
      <c r="K126" s="2">
        <v>10</v>
      </c>
      <c r="L126" s="2">
        <v>20</v>
      </c>
      <c r="M126" s="7" t="s">
        <v>26</v>
      </c>
      <c r="N126" s="2" t="s">
        <v>277</v>
      </c>
      <c r="O126" s="3" t="s">
        <v>39</v>
      </c>
      <c r="P126" s="2" t="s">
        <v>277</v>
      </c>
    </row>
    <row r="127" spans="1:16" ht="15.75" thickBot="1" x14ac:dyDescent="0.3">
      <c r="A127" s="96" t="s">
        <v>79</v>
      </c>
      <c r="B127" s="1" t="s">
        <v>271</v>
      </c>
      <c r="C127" s="1" t="s">
        <v>271</v>
      </c>
      <c r="D127" s="2" t="s">
        <v>272</v>
      </c>
      <c r="E127" s="94" t="str">
        <f t="shared" si="6"/>
        <v>HSM-S50-P10-Day20-C:8:2FTS</v>
      </c>
      <c r="F127" s="2" t="str">
        <f>VLOOKUP(C127,'Task 2b Sample List'!I:K,3,FALSE)</f>
        <v>HSM-S50-P10-Day20-C</v>
      </c>
      <c r="G127" s="166" t="str">
        <f t="shared" si="7"/>
        <v>HSM-S50-P10-Day20</v>
      </c>
      <c r="H127" s="2" t="str">
        <f>VLOOKUP(C127,'Task 2b Sample List'!I:L,4,FALSE)</f>
        <v>A</v>
      </c>
      <c r="I127" s="2" t="s">
        <v>175</v>
      </c>
      <c r="J127" s="2">
        <v>50</v>
      </c>
      <c r="K127" s="2">
        <v>10</v>
      </c>
      <c r="L127" s="2">
        <v>20</v>
      </c>
      <c r="M127" s="8" t="s">
        <v>27</v>
      </c>
      <c r="N127" s="4" t="s">
        <v>278</v>
      </c>
      <c r="O127" s="5" t="s">
        <v>39</v>
      </c>
      <c r="P127" s="2" t="s">
        <v>278</v>
      </c>
    </row>
    <row r="128" spans="1:16" x14ac:dyDescent="0.25">
      <c r="A128" s="96" t="s">
        <v>79</v>
      </c>
      <c r="B128" s="1" t="s">
        <v>279</v>
      </c>
      <c r="C128" s="1" t="s">
        <v>279</v>
      </c>
      <c r="D128" s="2" t="s">
        <v>280</v>
      </c>
      <c r="E128" s="94" t="str">
        <f t="shared" si="6"/>
        <v>HSM-S50-P50-Day20-A:PFHxA</v>
      </c>
      <c r="F128" s="2" t="str">
        <f>VLOOKUP(C128,'Task 2b Sample List'!I:K,3,FALSE)</f>
        <v>HSM-S50-P50-Day20-A</v>
      </c>
      <c r="G128" s="166" t="str">
        <f t="shared" si="7"/>
        <v>HSM-S50-P50-Day20</v>
      </c>
      <c r="H128" s="2" t="str">
        <f>VLOOKUP(C128,'Task 2b Sample List'!I:L,4,FALSE)</f>
        <v>A</v>
      </c>
      <c r="I128" s="2" t="s">
        <v>175</v>
      </c>
      <c r="J128" s="2">
        <v>50</v>
      </c>
      <c r="K128" s="2">
        <v>50</v>
      </c>
      <c r="L128" s="2">
        <v>20</v>
      </c>
      <c r="M128" s="6" t="s">
        <v>22</v>
      </c>
      <c r="N128" s="2" t="s">
        <v>281</v>
      </c>
      <c r="O128" s="3" t="s">
        <v>39</v>
      </c>
      <c r="P128" s="2" t="s">
        <v>281</v>
      </c>
    </row>
    <row r="129" spans="1:16" x14ac:dyDescent="0.25">
      <c r="A129" s="96" t="s">
        <v>79</v>
      </c>
      <c r="B129" s="1" t="s">
        <v>279</v>
      </c>
      <c r="C129" s="1" t="s">
        <v>279</v>
      </c>
      <c r="D129" s="2" t="s">
        <v>280</v>
      </c>
      <c r="E129" s="94" t="str">
        <f t="shared" si="6"/>
        <v>HSM-S50-P50-Day20-A:PFOA</v>
      </c>
      <c r="F129" s="2" t="str">
        <f>VLOOKUP(C129,'Task 2b Sample List'!I:K,3,FALSE)</f>
        <v>HSM-S50-P50-Day20-A</v>
      </c>
      <c r="G129" s="166" t="str">
        <f t="shared" si="7"/>
        <v>HSM-S50-P50-Day20</v>
      </c>
      <c r="H129" s="2" t="str">
        <f>VLOOKUP(C129,'Task 2b Sample List'!I:L,4,FALSE)</f>
        <v>A</v>
      </c>
      <c r="I129" s="2" t="s">
        <v>175</v>
      </c>
      <c r="J129" s="2">
        <v>50</v>
      </c>
      <c r="K129" s="2">
        <v>50</v>
      </c>
      <c r="L129" s="2">
        <v>20</v>
      </c>
      <c r="M129" s="7" t="s">
        <v>23</v>
      </c>
      <c r="N129" s="4" t="s">
        <v>282</v>
      </c>
      <c r="O129" s="5" t="s">
        <v>39</v>
      </c>
      <c r="P129" s="2" t="s">
        <v>282</v>
      </c>
    </row>
    <row r="130" spans="1:16" x14ac:dyDescent="0.25">
      <c r="A130" s="96" t="s">
        <v>79</v>
      </c>
      <c r="B130" s="1" t="s">
        <v>279</v>
      </c>
      <c r="C130" s="1" t="s">
        <v>279</v>
      </c>
      <c r="D130" s="2" t="s">
        <v>280</v>
      </c>
      <c r="E130" s="94" t="str">
        <f t="shared" si="6"/>
        <v>HSM-S50-P50-Day20-A:PFNA</v>
      </c>
      <c r="F130" s="2" t="str">
        <f>VLOOKUP(C130,'Task 2b Sample List'!I:K,3,FALSE)</f>
        <v>HSM-S50-P50-Day20-A</v>
      </c>
      <c r="G130" s="166" t="str">
        <f t="shared" si="7"/>
        <v>HSM-S50-P50-Day20</v>
      </c>
      <c r="H130" s="2" t="str">
        <f>VLOOKUP(C130,'Task 2b Sample List'!I:L,4,FALSE)</f>
        <v>A</v>
      </c>
      <c r="I130" s="2" t="s">
        <v>175</v>
      </c>
      <c r="J130" s="2">
        <v>50</v>
      </c>
      <c r="K130" s="2">
        <v>50</v>
      </c>
      <c r="L130" s="2">
        <v>20</v>
      </c>
      <c r="M130" s="7" t="s">
        <v>24</v>
      </c>
      <c r="N130" s="2" t="s">
        <v>283</v>
      </c>
      <c r="O130" s="3" t="s">
        <v>39</v>
      </c>
      <c r="P130" s="2" t="s">
        <v>283</v>
      </c>
    </row>
    <row r="131" spans="1:16" x14ac:dyDescent="0.25">
      <c r="A131" s="96" t="s">
        <v>79</v>
      </c>
      <c r="B131" s="1" t="s">
        <v>279</v>
      </c>
      <c r="C131" s="1" t="s">
        <v>279</v>
      </c>
      <c r="D131" s="2" t="s">
        <v>280</v>
      </c>
      <c r="E131" s="94" t="str">
        <f t="shared" si="6"/>
        <v>HSM-S50-P50-Day20-A:PFBS</v>
      </c>
      <c r="F131" s="2" t="str">
        <f>VLOOKUP(C131,'Task 2b Sample List'!I:K,3,FALSE)</f>
        <v>HSM-S50-P50-Day20-A</v>
      </c>
      <c r="G131" s="166" t="str">
        <f t="shared" si="7"/>
        <v>HSM-S50-P50-Day20</v>
      </c>
      <c r="H131" s="2" t="str">
        <f>VLOOKUP(C131,'Task 2b Sample List'!I:L,4,FALSE)</f>
        <v>A</v>
      </c>
      <c r="I131" s="2" t="s">
        <v>175</v>
      </c>
      <c r="J131" s="2">
        <v>50</v>
      </c>
      <c r="K131" s="2">
        <v>50</v>
      </c>
      <c r="L131" s="2">
        <v>20</v>
      </c>
      <c r="M131" s="7" t="s">
        <v>25</v>
      </c>
      <c r="N131" s="4" t="s">
        <v>284</v>
      </c>
      <c r="O131" s="5" t="s">
        <v>39</v>
      </c>
      <c r="P131" s="2" t="s">
        <v>284</v>
      </c>
    </row>
    <row r="132" spans="1:16" x14ac:dyDescent="0.25">
      <c r="A132" s="96" t="s">
        <v>79</v>
      </c>
      <c r="B132" s="1" t="s">
        <v>279</v>
      </c>
      <c r="C132" s="1" t="s">
        <v>279</v>
      </c>
      <c r="D132" s="2" t="s">
        <v>280</v>
      </c>
      <c r="E132" s="94" t="str">
        <f t="shared" si="6"/>
        <v>HSM-S50-P50-Day20-A:PFOS</v>
      </c>
      <c r="F132" s="2" t="str">
        <f>VLOOKUP(C132,'Task 2b Sample List'!I:K,3,FALSE)</f>
        <v>HSM-S50-P50-Day20-A</v>
      </c>
      <c r="G132" s="166" t="str">
        <f t="shared" si="7"/>
        <v>HSM-S50-P50-Day20</v>
      </c>
      <c r="H132" s="2" t="str">
        <f>VLOOKUP(C132,'Task 2b Sample List'!I:L,4,FALSE)</f>
        <v>A</v>
      </c>
      <c r="I132" s="2" t="s">
        <v>175</v>
      </c>
      <c r="J132" s="2">
        <v>50</v>
      </c>
      <c r="K132" s="2">
        <v>50</v>
      </c>
      <c r="L132" s="2">
        <v>20</v>
      </c>
      <c r="M132" s="7" t="s">
        <v>26</v>
      </c>
      <c r="N132" s="2" t="s">
        <v>285</v>
      </c>
      <c r="O132" s="3" t="s">
        <v>39</v>
      </c>
      <c r="P132" s="2" t="s">
        <v>285</v>
      </c>
    </row>
    <row r="133" spans="1:16" ht="15.75" thickBot="1" x14ac:dyDescent="0.3">
      <c r="A133" s="96" t="s">
        <v>79</v>
      </c>
      <c r="B133" s="1" t="s">
        <v>279</v>
      </c>
      <c r="C133" s="1" t="s">
        <v>279</v>
      </c>
      <c r="D133" s="2" t="s">
        <v>280</v>
      </c>
      <c r="E133" s="94" t="str">
        <f t="shared" si="6"/>
        <v>HSM-S50-P50-Day20-A:8:2FTS</v>
      </c>
      <c r="F133" s="2" t="str">
        <f>VLOOKUP(C133,'Task 2b Sample List'!I:K,3,FALSE)</f>
        <v>HSM-S50-P50-Day20-A</v>
      </c>
      <c r="G133" s="166" t="str">
        <f t="shared" si="7"/>
        <v>HSM-S50-P50-Day20</v>
      </c>
      <c r="H133" s="2" t="str">
        <f>VLOOKUP(C133,'Task 2b Sample List'!I:L,4,FALSE)</f>
        <v>A</v>
      </c>
      <c r="I133" s="2" t="s">
        <v>175</v>
      </c>
      <c r="J133" s="2">
        <v>50</v>
      </c>
      <c r="K133" s="2">
        <v>50</v>
      </c>
      <c r="L133" s="2">
        <v>20</v>
      </c>
      <c r="M133" s="8" t="s">
        <v>27</v>
      </c>
      <c r="N133" s="4" t="s">
        <v>286</v>
      </c>
      <c r="O133" s="5" t="s">
        <v>39</v>
      </c>
      <c r="P133" s="2" t="s">
        <v>286</v>
      </c>
    </row>
    <row r="134" spans="1:16" x14ac:dyDescent="0.25">
      <c r="A134" s="96" t="s">
        <v>79</v>
      </c>
      <c r="B134" s="1" t="s">
        <v>287</v>
      </c>
      <c r="C134" s="1" t="s">
        <v>287</v>
      </c>
      <c r="D134" s="2" t="s">
        <v>288</v>
      </c>
      <c r="E134" s="94" t="str">
        <f t="shared" si="6"/>
        <v>HSM-S50-P50-Day20-B:PFHxA</v>
      </c>
      <c r="F134" s="2" t="str">
        <f>VLOOKUP(C134,'Task 2b Sample List'!I:K,3,FALSE)</f>
        <v>HSM-S50-P50-Day20-B</v>
      </c>
      <c r="G134" s="166" t="str">
        <f t="shared" si="7"/>
        <v>HSM-S50-P50-Day20</v>
      </c>
      <c r="H134" s="2" t="str">
        <f>VLOOKUP(C134,'Task 2b Sample List'!I:L,4,FALSE)</f>
        <v>A</v>
      </c>
      <c r="I134" s="2" t="s">
        <v>175</v>
      </c>
      <c r="J134" s="2">
        <v>50</v>
      </c>
      <c r="K134" s="2">
        <v>50</v>
      </c>
      <c r="L134" s="2">
        <v>20</v>
      </c>
      <c r="M134" s="6" t="s">
        <v>22</v>
      </c>
      <c r="N134" s="2" t="s">
        <v>289</v>
      </c>
      <c r="O134" s="3" t="s">
        <v>39</v>
      </c>
      <c r="P134" s="2" t="s">
        <v>289</v>
      </c>
    </row>
    <row r="135" spans="1:16" x14ac:dyDescent="0.25">
      <c r="A135" s="96" t="s">
        <v>79</v>
      </c>
      <c r="B135" s="1" t="s">
        <v>287</v>
      </c>
      <c r="C135" s="1" t="s">
        <v>287</v>
      </c>
      <c r="D135" s="2" t="s">
        <v>288</v>
      </c>
      <c r="E135" s="94" t="str">
        <f t="shared" si="6"/>
        <v>HSM-S50-P50-Day20-B:PFOA</v>
      </c>
      <c r="F135" s="2" t="str">
        <f>VLOOKUP(C135,'Task 2b Sample List'!I:K,3,FALSE)</f>
        <v>HSM-S50-P50-Day20-B</v>
      </c>
      <c r="G135" s="166" t="str">
        <f t="shared" si="7"/>
        <v>HSM-S50-P50-Day20</v>
      </c>
      <c r="H135" s="2" t="str">
        <f>VLOOKUP(C135,'Task 2b Sample List'!I:L,4,FALSE)</f>
        <v>A</v>
      </c>
      <c r="I135" s="2" t="s">
        <v>175</v>
      </c>
      <c r="J135" s="2">
        <v>50</v>
      </c>
      <c r="K135" s="2">
        <v>50</v>
      </c>
      <c r="L135" s="2">
        <v>20</v>
      </c>
      <c r="M135" s="7" t="s">
        <v>23</v>
      </c>
      <c r="N135" s="4" t="s">
        <v>290</v>
      </c>
      <c r="O135" s="5" t="s">
        <v>39</v>
      </c>
      <c r="P135" s="2" t="s">
        <v>290</v>
      </c>
    </row>
    <row r="136" spans="1:16" x14ac:dyDescent="0.25">
      <c r="A136" s="96" t="s">
        <v>79</v>
      </c>
      <c r="B136" s="1" t="s">
        <v>287</v>
      </c>
      <c r="C136" s="1" t="s">
        <v>287</v>
      </c>
      <c r="D136" s="2" t="s">
        <v>288</v>
      </c>
      <c r="E136" s="94" t="str">
        <f t="shared" si="6"/>
        <v>HSM-S50-P50-Day20-B:PFNA</v>
      </c>
      <c r="F136" s="2" t="str">
        <f>VLOOKUP(C136,'Task 2b Sample List'!I:K,3,FALSE)</f>
        <v>HSM-S50-P50-Day20-B</v>
      </c>
      <c r="G136" s="166" t="str">
        <f t="shared" si="7"/>
        <v>HSM-S50-P50-Day20</v>
      </c>
      <c r="H136" s="2" t="str">
        <f>VLOOKUP(C136,'Task 2b Sample List'!I:L,4,FALSE)</f>
        <v>A</v>
      </c>
      <c r="I136" s="2" t="s">
        <v>175</v>
      </c>
      <c r="J136" s="2">
        <v>50</v>
      </c>
      <c r="K136" s="2">
        <v>50</v>
      </c>
      <c r="L136" s="2">
        <v>20</v>
      </c>
      <c r="M136" s="7" t="s">
        <v>24</v>
      </c>
      <c r="N136" s="2" t="s">
        <v>291</v>
      </c>
      <c r="O136" s="3" t="s">
        <v>39</v>
      </c>
      <c r="P136" s="2" t="s">
        <v>291</v>
      </c>
    </row>
    <row r="137" spans="1:16" x14ac:dyDescent="0.25">
      <c r="A137" s="96" t="s">
        <v>79</v>
      </c>
      <c r="B137" s="1" t="s">
        <v>287</v>
      </c>
      <c r="C137" s="1" t="s">
        <v>287</v>
      </c>
      <c r="D137" s="2" t="s">
        <v>288</v>
      </c>
      <c r="E137" s="94" t="str">
        <f t="shared" si="6"/>
        <v>HSM-S50-P50-Day20-B:PFBS</v>
      </c>
      <c r="F137" s="2" t="str">
        <f>VLOOKUP(C137,'Task 2b Sample List'!I:K,3,FALSE)</f>
        <v>HSM-S50-P50-Day20-B</v>
      </c>
      <c r="G137" s="166" t="str">
        <f t="shared" si="7"/>
        <v>HSM-S50-P50-Day20</v>
      </c>
      <c r="H137" s="2" t="str">
        <f>VLOOKUP(C137,'Task 2b Sample List'!I:L,4,FALSE)</f>
        <v>A</v>
      </c>
      <c r="I137" s="2" t="s">
        <v>175</v>
      </c>
      <c r="J137" s="2">
        <v>50</v>
      </c>
      <c r="K137" s="2">
        <v>50</v>
      </c>
      <c r="L137" s="2">
        <v>20</v>
      </c>
      <c r="M137" s="7" t="s">
        <v>25</v>
      </c>
      <c r="N137" s="4" t="s">
        <v>292</v>
      </c>
      <c r="O137" s="5" t="s">
        <v>39</v>
      </c>
      <c r="P137" s="2" t="s">
        <v>292</v>
      </c>
    </row>
    <row r="138" spans="1:16" x14ac:dyDescent="0.25">
      <c r="A138" s="96" t="s">
        <v>79</v>
      </c>
      <c r="B138" s="1" t="s">
        <v>287</v>
      </c>
      <c r="C138" s="1" t="s">
        <v>287</v>
      </c>
      <c r="D138" s="2" t="s">
        <v>288</v>
      </c>
      <c r="E138" s="94" t="str">
        <f t="shared" si="6"/>
        <v>HSM-S50-P50-Day20-B:PFOS</v>
      </c>
      <c r="F138" s="2" t="str">
        <f>VLOOKUP(C138,'Task 2b Sample List'!I:K,3,FALSE)</f>
        <v>HSM-S50-P50-Day20-B</v>
      </c>
      <c r="G138" s="166" t="str">
        <f t="shared" si="7"/>
        <v>HSM-S50-P50-Day20</v>
      </c>
      <c r="H138" s="2" t="str">
        <f>VLOOKUP(C138,'Task 2b Sample List'!I:L,4,FALSE)</f>
        <v>A</v>
      </c>
      <c r="I138" s="2" t="s">
        <v>175</v>
      </c>
      <c r="J138" s="2">
        <v>50</v>
      </c>
      <c r="K138" s="2">
        <v>50</v>
      </c>
      <c r="L138" s="2">
        <v>20</v>
      </c>
      <c r="M138" s="7" t="s">
        <v>26</v>
      </c>
      <c r="N138" s="2" t="s">
        <v>293</v>
      </c>
      <c r="O138" s="3" t="s">
        <v>39</v>
      </c>
      <c r="P138" s="2" t="s">
        <v>293</v>
      </c>
    </row>
    <row r="139" spans="1:16" ht="15.75" thickBot="1" x14ac:dyDescent="0.3">
      <c r="A139" s="96" t="s">
        <v>79</v>
      </c>
      <c r="B139" s="1" t="s">
        <v>287</v>
      </c>
      <c r="C139" s="1" t="s">
        <v>287</v>
      </c>
      <c r="D139" s="2" t="s">
        <v>288</v>
      </c>
      <c r="E139" s="94" t="str">
        <f t="shared" si="6"/>
        <v>HSM-S50-P50-Day20-B:8:2FTS</v>
      </c>
      <c r="F139" s="2" t="str">
        <f>VLOOKUP(C139,'Task 2b Sample List'!I:K,3,FALSE)</f>
        <v>HSM-S50-P50-Day20-B</v>
      </c>
      <c r="G139" s="166" t="str">
        <f t="shared" si="7"/>
        <v>HSM-S50-P50-Day20</v>
      </c>
      <c r="H139" s="2" t="str">
        <f>VLOOKUP(C139,'Task 2b Sample List'!I:L,4,FALSE)</f>
        <v>A</v>
      </c>
      <c r="I139" s="2" t="s">
        <v>175</v>
      </c>
      <c r="J139" s="2">
        <v>50</v>
      </c>
      <c r="K139" s="2">
        <v>50</v>
      </c>
      <c r="L139" s="2">
        <v>20</v>
      </c>
      <c r="M139" s="8" t="s">
        <v>27</v>
      </c>
      <c r="N139" s="4" t="s">
        <v>294</v>
      </c>
      <c r="O139" s="5" t="s">
        <v>39</v>
      </c>
      <c r="P139" s="2" t="s">
        <v>294</v>
      </c>
    </row>
    <row r="140" spans="1:16" x14ac:dyDescent="0.25">
      <c r="A140" s="96" t="s">
        <v>79</v>
      </c>
      <c r="B140" s="1" t="s">
        <v>295</v>
      </c>
      <c r="C140" s="1" t="s">
        <v>295</v>
      </c>
      <c r="D140" s="2" t="s">
        <v>296</v>
      </c>
      <c r="E140" s="94" t="str">
        <f t="shared" si="6"/>
        <v>HSM-S50-P50-Day20-C:PFHxA</v>
      </c>
      <c r="F140" s="2" t="str">
        <f>VLOOKUP(C140,'Task 2b Sample List'!I:K,3,FALSE)</f>
        <v>HSM-S50-P50-Day20-C</v>
      </c>
      <c r="G140" s="166" t="str">
        <f t="shared" si="7"/>
        <v>HSM-S50-P50-Day20</v>
      </c>
      <c r="H140" s="2" t="str">
        <f>VLOOKUP(C140,'Task 2b Sample List'!I:L,4,FALSE)</f>
        <v>A</v>
      </c>
      <c r="I140" s="2" t="s">
        <v>175</v>
      </c>
      <c r="J140" s="2">
        <v>50</v>
      </c>
      <c r="K140" s="2">
        <v>50</v>
      </c>
      <c r="L140" s="2">
        <v>20</v>
      </c>
      <c r="M140" s="6" t="s">
        <v>22</v>
      </c>
      <c r="N140" s="2" t="s">
        <v>86</v>
      </c>
      <c r="O140" s="3" t="s">
        <v>39</v>
      </c>
      <c r="P140" s="2" t="s">
        <v>86</v>
      </c>
    </row>
    <row r="141" spans="1:16" x14ac:dyDescent="0.25">
      <c r="A141" s="96" t="s">
        <v>79</v>
      </c>
      <c r="B141" s="1" t="s">
        <v>295</v>
      </c>
      <c r="C141" s="1" t="s">
        <v>295</v>
      </c>
      <c r="D141" s="2" t="s">
        <v>296</v>
      </c>
      <c r="E141" s="94" t="str">
        <f t="shared" si="6"/>
        <v>HSM-S50-P50-Day20-C:PFOA</v>
      </c>
      <c r="F141" s="2" t="str">
        <f>VLOOKUP(C141,'Task 2b Sample List'!I:K,3,FALSE)</f>
        <v>HSM-S50-P50-Day20-C</v>
      </c>
      <c r="G141" s="166" t="str">
        <f t="shared" si="7"/>
        <v>HSM-S50-P50-Day20</v>
      </c>
      <c r="H141" s="2" t="str">
        <f>VLOOKUP(C141,'Task 2b Sample List'!I:L,4,FALSE)</f>
        <v>A</v>
      </c>
      <c r="I141" s="2" t="s">
        <v>175</v>
      </c>
      <c r="J141" s="2">
        <v>50</v>
      </c>
      <c r="K141" s="2">
        <v>50</v>
      </c>
      <c r="L141" s="2">
        <v>20</v>
      </c>
      <c r="M141" s="7" t="s">
        <v>23</v>
      </c>
      <c r="N141" s="4" t="s">
        <v>297</v>
      </c>
      <c r="O141" s="5" t="s">
        <v>39</v>
      </c>
      <c r="P141" s="2" t="s">
        <v>297</v>
      </c>
    </row>
    <row r="142" spans="1:16" x14ac:dyDescent="0.25">
      <c r="A142" s="96" t="s">
        <v>79</v>
      </c>
      <c r="B142" s="1" t="s">
        <v>295</v>
      </c>
      <c r="C142" s="1" t="s">
        <v>295</v>
      </c>
      <c r="D142" s="2" t="s">
        <v>296</v>
      </c>
      <c r="E142" s="94" t="str">
        <f t="shared" si="6"/>
        <v>HSM-S50-P50-Day20-C:PFNA</v>
      </c>
      <c r="F142" s="2" t="str">
        <f>VLOOKUP(C142,'Task 2b Sample List'!I:K,3,FALSE)</f>
        <v>HSM-S50-P50-Day20-C</v>
      </c>
      <c r="G142" s="166" t="str">
        <f t="shared" si="7"/>
        <v>HSM-S50-P50-Day20</v>
      </c>
      <c r="H142" s="2" t="str">
        <f>VLOOKUP(C142,'Task 2b Sample List'!I:L,4,FALSE)</f>
        <v>A</v>
      </c>
      <c r="I142" s="2" t="s">
        <v>175</v>
      </c>
      <c r="J142" s="2">
        <v>50</v>
      </c>
      <c r="K142" s="2">
        <v>50</v>
      </c>
      <c r="L142" s="2">
        <v>20</v>
      </c>
      <c r="M142" s="7" t="s">
        <v>24</v>
      </c>
      <c r="N142" s="2" t="s">
        <v>298</v>
      </c>
      <c r="O142" s="3" t="s">
        <v>39</v>
      </c>
      <c r="P142" s="2" t="s">
        <v>298</v>
      </c>
    </row>
    <row r="143" spans="1:16" x14ac:dyDescent="0.25">
      <c r="A143" s="96" t="s">
        <v>79</v>
      </c>
      <c r="B143" s="1" t="s">
        <v>295</v>
      </c>
      <c r="C143" s="1" t="s">
        <v>295</v>
      </c>
      <c r="D143" s="2" t="s">
        <v>296</v>
      </c>
      <c r="E143" s="94" t="str">
        <f t="shared" si="6"/>
        <v>HSM-S50-P50-Day20-C:PFBS</v>
      </c>
      <c r="F143" s="2" t="str">
        <f>VLOOKUP(C143,'Task 2b Sample List'!I:K,3,FALSE)</f>
        <v>HSM-S50-P50-Day20-C</v>
      </c>
      <c r="G143" s="166" t="str">
        <f t="shared" si="7"/>
        <v>HSM-S50-P50-Day20</v>
      </c>
      <c r="H143" s="2" t="str">
        <f>VLOOKUP(C143,'Task 2b Sample List'!I:L,4,FALSE)</f>
        <v>A</v>
      </c>
      <c r="I143" s="2" t="s">
        <v>175</v>
      </c>
      <c r="J143" s="2">
        <v>50</v>
      </c>
      <c r="K143" s="2">
        <v>50</v>
      </c>
      <c r="L143" s="2">
        <v>20</v>
      </c>
      <c r="M143" s="7" t="s">
        <v>25</v>
      </c>
      <c r="N143" s="4" t="s">
        <v>299</v>
      </c>
      <c r="O143" s="5" t="s">
        <v>39</v>
      </c>
      <c r="P143" s="2" t="s">
        <v>299</v>
      </c>
    </row>
    <row r="144" spans="1:16" x14ac:dyDescent="0.25">
      <c r="A144" s="96" t="s">
        <v>79</v>
      </c>
      <c r="B144" s="1" t="s">
        <v>295</v>
      </c>
      <c r="C144" s="1" t="s">
        <v>295</v>
      </c>
      <c r="D144" s="2" t="s">
        <v>296</v>
      </c>
      <c r="E144" s="94" t="str">
        <f t="shared" si="6"/>
        <v>HSM-S50-P50-Day20-C:PFOS</v>
      </c>
      <c r="F144" s="2" t="str">
        <f>VLOOKUP(C144,'Task 2b Sample List'!I:K,3,FALSE)</f>
        <v>HSM-S50-P50-Day20-C</v>
      </c>
      <c r="G144" s="166" t="str">
        <f t="shared" si="7"/>
        <v>HSM-S50-P50-Day20</v>
      </c>
      <c r="H144" s="2" t="str">
        <f>VLOOKUP(C144,'Task 2b Sample List'!I:L,4,FALSE)</f>
        <v>A</v>
      </c>
      <c r="I144" s="2" t="s">
        <v>175</v>
      </c>
      <c r="J144" s="2">
        <v>50</v>
      </c>
      <c r="K144" s="2">
        <v>50</v>
      </c>
      <c r="L144" s="2">
        <v>20</v>
      </c>
      <c r="M144" s="7" t="s">
        <v>26</v>
      </c>
      <c r="N144" s="2" t="s">
        <v>300</v>
      </c>
      <c r="O144" s="3" t="s">
        <v>39</v>
      </c>
      <c r="P144" s="2" t="s">
        <v>300</v>
      </c>
    </row>
    <row r="145" spans="1:16" ht="15.75" thickBot="1" x14ac:dyDescent="0.3">
      <c r="A145" s="96" t="s">
        <v>79</v>
      </c>
      <c r="B145" s="1" t="s">
        <v>295</v>
      </c>
      <c r="C145" s="1" t="s">
        <v>295</v>
      </c>
      <c r="D145" s="2" t="s">
        <v>296</v>
      </c>
      <c r="E145" s="94" t="str">
        <f t="shared" si="6"/>
        <v>HSM-S50-P50-Day20-C:8:2FTS</v>
      </c>
      <c r="F145" s="2" t="str">
        <f>VLOOKUP(C145,'Task 2b Sample List'!I:K,3,FALSE)</f>
        <v>HSM-S50-P50-Day20-C</v>
      </c>
      <c r="G145" s="166" t="str">
        <f t="shared" si="7"/>
        <v>HSM-S50-P50-Day20</v>
      </c>
      <c r="H145" s="2" t="str">
        <f>VLOOKUP(C145,'Task 2b Sample List'!I:L,4,FALSE)</f>
        <v>A</v>
      </c>
      <c r="I145" s="2" t="s">
        <v>175</v>
      </c>
      <c r="J145" s="2">
        <v>50</v>
      </c>
      <c r="K145" s="2">
        <v>50</v>
      </c>
      <c r="L145" s="2">
        <v>20</v>
      </c>
      <c r="M145" s="8" t="s">
        <v>27</v>
      </c>
      <c r="N145" s="4" t="s">
        <v>301</v>
      </c>
      <c r="O145" s="5" t="s">
        <v>39</v>
      </c>
      <c r="P145" s="2" t="s">
        <v>301</v>
      </c>
    </row>
    <row r="146" spans="1:16" x14ac:dyDescent="0.25">
      <c r="A146" s="96" t="s">
        <v>79</v>
      </c>
      <c r="B146" s="1" t="s">
        <v>302</v>
      </c>
      <c r="C146" s="1" t="s">
        <v>302</v>
      </c>
      <c r="D146" s="2" t="s">
        <v>303</v>
      </c>
      <c r="E146" s="94" t="str">
        <f t="shared" si="6"/>
        <v>HSM-S50-P100-Day20-A:PFHxA</v>
      </c>
      <c r="F146" s="2" t="str">
        <f>VLOOKUP(C146,'Task 2b Sample List'!I:K,3,FALSE)</f>
        <v>HSM-S50-P100-Day20-A</v>
      </c>
      <c r="G146" s="166" t="str">
        <f t="shared" ref="G146:G181" si="8">LEFT(F146,18)</f>
        <v>HSM-S50-P100-Day20</v>
      </c>
      <c r="H146" s="2" t="str">
        <f>VLOOKUP(C146,'Task 2b Sample List'!I:L,4,FALSE)</f>
        <v>B</v>
      </c>
      <c r="I146" s="2" t="s">
        <v>175</v>
      </c>
      <c r="J146" s="2">
        <v>50</v>
      </c>
      <c r="K146" s="2">
        <v>100</v>
      </c>
      <c r="L146" s="2">
        <v>20</v>
      </c>
      <c r="M146" s="6" t="s">
        <v>22</v>
      </c>
      <c r="N146" s="2" t="s">
        <v>304</v>
      </c>
      <c r="O146" s="3" t="s">
        <v>39</v>
      </c>
      <c r="P146" s="2" t="s">
        <v>304</v>
      </c>
    </row>
    <row r="147" spans="1:16" x14ac:dyDescent="0.25">
      <c r="A147" s="96" t="s">
        <v>79</v>
      </c>
      <c r="B147" s="1" t="s">
        <v>302</v>
      </c>
      <c r="C147" s="1" t="s">
        <v>302</v>
      </c>
      <c r="D147" s="2" t="s">
        <v>303</v>
      </c>
      <c r="E147" s="94" t="str">
        <f t="shared" si="6"/>
        <v>HSM-S50-P100-Day20-A:PFOA</v>
      </c>
      <c r="F147" s="2" t="str">
        <f>VLOOKUP(C147,'Task 2b Sample List'!I:K,3,FALSE)</f>
        <v>HSM-S50-P100-Day20-A</v>
      </c>
      <c r="G147" s="166" t="str">
        <f t="shared" si="8"/>
        <v>HSM-S50-P100-Day20</v>
      </c>
      <c r="H147" s="2" t="str">
        <f>VLOOKUP(C147,'Task 2b Sample List'!I:L,4,FALSE)</f>
        <v>B</v>
      </c>
      <c r="I147" s="2" t="s">
        <v>175</v>
      </c>
      <c r="J147" s="2">
        <v>50</v>
      </c>
      <c r="K147" s="2">
        <v>100</v>
      </c>
      <c r="L147" s="2">
        <v>20</v>
      </c>
      <c r="M147" s="7" t="s">
        <v>23</v>
      </c>
      <c r="N147" s="4" t="s">
        <v>305</v>
      </c>
      <c r="O147" s="5" t="s">
        <v>39</v>
      </c>
      <c r="P147" s="2" t="s">
        <v>305</v>
      </c>
    </row>
    <row r="148" spans="1:16" x14ac:dyDescent="0.25">
      <c r="A148" s="96" t="s">
        <v>79</v>
      </c>
      <c r="B148" s="1" t="s">
        <v>302</v>
      </c>
      <c r="C148" s="1" t="s">
        <v>302</v>
      </c>
      <c r="D148" s="2" t="s">
        <v>303</v>
      </c>
      <c r="E148" s="94" t="str">
        <f t="shared" si="6"/>
        <v>HSM-S50-P100-Day20-A:PFNA</v>
      </c>
      <c r="F148" s="2" t="str">
        <f>VLOOKUP(C148,'Task 2b Sample List'!I:K,3,FALSE)</f>
        <v>HSM-S50-P100-Day20-A</v>
      </c>
      <c r="G148" s="166" t="str">
        <f t="shared" si="8"/>
        <v>HSM-S50-P100-Day20</v>
      </c>
      <c r="H148" s="2" t="str">
        <f>VLOOKUP(C148,'Task 2b Sample List'!I:L,4,FALSE)</f>
        <v>B</v>
      </c>
      <c r="I148" s="2" t="s">
        <v>175</v>
      </c>
      <c r="J148" s="2">
        <v>50</v>
      </c>
      <c r="K148" s="2">
        <v>100</v>
      </c>
      <c r="L148" s="2">
        <v>20</v>
      </c>
      <c r="M148" s="7" t="s">
        <v>24</v>
      </c>
      <c r="N148" s="2" t="s">
        <v>306</v>
      </c>
      <c r="O148" s="3" t="s">
        <v>39</v>
      </c>
      <c r="P148" s="2" t="s">
        <v>306</v>
      </c>
    </row>
    <row r="149" spans="1:16" x14ac:dyDescent="0.25">
      <c r="A149" s="96" t="s">
        <v>79</v>
      </c>
      <c r="B149" s="1" t="s">
        <v>302</v>
      </c>
      <c r="C149" s="1" t="s">
        <v>302</v>
      </c>
      <c r="D149" s="2" t="s">
        <v>303</v>
      </c>
      <c r="E149" s="94" t="str">
        <f t="shared" si="6"/>
        <v>HSM-S50-P100-Day20-A:PFBS</v>
      </c>
      <c r="F149" s="2" t="str">
        <f>VLOOKUP(C149,'Task 2b Sample List'!I:K,3,FALSE)</f>
        <v>HSM-S50-P100-Day20-A</v>
      </c>
      <c r="G149" s="166" t="str">
        <f t="shared" si="8"/>
        <v>HSM-S50-P100-Day20</v>
      </c>
      <c r="H149" s="2" t="str">
        <f>VLOOKUP(C149,'Task 2b Sample List'!I:L,4,FALSE)</f>
        <v>B</v>
      </c>
      <c r="I149" s="2" t="s">
        <v>175</v>
      </c>
      <c r="J149" s="2">
        <v>50</v>
      </c>
      <c r="K149" s="2">
        <v>100</v>
      </c>
      <c r="L149" s="2">
        <v>20</v>
      </c>
      <c r="M149" s="7" t="s">
        <v>25</v>
      </c>
      <c r="N149" s="4" t="s">
        <v>307</v>
      </c>
      <c r="O149" s="5" t="s">
        <v>39</v>
      </c>
      <c r="P149" s="2" t="s">
        <v>307</v>
      </c>
    </row>
    <row r="150" spans="1:16" x14ac:dyDescent="0.25">
      <c r="A150" s="96" t="s">
        <v>79</v>
      </c>
      <c r="B150" s="1" t="s">
        <v>302</v>
      </c>
      <c r="C150" s="1" t="s">
        <v>302</v>
      </c>
      <c r="D150" s="2" t="s">
        <v>303</v>
      </c>
      <c r="E150" s="94" t="str">
        <f t="shared" si="6"/>
        <v>HSM-S50-P100-Day20-A:PFOS</v>
      </c>
      <c r="F150" s="2" t="str">
        <f>VLOOKUP(C150,'Task 2b Sample List'!I:K,3,FALSE)</f>
        <v>HSM-S50-P100-Day20-A</v>
      </c>
      <c r="G150" s="166" t="str">
        <f t="shared" si="8"/>
        <v>HSM-S50-P100-Day20</v>
      </c>
      <c r="H150" s="2" t="str">
        <f>VLOOKUP(C150,'Task 2b Sample List'!I:L,4,FALSE)</f>
        <v>B</v>
      </c>
      <c r="I150" s="2" t="s">
        <v>175</v>
      </c>
      <c r="J150" s="2">
        <v>50</v>
      </c>
      <c r="K150" s="2">
        <v>100</v>
      </c>
      <c r="L150" s="2">
        <v>20</v>
      </c>
      <c r="M150" s="7" t="s">
        <v>26</v>
      </c>
      <c r="N150" s="2" t="s">
        <v>308</v>
      </c>
      <c r="O150" s="3" t="s">
        <v>39</v>
      </c>
      <c r="P150" s="2" t="s">
        <v>308</v>
      </c>
    </row>
    <row r="151" spans="1:16" ht="15.75" thickBot="1" x14ac:dyDescent="0.3">
      <c r="A151" s="96" t="s">
        <v>79</v>
      </c>
      <c r="B151" s="1" t="s">
        <v>302</v>
      </c>
      <c r="C151" s="1" t="s">
        <v>302</v>
      </c>
      <c r="D151" s="2" t="s">
        <v>303</v>
      </c>
      <c r="E151" s="94" t="str">
        <f t="shared" si="6"/>
        <v>HSM-S50-P100-Day20-A:8:2FTS</v>
      </c>
      <c r="F151" s="2" t="str">
        <f>VLOOKUP(C151,'Task 2b Sample List'!I:K,3,FALSE)</f>
        <v>HSM-S50-P100-Day20-A</v>
      </c>
      <c r="G151" s="166" t="str">
        <f t="shared" si="8"/>
        <v>HSM-S50-P100-Day20</v>
      </c>
      <c r="H151" s="2" t="str">
        <f>VLOOKUP(C151,'Task 2b Sample List'!I:L,4,FALSE)</f>
        <v>B</v>
      </c>
      <c r="I151" s="2" t="s">
        <v>175</v>
      </c>
      <c r="J151" s="2">
        <v>50</v>
      </c>
      <c r="K151" s="2">
        <v>100</v>
      </c>
      <c r="L151" s="2">
        <v>20</v>
      </c>
      <c r="M151" s="8" t="s">
        <v>27</v>
      </c>
      <c r="N151" s="4" t="s">
        <v>309</v>
      </c>
      <c r="O151" s="5" t="s">
        <v>39</v>
      </c>
      <c r="P151" s="2" t="s">
        <v>309</v>
      </c>
    </row>
    <row r="152" spans="1:16" x14ac:dyDescent="0.25">
      <c r="A152" s="96" t="s">
        <v>79</v>
      </c>
      <c r="B152" s="1" t="s">
        <v>310</v>
      </c>
      <c r="C152" s="1" t="s">
        <v>310</v>
      </c>
      <c r="D152" s="2" t="s">
        <v>311</v>
      </c>
      <c r="E152" s="94" t="str">
        <f t="shared" si="6"/>
        <v>HSM-S50-P100-Day20-B:PFHxA</v>
      </c>
      <c r="F152" s="2" t="str">
        <f>VLOOKUP(C152,'Task 2b Sample List'!I:K,3,FALSE)</f>
        <v>HSM-S50-P100-Day20-B</v>
      </c>
      <c r="G152" s="166" t="str">
        <f t="shared" si="8"/>
        <v>HSM-S50-P100-Day20</v>
      </c>
      <c r="H152" s="2" t="str">
        <f>VLOOKUP(C152,'Task 2b Sample List'!I:L,4,FALSE)</f>
        <v>B</v>
      </c>
      <c r="I152" s="2" t="s">
        <v>175</v>
      </c>
      <c r="J152" s="2">
        <v>50</v>
      </c>
      <c r="K152" s="2">
        <v>100</v>
      </c>
      <c r="L152" s="2">
        <v>20</v>
      </c>
      <c r="M152" s="6" t="s">
        <v>22</v>
      </c>
      <c r="N152" s="2" t="s">
        <v>312</v>
      </c>
      <c r="O152" s="3" t="s">
        <v>39</v>
      </c>
      <c r="P152" s="2" t="s">
        <v>312</v>
      </c>
    </row>
    <row r="153" spans="1:16" x14ac:dyDescent="0.25">
      <c r="A153" s="96" t="s">
        <v>79</v>
      </c>
      <c r="B153" s="1" t="s">
        <v>310</v>
      </c>
      <c r="C153" s="1" t="s">
        <v>310</v>
      </c>
      <c r="D153" s="2" t="s">
        <v>311</v>
      </c>
      <c r="E153" s="94" t="str">
        <f t="shared" si="6"/>
        <v>HSM-S50-P100-Day20-B:PFOA</v>
      </c>
      <c r="F153" s="2" t="str">
        <f>VLOOKUP(C153,'Task 2b Sample List'!I:K,3,FALSE)</f>
        <v>HSM-S50-P100-Day20-B</v>
      </c>
      <c r="G153" s="166" t="str">
        <f t="shared" si="8"/>
        <v>HSM-S50-P100-Day20</v>
      </c>
      <c r="H153" s="2" t="str">
        <f>VLOOKUP(C153,'Task 2b Sample List'!I:L,4,FALSE)</f>
        <v>B</v>
      </c>
      <c r="I153" s="2" t="s">
        <v>175</v>
      </c>
      <c r="J153" s="2">
        <v>50</v>
      </c>
      <c r="K153" s="2">
        <v>100</v>
      </c>
      <c r="L153" s="2">
        <v>20</v>
      </c>
      <c r="M153" s="7" t="s">
        <v>23</v>
      </c>
      <c r="N153" s="4" t="s">
        <v>313</v>
      </c>
      <c r="O153" s="5" t="s">
        <v>39</v>
      </c>
      <c r="P153" s="2" t="s">
        <v>313</v>
      </c>
    </row>
    <row r="154" spans="1:16" x14ac:dyDescent="0.25">
      <c r="A154" s="96" t="s">
        <v>79</v>
      </c>
      <c r="B154" s="1" t="s">
        <v>310</v>
      </c>
      <c r="C154" s="1" t="s">
        <v>310</v>
      </c>
      <c r="D154" s="2" t="s">
        <v>311</v>
      </c>
      <c r="E154" s="94" t="str">
        <f t="shared" si="6"/>
        <v>HSM-S50-P100-Day20-B:PFNA</v>
      </c>
      <c r="F154" s="2" t="str">
        <f>VLOOKUP(C154,'Task 2b Sample List'!I:K,3,FALSE)</f>
        <v>HSM-S50-P100-Day20-B</v>
      </c>
      <c r="G154" s="166" t="str">
        <f t="shared" si="8"/>
        <v>HSM-S50-P100-Day20</v>
      </c>
      <c r="H154" s="2" t="str">
        <f>VLOOKUP(C154,'Task 2b Sample List'!I:L,4,FALSE)</f>
        <v>B</v>
      </c>
      <c r="I154" s="2" t="s">
        <v>175</v>
      </c>
      <c r="J154" s="2">
        <v>50</v>
      </c>
      <c r="K154" s="2">
        <v>100</v>
      </c>
      <c r="L154" s="2">
        <v>20</v>
      </c>
      <c r="M154" s="7" t="s">
        <v>24</v>
      </c>
      <c r="N154" s="2" t="s">
        <v>314</v>
      </c>
      <c r="O154" s="3" t="s">
        <v>39</v>
      </c>
      <c r="P154" s="2" t="s">
        <v>314</v>
      </c>
    </row>
    <row r="155" spans="1:16" x14ac:dyDescent="0.25">
      <c r="A155" s="96" t="s">
        <v>79</v>
      </c>
      <c r="B155" s="1" t="s">
        <v>310</v>
      </c>
      <c r="C155" s="1" t="s">
        <v>310</v>
      </c>
      <c r="D155" s="2" t="s">
        <v>311</v>
      </c>
      <c r="E155" s="94" t="str">
        <f t="shared" si="6"/>
        <v>HSM-S50-P100-Day20-B:PFBS</v>
      </c>
      <c r="F155" s="2" t="str">
        <f>VLOOKUP(C155,'Task 2b Sample List'!I:K,3,FALSE)</f>
        <v>HSM-S50-P100-Day20-B</v>
      </c>
      <c r="G155" s="166" t="str">
        <f t="shared" si="8"/>
        <v>HSM-S50-P100-Day20</v>
      </c>
      <c r="H155" s="2" t="str">
        <f>VLOOKUP(C155,'Task 2b Sample List'!I:L,4,FALSE)</f>
        <v>B</v>
      </c>
      <c r="I155" s="2" t="s">
        <v>175</v>
      </c>
      <c r="J155" s="2">
        <v>50</v>
      </c>
      <c r="K155" s="2">
        <v>100</v>
      </c>
      <c r="L155" s="2">
        <v>20</v>
      </c>
      <c r="M155" s="7" t="s">
        <v>25</v>
      </c>
      <c r="N155" s="4" t="s">
        <v>315</v>
      </c>
      <c r="O155" s="5" t="s">
        <v>39</v>
      </c>
      <c r="P155" s="2" t="s">
        <v>315</v>
      </c>
    </row>
    <row r="156" spans="1:16" x14ac:dyDescent="0.25">
      <c r="A156" s="96" t="s">
        <v>79</v>
      </c>
      <c r="B156" s="1" t="s">
        <v>310</v>
      </c>
      <c r="C156" s="1" t="s">
        <v>310</v>
      </c>
      <c r="D156" s="2" t="s">
        <v>311</v>
      </c>
      <c r="E156" s="94" t="str">
        <f t="shared" si="6"/>
        <v>HSM-S50-P100-Day20-B:PFOS</v>
      </c>
      <c r="F156" s="2" t="str">
        <f>VLOOKUP(C156,'Task 2b Sample List'!I:K,3,FALSE)</f>
        <v>HSM-S50-P100-Day20-B</v>
      </c>
      <c r="G156" s="166" t="str">
        <f t="shared" si="8"/>
        <v>HSM-S50-P100-Day20</v>
      </c>
      <c r="H156" s="2" t="str">
        <f>VLOOKUP(C156,'Task 2b Sample List'!I:L,4,FALSE)</f>
        <v>B</v>
      </c>
      <c r="I156" s="2" t="s">
        <v>175</v>
      </c>
      <c r="J156" s="2">
        <v>50</v>
      </c>
      <c r="K156" s="2">
        <v>100</v>
      </c>
      <c r="L156" s="2">
        <v>20</v>
      </c>
      <c r="M156" s="7" t="s">
        <v>26</v>
      </c>
      <c r="N156" s="2" t="s">
        <v>297</v>
      </c>
      <c r="O156" s="3" t="s">
        <v>39</v>
      </c>
      <c r="P156" s="2" t="s">
        <v>297</v>
      </c>
    </row>
    <row r="157" spans="1:16" ht="15.75" thickBot="1" x14ac:dyDescent="0.3">
      <c r="A157" s="96" t="s">
        <v>79</v>
      </c>
      <c r="B157" s="1" t="s">
        <v>310</v>
      </c>
      <c r="C157" s="1" t="s">
        <v>310</v>
      </c>
      <c r="D157" s="2" t="s">
        <v>311</v>
      </c>
      <c r="E157" s="94" t="str">
        <f t="shared" si="6"/>
        <v>HSM-S50-P100-Day20-B:8:2FTS</v>
      </c>
      <c r="F157" s="2" t="str">
        <f>VLOOKUP(C157,'Task 2b Sample List'!I:K,3,FALSE)</f>
        <v>HSM-S50-P100-Day20-B</v>
      </c>
      <c r="G157" s="166" t="str">
        <f t="shared" si="8"/>
        <v>HSM-S50-P100-Day20</v>
      </c>
      <c r="H157" s="2" t="str">
        <f>VLOOKUP(C157,'Task 2b Sample List'!I:L,4,FALSE)</f>
        <v>B</v>
      </c>
      <c r="I157" s="2" t="s">
        <v>175</v>
      </c>
      <c r="J157" s="2">
        <v>50</v>
      </c>
      <c r="K157" s="2">
        <v>100</v>
      </c>
      <c r="L157" s="2">
        <v>20</v>
      </c>
      <c r="M157" s="8" t="s">
        <v>27</v>
      </c>
      <c r="N157" s="4" t="s">
        <v>316</v>
      </c>
      <c r="O157" s="5" t="s">
        <v>39</v>
      </c>
      <c r="P157" s="2" t="s">
        <v>316</v>
      </c>
    </row>
    <row r="158" spans="1:16" x14ac:dyDescent="0.25">
      <c r="A158" s="96" t="s">
        <v>79</v>
      </c>
      <c r="B158" s="1" t="s">
        <v>317</v>
      </c>
      <c r="C158" s="1" t="s">
        <v>317</v>
      </c>
      <c r="D158" s="2" t="s">
        <v>318</v>
      </c>
      <c r="E158" s="94" t="str">
        <f t="shared" si="6"/>
        <v>HSM-S50-P100-Day20-C:PFHxA</v>
      </c>
      <c r="F158" s="2" t="str">
        <f>VLOOKUP(C158,'Task 2b Sample List'!I:K,3,FALSE)</f>
        <v>HSM-S50-P100-Day20-C</v>
      </c>
      <c r="G158" s="166" t="str">
        <f t="shared" si="8"/>
        <v>HSM-S50-P100-Day20</v>
      </c>
      <c r="H158" s="2" t="str">
        <f>VLOOKUP(C158,'Task 2b Sample List'!I:L,4,FALSE)</f>
        <v>B</v>
      </c>
      <c r="I158" s="2" t="s">
        <v>175</v>
      </c>
      <c r="J158" s="2">
        <v>50</v>
      </c>
      <c r="K158" s="2">
        <v>100</v>
      </c>
      <c r="L158" s="2">
        <v>20</v>
      </c>
      <c r="M158" s="6" t="s">
        <v>22</v>
      </c>
      <c r="N158" s="2" t="s">
        <v>319</v>
      </c>
      <c r="O158" s="3" t="s">
        <v>39</v>
      </c>
      <c r="P158" s="2" t="s">
        <v>319</v>
      </c>
    </row>
    <row r="159" spans="1:16" x14ac:dyDescent="0.25">
      <c r="A159" s="96" t="s">
        <v>79</v>
      </c>
      <c r="B159" s="1" t="s">
        <v>317</v>
      </c>
      <c r="C159" s="1" t="s">
        <v>317</v>
      </c>
      <c r="D159" s="2" t="s">
        <v>318</v>
      </c>
      <c r="E159" s="94" t="str">
        <f t="shared" si="6"/>
        <v>HSM-S50-P100-Day20-C:PFOA</v>
      </c>
      <c r="F159" s="2" t="str">
        <f>VLOOKUP(C159,'Task 2b Sample List'!I:K,3,FALSE)</f>
        <v>HSM-S50-P100-Day20-C</v>
      </c>
      <c r="G159" s="166" t="str">
        <f t="shared" si="8"/>
        <v>HSM-S50-P100-Day20</v>
      </c>
      <c r="H159" s="2" t="str">
        <f>VLOOKUP(C159,'Task 2b Sample List'!I:L,4,FALSE)</f>
        <v>B</v>
      </c>
      <c r="I159" s="2" t="s">
        <v>175</v>
      </c>
      <c r="J159" s="2">
        <v>50</v>
      </c>
      <c r="K159" s="2">
        <v>100</v>
      </c>
      <c r="L159" s="2">
        <v>20</v>
      </c>
      <c r="M159" s="7" t="s">
        <v>23</v>
      </c>
      <c r="N159" s="4" t="s">
        <v>320</v>
      </c>
      <c r="O159" s="5" t="s">
        <v>39</v>
      </c>
      <c r="P159" s="2" t="s">
        <v>320</v>
      </c>
    </row>
    <row r="160" spans="1:16" x14ac:dyDescent="0.25">
      <c r="A160" s="96" t="s">
        <v>79</v>
      </c>
      <c r="B160" s="1" t="s">
        <v>317</v>
      </c>
      <c r="C160" s="1" t="s">
        <v>317</v>
      </c>
      <c r="D160" s="2" t="s">
        <v>318</v>
      </c>
      <c r="E160" s="94" t="str">
        <f t="shared" si="6"/>
        <v>HSM-S50-P100-Day20-C:PFNA</v>
      </c>
      <c r="F160" s="2" t="str">
        <f>VLOOKUP(C160,'Task 2b Sample List'!I:K,3,FALSE)</f>
        <v>HSM-S50-P100-Day20-C</v>
      </c>
      <c r="G160" s="166" t="str">
        <f t="shared" si="8"/>
        <v>HSM-S50-P100-Day20</v>
      </c>
      <c r="H160" s="2" t="str">
        <f>VLOOKUP(C160,'Task 2b Sample List'!I:L,4,FALSE)</f>
        <v>B</v>
      </c>
      <c r="I160" s="2" t="s">
        <v>175</v>
      </c>
      <c r="J160" s="2">
        <v>50</v>
      </c>
      <c r="K160" s="2">
        <v>100</v>
      </c>
      <c r="L160" s="2">
        <v>20</v>
      </c>
      <c r="M160" s="7" t="s">
        <v>24</v>
      </c>
      <c r="N160" s="2" t="s">
        <v>321</v>
      </c>
      <c r="O160" s="3" t="s">
        <v>39</v>
      </c>
      <c r="P160" s="2" t="s">
        <v>321</v>
      </c>
    </row>
    <row r="161" spans="1:16" x14ac:dyDescent="0.25">
      <c r="A161" s="96" t="s">
        <v>79</v>
      </c>
      <c r="B161" s="1" t="s">
        <v>317</v>
      </c>
      <c r="C161" s="1" t="s">
        <v>317</v>
      </c>
      <c r="D161" s="2" t="s">
        <v>318</v>
      </c>
      <c r="E161" s="94" t="str">
        <f t="shared" si="6"/>
        <v>HSM-S50-P100-Day20-C:PFBS</v>
      </c>
      <c r="F161" s="2" t="str">
        <f>VLOOKUP(C161,'Task 2b Sample List'!I:K,3,FALSE)</f>
        <v>HSM-S50-P100-Day20-C</v>
      </c>
      <c r="G161" s="166" t="str">
        <f t="shared" si="8"/>
        <v>HSM-S50-P100-Day20</v>
      </c>
      <c r="H161" s="2" t="str">
        <f>VLOOKUP(C161,'Task 2b Sample List'!I:L,4,FALSE)</f>
        <v>B</v>
      </c>
      <c r="I161" s="2" t="s">
        <v>175</v>
      </c>
      <c r="J161" s="2">
        <v>50</v>
      </c>
      <c r="K161" s="2">
        <v>100</v>
      </c>
      <c r="L161" s="2">
        <v>20</v>
      </c>
      <c r="M161" s="7" t="s">
        <v>25</v>
      </c>
      <c r="N161" s="4" t="s">
        <v>322</v>
      </c>
      <c r="O161" s="5" t="s">
        <v>39</v>
      </c>
      <c r="P161" s="2" t="s">
        <v>322</v>
      </c>
    </row>
    <row r="162" spans="1:16" x14ac:dyDescent="0.25">
      <c r="A162" s="96" t="s">
        <v>79</v>
      </c>
      <c r="B162" s="1" t="s">
        <v>317</v>
      </c>
      <c r="C162" s="1" t="s">
        <v>317</v>
      </c>
      <c r="D162" s="2" t="s">
        <v>318</v>
      </c>
      <c r="E162" s="94" t="str">
        <f t="shared" si="6"/>
        <v>HSM-S50-P100-Day20-C:PFOS</v>
      </c>
      <c r="F162" s="2" t="str">
        <f>VLOOKUP(C162,'Task 2b Sample List'!I:K,3,FALSE)</f>
        <v>HSM-S50-P100-Day20-C</v>
      </c>
      <c r="G162" s="166" t="str">
        <f t="shared" si="8"/>
        <v>HSM-S50-P100-Day20</v>
      </c>
      <c r="H162" s="2" t="str">
        <f>VLOOKUP(C162,'Task 2b Sample List'!I:L,4,FALSE)</f>
        <v>B</v>
      </c>
      <c r="I162" s="2" t="s">
        <v>175</v>
      </c>
      <c r="J162" s="2">
        <v>50</v>
      </c>
      <c r="K162" s="2">
        <v>100</v>
      </c>
      <c r="L162" s="2">
        <v>20</v>
      </c>
      <c r="M162" s="7" t="s">
        <v>26</v>
      </c>
      <c r="N162" s="2" t="s">
        <v>323</v>
      </c>
      <c r="O162" s="3" t="s">
        <v>39</v>
      </c>
      <c r="P162" s="2" t="s">
        <v>323</v>
      </c>
    </row>
    <row r="163" spans="1:16" ht="15.75" thickBot="1" x14ac:dyDescent="0.3">
      <c r="A163" s="96" t="s">
        <v>79</v>
      </c>
      <c r="B163" s="1" t="s">
        <v>317</v>
      </c>
      <c r="C163" s="1" t="s">
        <v>317</v>
      </c>
      <c r="D163" s="2" t="s">
        <v>318</v>
      </c>
      <c r="E163" s="94" t="str">
        <f t="shared" si="6"/>
        <v>HSM-S50-P100-Day20-C:8:2FTS</v>
      </c>
      <c r="F163" s="2" t="str">
        <f>VLOOKUP(C163,'Task 2b Sample List'!I:K,3,FALSE)</f>
        <v>HSM-S50-P100-Day20-C</v>
      </c>
      <c r="G163" s="166" t="str">
        <f t="shared" si="8"/>
        <v>HSM-S50-P100-Day20</v>
      </c>
      <c r="H163" s="2" t="str">
        <f>VLOOKUP(C163,'Task 2b Sample List'!I:L,4,FALSE)</f>
        <v>B</v>
      </c>
      <c r="I163" s="2" t="s">
        <v>175</v>
      </c>
      <c r="J163" s="2">
        <v>50</v>
      </c>
      <c r="K163" s="2">
        <v>100</v>
      </c>
      <c r="L163" s="2">
        <v>20</v>
      </c>
      <c r="M163" s="8" t="s">
        <v>27</v>
      </c>
      <c r="N163" s="4" t="s">
        <v>324</v>
      </c>
      <c r="O163" s="5" t="s">
        <v>39</v>
      </c>
      <c r="P163" s="2" t="s">
        <v>324</v>
      </c>
    </row>
    <row r="164" spans="1:16" x14ac:dyDescent="0.25">
      <c r="A164" s="96" t="s">
        <v>79</v>
      </c>
      <c r="B164" s="1" t="s">
        <v>325</v>
      </c>
      <c r="C164" s="1" t="s">
        <v>325</v>
      </c>
      <c r="D164" s="2" t="s">
        <v>326</v>
      </c>
      <c r="E164" s="94" t="str">
        <f t="shared" si="6"/>
        <v>HSM-S50-P500-Day20-A:PFHxA</v>
      </c>
      <c r="F164" s="2" t="str">
        <f>VLOOKUP(C164,'Task 2b Sample List'!I:K,3,FALSE)</f>
        <v>HSM-S50-P500-Day20-A</v>
      </c>
      <c r="G164" s="166" t="str">
        <f t="shared" si="8"/>
        <v>HSM-S50-P500-Day20</v>
      </c>
      <c r="H164" s="2" t="str">
        <f>VLOOKUP(C164,'Task 2b Sample List'!I:L,4,FALSE)</f>
        <v>A</v>
      </c>
      <c r="I164" s="2" t="s">
        <v>175</v>
      </c>
      <c r="J164" s="2">
        <v>50</v>
      </c>
      <c r="K164" s="2">
        <v>500</v>
      </c>
      <c r="L164" s="2">
        <v>20</v>
      </c>
      <c r="M164" s="6" t="s">
        <v>22</v>
      </c>
      <c r="N164" s="2" t="s">
        <v>327</v>
      </c>
      <c r="O164" s="3" t="s">
        <v>39</v>
      </c>
      <c r="P164" s="2" t="s">
        <v>327</v>
      </c>
    </row>
    <row r="165" spans="1:16" x14ac:dyDescent="0.25">
      <c r="A165" s="96" t="s">
        <v>79</v>
      </c>
      <c r="B165" s="1" t="s">
        <v>325</v>
      </c>
      <c r="C165" s="1" t="s">
        <v>325</v>
      </c>
      <c r="D165" s="2" t="s">
        <v>326</v>
      </c>
      <c r="E165" s="94" t="str">
        <f t="shared" si="6"/>
        <v>HSM-S50-P500-Day20-A:PFOA</v>
      </c>
      <c r="F165" s="2" t="str">
        <f>VLOOKUP(C165,'Task 2b Sample List'!I:K,3,FALSE)</f>
        <v>HSM-S50-P500-Day20-A</v>
      </c>
      <c r="G165" s="166" t="str">
        <f t="shared" si="8"/>
        <v>HSM-S50-P500-Day20</v>
      </c>
      <c r="H165" s="2" t="str">
        <f>VLOOKUP(C165,'Task 2b Sample List'!I:L,4,FALSE)</f>
        <v>A</v>
      </c>
      <c r="I165" s="2" t="s">
        <v>175</v>
      </c>
      <c r="J165" s="2">
        <v>50</v>
      </c>
      <c r="K165" s="2">
        <v>500</v>
      </c>
      <c r="L165" s="2">
        <v>20</v>
      </c>
      <c r="M165" s="7" t="s">
        <v>23</v>
      </c>
      <c r="N165" s="4" t="s">
        <v>328</v>
      </c>
      <c r="O165" s="5" t="s">
        <v>39</v>
      </c>
      <c r="P165" s="2" t="s">
        <v>328</v>
      </c>
    </row>
    <row r="166" spans="1:16" x14ac:dyDescent="0.25">
      <c r="A166" s="96" t="s">
        <v>79</v>
      </c>
      <c r="B166" s="1" t="s">
        <v>325</v>
      </c>
      <c r="C166" s="1" t="s">
        <v>325</v>
      </c>
      <c r="D166" s="2" t="s">
        <v>326</v>
      </c>
      <c r="E166" s="94" t="str">
        <f t="shared" si="6"/>
        <v>HSM-S50-P500-Day20-A:PFNA</v>
      </c>
      <c r="F166" s="2" t="str">
        <f>VLOOKUP(C166,'Task 2b Sample List'!I:K,3,FALSE)</f>
        <v>HSM-S50-P500-Day20-A</v>
      </c>
      <c r="G166" s="166" t="str">
        <f t="shared" si="8"/>
        <v>HSM-S50-P500-Day20</v>
      </c>
      <c r="H166" s="2" t="str">
        <f>VLOOKUP(C166,'Task 2b Sample List'!I:L,4,FALSE)</f>
        <v>A</v>
      </c>
      <c r="I166" s="2" t="s">
        <v>175</v>
      </c>
      <c r="J166" s="2">
        <v>50</v>
      </c>
      <c r="K166" s="2">
        <v>500</v>
      </c>
      <c r="L166" s="2">
        <v>20</v>
      </c>
      <c r="M166" s="7" t="s">
        <v>24</v>
      </c>
      <c r="N166" s="2" t="s">
        <v>329</v>
      </c>
      <c r="O166" s="3" t="s">
        <v>39</v>
      </c>
      <c r="P166" s="2" t="s">
        <v>329</v>
      </c>
    </row>
    <row r="167" spans="1:16" x14ac:dyDescent="0.25">
      <c r="A167" s="96" t="s">
        <v>79</v>
      </c>
      <c r="B167" s="1" t="s">
        <v>325</v>
      </c>
      <c r="C167" s="1" t="s">
        <v>325</v>
      </c>
      <c r="D167" s="2" t="s">
        <v>326</v>
      </c>
      <c r="E167" s="94" t="str">
        <f t="shared" si="6"/>
        <v>HSM-S50-P500-Day20-A:PFBS</v>
      </c>
      <c r="F167" s="2" t="str">
        <f>VLOOKUP(C167,'Task 2b Sample List'!I:K,3,FALSE)</f>
        <v>HSM-S50-P500-Day20-A</v>
      </c>
      <c r="G167" s="166" t="str">
        <f t="shared" si="8"/>
        <v>HSM-S50-P500-Day20</v>
      </c>
      <c r="H167" s="2" t="str">
        <f>VLOOKUP(C167,'Task 2b Sample List'!I:L,4,FALSE)</f>
        <v>A</v>
      </c>
      <c r="I167" s="2" t="s">
        <v>175</v>
      </c>
      <c r="J167" s="2">
        <v>50</v>
      </c>
      <c r="K167" s="2">
        <v>500</v>
      </c>
      <c r="L167" s="2">
        <v>20</v>
      </c>
      <c r="M167" s="7" t="s">
        <v>25</v>
      </c>
      <c r="N167" s="4" t="s">
        <v>330</v>
      </c>
      <c r="O167" s="5" t="s">
        <v>39</v>
      </c>
      <c r="P167" s="2" t="s">
        <v>330</v>
      </c>
    </row>
    <row r="168" spans="1:16" x14ac:dyDescent="0.25">
      <c r="A168" s="96" t="s">
        <v>79</v>
      </c>
      <c r="B168" s="1" t="s">
        <v>325</v>
      </c>
      <c r="C168" s="1" t="s">
        <v>325</v>
      </c>
      <c r="D168" s="2" t="s">
        <v>326</v>
      </c>
      <c r="E168" s="94" t="str">
        <f t="shared" si="6"/>
        <v>HSM-S50-P500-Day20-A:PFOS</v>
      </c>
      <c r="F168" s="2" t="str">
        <f>VLOOKUP(C168,'Task 2b Sample List'!I:K,3,FALSE)</f>
        <v>HSM-S50-P500-Day20-A</v>
      </c>
      <c r="G168" s="166" t="str">
        <f t="shared" si="8"/>
        <v>HSM-S50-P500-Day20</v>
      </c>
      <c r="H168" s="2" t="str">
        <f>VLOOKUP(C168,'Task 2b Sample List'!I:L,4,FALSE)</f>
        <v>A</v>
      </c>
      <c r="I168" s="2" t="s">
        <v>175</v>
      </c>
      <c r="J168" s="2">
        <v>50</v>
      </c>
      <c r="K168" s="2">
        <v>500</v>
      </c>
      <c r="L168" s="2">
        <v>20</v>
      </c>
      <c r="M168" s="7" t="s">
        <v>26</v>
      </c>
      <c r="N168" s="2" t="s">
        <v>331</v>
      </c>
      <c r="O168" s="3" t="s">
        <v>39</v>
      </c>
      <c r="P168" s="2" t="s">
        <v>331</v>
      </c>
    </row>
    <row r="169" spans="1:16" ht="15.75" thickBot="1" x14ac:dyDescent="0.3">
      <c r="A169" s="96" t="s">
        <v>79</v>
      </c>
      <c r="B169" s="1" t="s">
        <v>325</v>
      </c>
      <c r="C169" s="1" t="s">
        <v>325</v>
      </c>
      <c r="D169" s="2" t="s">
        <v>326</v>
      </c>
      <c r="E169" s="94" t="str">
        <f t="shared" si="6"/>
        <v>HSM-S50-P500-Day20-A:8:2FTS</v>
      </c>
      <c r="F169" s="2" t="str">
        <f>VLOOKUP(C169,'Task 2b Sample List'!I:K,3,FALSE)</f>
        <v>HSM-S50-P500-Day20-A</v>
      </c>
      <c r="G169" s="166" t="str">
        <f t="shared" si="8"/>
        <v>HSM-S50-P500-Day20</v>
      </c>
      <c r="H169" s="2" t="str">
        <f>VLOOKUP(C169,'Task 2b Sample List'!I:L,4,FALSE)</f>
        <v>A</v>
      </c>
      <c r="I169" s="2" t="s">
        <v>175</v>
      </c>
      <c r="J169" s="2">
        <v>50</v>
      </c>
      <c r="K169" s="2">
        <v>500</v>
      </c>
      <c r="L169" s="2">
        <v>20</v>
      </c>
      <c r="M169" s="8" t="s">
        <v>27</v>
      </c>
      <c r="N169" s="4" t="s">
        <v>332</v>
      </c>
      <c r="O169" s="5" t="s">
        <v>39</v>
      </c>
      <c r="P169" s="2" t="s">
        <v>332</v>
      </c>
    </row>
    <row r="170" spans="1:16" x14ac:dyDescent="0.25">
      <c r="A170" s="96" t="s">
        <v>79</v>
      </c>
      <c r="B170" s="1" t="s">
        <v>333</v>
      </c>
      <c r="C170" s="1" t="s">
        <v>333</v>
      </c>
      <c r="D170" s="2" t="s">
        <v>334</v>
      </c>
      <c r="E170" s="94" t="str">
        <f t="shared" si="6"/>
        <v>HSM-S50-P500-Day20-B:PFHxA</v>
      </c>
      <c r="F170" s="2" t="str">
        <f>VLOOKUP(C170,'Task 2b Sample List'!I:K,3,FALSE)</f>
        <v>HSM-S50-P500-Day20-B</v>
      </c>
      <c r="G170" s="166" t="str">
        <f t="shared" si="8"/>
        <v>HSM-S50-P500-Day20</v>
      </c>
      <c r="H170" s="2" t="str">
        <f>VLOOKUP(C170,'Task 2b Sample List'!I:L,4,FALSE)</f>
        <v>A</v>
      </c>
      <c r="I170" s="2" t="s">
        <v>175</v>
      </c>
      <c r="J170" s="2">
        <v>50</v>
      </c>
      <c r="K170" s="2">
        <v>500</v>
      </c>
      <c r="L170" s="2">
        <v>20</v>
      </c>
      <c r="M170" s="6" t="s">
        <v>22</v>
      </c>
      <c r="N170" s="2" t="s">
        <v>335</v>
      </c>
      <c r="O170" s="3" t="s">
        <v>39</v>
      </c>
      <c r="P170" s="2" t="s">
        <v>335</v>
      </c>
    </row>
    <row r="171" spans="1:16" x14ac:dyDescent="0.25">
      <c r="A171" s="96" t="s">
        <v>79</v>
      </c>
      <c r="B171" s="1" t="s">
        <v>333</v>
      </c>
      <c r="C171" s="1" t="s">
        <v>333</v>
      </c>
      <c r="D171" s="2" t="s">
        <v>334</v>
      </c>
      <c r="E171" s="94" t="str">
        <f t="shared" si="6"/>
        <v>HSM-S50-P500-Day20-B:PFOA</v>
      </c>
      <c r="F171" s="2" t="str">
        <f>VLOOKUP(C171,'Task 2b Sample List'!I:K,3,FALSE)</f>
        <v>HSM-S50-P500-Day20-B</v>
      </c>
      <c r="G171" s="166" t="str">
        <f t="shared" si="8"/>
        <v>HSM-S50-P500-Day20</v>
      </c>
      <c r="H171" s="2" t="str">
        <f>VLOOKUP(C171,'Task 2b Sample List'!I:L,4,FALSE)</f>
        <v>A</v>
      </c>
      <c r="I171" s="2" t="s">
        <v>175</v>
      </c>
      <c r="J171" s="2">
        <v>50</v>
      </c>
      <c r="K171" s="2">
        <v>500</v>
      </c>
      <c r="L171" s="2">
        <v>20</v>
      </c>
      <c r="M171" s="7" t="s">
        <v>23</v>
      </c>
      <c r="N171" s="4" t="s">
        <v>336</v>
      </c>
      <c r="O171" s="5" t="s">
        <v>39</v>
      </c>
      <c r="P171" s="2" t="s">
        <v>336</v>
      </c>
    </row>
    <row r="172" spans="1:16" x14ac:dyDescent="0.25">
      <c r="A172" s="96" t="s">
        <v>79</v>
      </c>
      <c r="B172" s="1" t="s">
        <v>333</v>
      </c>
      <c r="C172" s="1" t="s">
        <v>333</v>
      </c>
      <c r="D172" s="2" t="s">
        <v>334</v>
      </c>
      <c r="E172" s="94" t="str">
        <f t="shared" si="6"/>
        <v>HSM-S50-P500-Day20-B:PFNA</v>
      </c>
      <c r="F172" s="2" t="str">
        <f>VLOOKUP(C172,'Task 2b Sample List'!I:K,3,FALSE)</f>
        <v>HSM-S50-P500-Day20-B</v>
      </c>
      <c r="G172" s="166" t="str">
        <f t="shared" si="8"/>
        <v>HSM-S50-P500-Day20</v>
      </c>
      <c r="H172" s="2" t="str">
        <f>VLOOKUP(C172,'Task 2b Sample List'!I:L,4,FALSE)</f>
        <v>A</v>
      </c>
      <c r="I172" s="2" t="s">
        <v>175</v>
      </c>
      <c r="J172" s="2">
        <v>50</v>
      </c>
      <c r="K172" s="2">
        <v>500</v>
      </c>
      <c r="L172" s="2">
        <v>20</v>
      </c>
      <c r="M172" s="7" t="s">
        <v>24</v>
      </c>
      <c r="N172" s="2" t="s">
        <v>337</v>
      </c>
      <c r="O172" s="3" t="s">
        <v>39</v>
      </c>
      <c r="P172" s="2" t="s">
        <v>337</v>
      </c>
    </row>
    <row r="173" spans="1:16" x14ac:dyDescent="0.25">
      <c r="A173" s="96" t="s">
        <v>79</v>
      </c>
      <c r="B173" s="1" t="s">
        <v>333</v>
      </c>
      <c r="C173" s="1" t="s">
        <v>333</v>
      </c>
      <c r="D173" s="2" t="s">
        <v>334</v>
      </c>
      <c r="E173" s="94" t="str">
        <f t="shared" ref="E173:E236" si="9">F173&amp;":"&amp;M173</f>
        <v>HSM-S50-P500-Day20-B:PFBS</v>
      </c>
      <c r="F173" s="2" t="str">
        <f>VLOOKUP(C173,'Task 2b Sample List'!I:K,3,FALSE)</f>
        <v>HSM-S50-P500-Day20-B</v>
      </c>
      <c r="G173" s="166" t="str">
        <f t="shared" si="8"/>
        <v>HSM-S50-P500-Day20</v>
      </c>
      <c r="H173" s="2" t="str">
        <f>VLOOKUP(C173,'Task 2b Sample List'!I:L,4,FALSE)</f>
        <v>A</v>
      </c>
      <c r="I173" s="2" t="s">
        <v>175</v>
      </c>
      <c r="J173" s="2">
        <v>50</v>
      </c>
      <c r="K173" s="2">
        <v>500</v>
      </c>
      <c r="L173" s="2">
        <v>20</v>
      </c>
      <c r="M173" s="7" t="s">
        <v>25</v>
      </c>
      <c r="N173" s="4" t="s">
        <v>338</v>
      </c>
      <c r="O173" s="5" t="s">
        <v>39</v>
      </c>
      <c r="P173" s="2" t="s">
        <v>338</v>
      </c>
    </row>
    <row r="174" spans="1:16" x14ac:dyDescent="0.25">
      <c r="A174" s="96" t="s">
        <v>79</v>
      </c>
      <c r="B174" s="1" t="s">
        <v>333</v>
      </c>
      <c r="C174" s="1" t="s">
        <v>333</v>
      </c>
      <c r="D174" s="2" t="s">
        <v>334</v>
      </c>
      <c r="E174" s="94" t="str">
        <f t="shared" si="9"/>
        <v>HSM-S50-P500-Day20-B:PFOS</v>
      </c>
      <c r="F174" s="2" t="str">
        <f>VLOOKUP(C174,'Task 2b Sample List'!I:K,3,FALSE)</f>
        <v>HSM-S50-P500-Day20-B</v>
      </c>
      <c r="G174" s="166" t="str">
        <f t="shared" si="8"/>
        <v>HSM-S50-P500-Day20</v>
      </c>
      <c r="H174" s="2" t="str">
        <f>VLOOKUP(C174,'Task 2b Sample List'!I:L,4,FALSE)</f>
        <v>A</v>
      </c>
      <c r="I174" s="2" t="s">
        <v>175</v>
      </c>
      <c r="J174" s="2">
        <v>50</v>
      </c>
      <c r="K174" s="2">
        <v>500</v>
      </c>
      <c r="L174" s="2">
        <v>20</v>
      </c>
      <c r="M174" s="7" t="s">
        <v>26</v>
      </c>
      <c r="N174" s="2" t="s">
        <v>339</v>
      </c>
      <c r="O174" s="3" t="s">
        <v>39</v>
      </c>
      <c r="P174" s="2" t="s">
        <v>339</v>
      </c>
    </row>
    <row r="175" spans="1:16" ht="15.75" thickBot="1" x14ac:dyDescent="0.3">
      <c r="A175" s="96" t="s">
        <v>79</v>
      </c>
      <c r="B175" s="1" t="s">
        <v>333</v>
      </c>
      <c r="C175" s="1" t="s">
        <v>333</v>
      </c>
      <c r="D175" s="2" t="s">
        <v>334</v>
      </c>
      <c r="E175" s="94" t="str">
        <f t="shared" si="9"/>
        <v>HSM-S50-P500-Day20-B:8:2FTS</v>
      </c>
      <c r="F175" s="2" t="str">
        <f>VLOOKUP(C175,'Task 2b Sample List'!I:K,3,FALSE)</f>
        <v>HSM-S50-P500-Day20-B</v>
      </c>
      <c r="G175" s="166" t="str">
        <f t="shared" si="8"/>
        <v>HSM-S50-P500-Day20</v>
      </c>
      <c r="H175" s="2" t="str">
        <f>VLOOKUP(C175,'Task 2b Sample List'!I:L,4,FALSE)</f>
        <v>A</v>
      </c>
      <c r="I175" s="2" t="s">
        <v>175</v>
      </c>
      <c r="J175" s="2">
        <v>50</v>
      </c>
      <c r="K175" s="2">
        <v>500</v>
      </c>
      <c r="L175" s="2">
        <v>20</v>
      </c>
      <c r="M175" s="8" t="s">
        <v>27</v>
      </c>
      <c r="N175" s="4" t="s">
        <v>340</v>
      </c>
      <c r="O175" s="5" t="s">
        <v>39</v>
      </c>
      <c r="P175" s="2" t="s">
        <v>340</v>
      </c>
    </row>
    <row r="176" spans="1:16" x14ac:dyDescent="0.25">
      <c r="A176" s="96" t="s">
        <v>79</v>
      </c>
      <c r="B176" s="1" t="s">
        <v>341</v>
      </c>
      <c r="C176" s="1" t="s">
        <v>341</v>
      </c>
      <c r="D176" s="2" t="s">
        <v>342</v>
      </c>
      <c r="E176" s="94" t="str">
        <f t="shared" si="9"/>
        <v>HSM-S50-P500-Day20-C:PFHxA</v>
      </c>
      <c r="F176" s="2" t="str">
        <f>VLOOKUP(C176,'Task 2b Sample List'!I:K,3,FALSE)</f>
        <v>HSM-S50-P500-Day20-C</v>
      </c>
      <c r="G176" s="166" t="str">
        <f t="shared" si="8"/>
        <v>HSM-S50-P500-Day20</v>
      </c>
      <c r="H176" s="2" t="str">
        <f>VLOOKUP(C176,'Task 2b Sample List'!I:L,4,FALSE)</f>
        <v>A</v>
      </c>
      <c r="I176" s="2" t="s">
        <v>175</v>
      </c>
      <c r="J176" s="2">
        <v>50</v>
      </c>
      <c r="K176" s="2">
        <v>500</v>
      </c>
      <c r="L176" s="2">
        <v>20</v>
      </c>
      <c r="M176" s="6" t="s">
        <v>22</v>
      </c>
      <c r="N176" s="2" t="s">
        <v>343</v>
      </c>
      <c r="O176" s="3" t="s">
        <v>39</v>
      </c>
      <c r="P176" s="2" t="s">
        <v>343</v>
      </c>
    </row>
    <row r="177" spans="1:16" x14ac:dyDescent="0.25">
      <c r="A177" s="96" t="s">
        <v>79</v>
      </c>
      <c r="B177" s="1" t="s">
        <v>341</v>
      </c>
      <c r="C177" s="1" t="s">
        <v>341</v>
      </c>
      <c r="D177" s="2" t="s">
        <v>342</v>
      </c>
      <c r="E177" s="94" t="str">
        <f t="shared" si="9"/>
        <v>HSM-S50-P500-Day20-C:PFOA</v>
      </c>
      <c r="F177" s="2" t="str">
        <f>VLOOKUP(C177,'Task 2b Sample List'!I:K,3,FALSE)</f>
        <v>HSM-S50-P500-Day20-C</v>
      </c>
      <c r="G177" s="166" t="str">
        <f t="shared" si="8"/>
        <v>HSM-S50-P500-Day20</v>
      </c>
      <c r="H177" s="2" t="str">
        <f>VLOOKUP(C177,'Task 2b Sample List'!I:L,4,FALSE)</f>
        <v>A</v>
      </c>
      <c r="I177" s="2" t="s">
        <v>175</v>
      </c>
      <c r="J177" s="2">
        <v>50</v>
      </c>
      <c r="K177" s="2">
        <v>500</v>
      </c>
      <c r="L177" s="2">
        <v>20</v>
      </c>
      <c r="M177" s="7" t="s">
        <v>23</v>
      </c>
      <c r="N177" s="4" t="s">
        <v>344</v>
      </c>
      <c r="O177" s="5" t="s">
        <v>39</v>
      </c>
      <c r="P177" s="2" t="s">
        <v>344</v>
      </c>
    </row>
    <row r="178" spans="1:16" x14ac:dyDescent="0.25">
      <c r="A178" s="96" t="s">
        <v>79</v>
      </c>
      <c r="B178" s="1" t="s">
        <v>341</v>
      </c>
      <c r="C178" s="1" t="s">
        <v>341</v>
      </c>
      <c r="D178" s="2" t="s">
        <v>342</v>
      </c>
      <c r="E178" s="94" t="str">
        <f t="shared" si="9"/>
        <v>HSM-S50-P500-Day20-C:PFNA</v>
      </c>
      <c r="F178" s="2" t="str">
        <f>VLOOKUP(C178,'Task 2b Sample List'!I:K,3,FALSE)</f>
        <v>HSM-S50-P500-Day20-C</v>
      </c>
      <c r="G178" s="166" t="str">
        <f t="shared" si="8"/>
        <v>HSM-S50-P500-Day20</v>
      </c>
      <c r="H178" s="2" t="str">
        <f>VLOOKUP(C178,'Task 2b Sample List'!I:L,4,FALSE)</f>
        <v>A</v>
      </c>
      <c r="I178" s="2" t="s">
        <v>175</v>
      </c>
      <c r="J178" s="2">
        <v>50</v>
      </c>
      <c r="K178" s="2">
        <v>500</v>
      </c>
      <c r="L178" s="2">
        <v>20</v>
      </c>
      <c r="M178" s="7" t="s">
        <v>24</v>
      </c>
      <c r="N178" s="2" t="s">
        <v>345</v>
      </c>
      <c r="O178" s="3" t="s">
        <v>39</v>
      </c>
      <c r="P178" s="2" t="s">
        <v>345</v>
      </c>
    </row>
    <row r="179" spans="1:16" x14ac:dyDescent="0.25">
      <c r="A179" s="96" t="s">
        <v>79</v>
      </c>
      <c r="B179" s="1" t="s">
        <v>341</v>
      </c>
      <c r="C179" s="1" t="s">
        <v>341</v>
      </c>
      <c r="D179" s="2" t="s">
        <v>342</v>
      </c>
      <c r="E179" s="94" t="str">
        <f t="shared" si="9"/>
        <v>HSM-S50-P500-Day20-C:PFBS</v>
      </c>
      <c r="F179" s="2" t="str">
        <f>VLOOKUP(C179,'Task 2b Sample List'!I:K,3,FALSE)</f>
        <v>HSM-S50-P500-Day20-C</v>
      </c>
      <c r="G179" s="166" t="str">
        <f t="shared" si="8"/>
        <v>HSM-S50-P500-Day20</v>
      </c>
      <c r="H179" s="2" t="str">
        <f>VLOOKUP(C179,'Task 2b Sample List'!I:L,4,FALSE)</f>
        <v>A</v>
      </c>
      <c r="I179" s="2" t="s">
        <v>175</v>
      </c>
      <c r="J179" s="2">
        <v>50</v>
      </c>
      <c r="K179" s="2">
        <v>500</v>
      </c>
      <c r="L179" s="2">
        <v>20</v>
      </c>
      <c r="M179" s="7" t="s">
        <v>25</v>
      </c>
      <c r="N179" s="4" t="s">
        <v>346</v>
      </c>
      <c r="O179" s="5" t="s">
        <v>39</v>
      </c>
      <c r="P179" s="2" t="s">
        <v>346</v>
      </c>
    </row>
    <row r="180" spans="1:16" x14ac:dyDescent="0.25">
      <c r="A180" s="96" t="s">
        <v>79</v>
      </c>
      <c r="B180" s="1" t="s">
        <v>341</v>
      </c>
      <c r="C180" s="1" t="s">
        <v>341</v>
      </c>
      <c r="D180" s="2" t="s">
        <v>342</v>
      </c>
      <c r="E180" s="94" t="str">
        <f t="shared" si="9"/>
        <v>HSM-S50-P500-Day20-C:PFOS</v>
      </c>
      <c r="F180" s="2" t="str">
        <f>VLOOKUP(C180,'Task 2b Sample List'!I:K,3,FALSE)</f>
        <v>HSM-S50-P500-Day20-C</v>
      </c>
      <c r="G180" s="166" t="str">
        <f t="shared" si="8"/>
        <v>HSM-S50-P500-Day20</v>
      </c>
      <c r="H180" s="2" t="str">
        <f>VLOOKUP(C180,'Task 2b Sample List'!I:L,4,FALSE)</f>
        <v>A</v>
      </c>
      <c r="I180" s="2" t="s">
        <v>175</v>
      </c>
      <c r="J180" s="2">
        <v>50</v>
      </c>
      <c r="K180" s="2">
        <v>500</v>
      </c>
      <c r="L180" s="2">
        <v>20</v>
      </c>
      <c r="M180" s="7" t="s">
        <v>26</v>
      </c>
      <c r="N180" s="2" t="s">
        <v>347</v>
      </c>
      <c r="O180" s="3" t="s">
        <v>39</v>
      </c>
      <c r="P180" s="2" t="s">
        <v>347</v>
      </c>
    </row>
    <row r="181" spans="1:16" ht="15.75" thickBot="1" x14ac:dyDescent="0.3">
      <c r="A181" s="96" t="s">
        <v>79</v>
      </c>
      <c r="B181" s="1" t="s">
        <v>341</v>
      </c>
      <c r="C181" s="1" t="s">
        <v>341</v>
      </c>
      <c r="D181" s="2" t="s">
        <v>342</v>
      </c>
      <c r="E181" s="94" t="str">
        <f t="shared" si="9"/>
        <v>HSM-S50-P500-Day20-C:8:2FTS</v>
      </c>
      <c r="F181" s="2" t="str">
        <f>VLOOKUP(C181,'Task 2b Sample List'!I:K,3,FALSE)</f>
        <v>HSM-S50-P500-Day20-C</v>
      </c>
      <c r="G181" s="166" t="str">
        <f t="shared" si="8"/>
        <v>HSM-S50-P500-Day20</v>
      </c>
      <c r="H181" s="2" t="str">
        <f>VLOOKUP(C181,'Task 2b Sample List'!I:L,4,FALSE)</f>
        <v>A</v>
      </c>
      <c r="I181" s="2" t="s">
        <v>175</v>
      </c>
      <c r="J181" s="2">
        <v>50</v>
      </c>
      <c r="K181" s="2">
        <v>500</v>
      </c>
      <c r="L181" s="2">
        <v>20</v>
      </c>
      <c r="M181" s="8" t="s">
        <v>27</v>
      </c>
      <c r="N181" s="4" t="s">
        <v>348</v>
      </c>
      <c r="O181" s="5" t="s">
        <v>39</v>
      </c>
      <c r="P181" s="2" t="s">
        <v>348</v>
      </c>
    </row>
    <row r="182" spans="1:16" x14ac:dyDescent="0.25">
      <c r="A182" s="96" t="s">
        <v>79</v>
      </c>
      <c r="B182" s="1" t="s">
        <v>349</v>
      </c>
      <c r="C182" s="1" t="s">
        <v>349</v>
      </c>
      <c r="D182" s="2" t="s">
        <v>350</v>
      </c>
      <c r="E182" s="94" t="str">
        <f t="shared" si="9"/>
        <v>BM1-S50-P0-Day20-A:PFHxA</v>
      </c>
      <c r="F182" s="2" t="str">
        <f>VLOOKUP(C182,'Task 2b Sample List'!I:K,3,FALSE)</f>
        <v>BM1-S50-P0-Day20-A</v>
      </c>
      <c r="G182" s="166" t="str">
        <f>LEFT(F182,16)</f>
        <v>BM1-S50-P0-Day20</v>
      </c>
      <c r="H182" s="2" t="str">
        <f>VLOOKUP(C182,'Task 2b Sample List'!I:L,4,FALSE)</f>
        <v>B</v>
      </c>
      <c r="I182" t="s">
        <v>181</v>
      </c>
      <c r="J182" s="2">
        <v>50</v>
      </c>
      <c r="K182" s="2">
        <v>0</v>
      </c>
      <c r="L182" s="2">
        <v>20</v>
      </c>
      <c r="M182" s="6" t="s">
        <v>22</v>
      </c>
      <c r="N182" s="2" t="s">
        <v>351</v>
      </c>
      <c r="O182" s="3" t="s">
        <v>14</v>
      </c>
      <c r="P182" s="2" t="s">
        <v>351</v>
      </c>
    </row>
    <row r="183" spans="1:16" x14ac:dyDescent="0.25">
      <c r="A183" s="96" t="s">
        <v>79</v>
      </c>
      <c r="B183" s="1" t="s">
        <v>349</v>
      </c>
      <c r="C183" s="1" t="s">
        <v>349</v>
      </c>
      <c r="D183" s="2" t="s">
        <v>350</v>
      </c>
      <c r="E183" s="94" t="str">
        <f t="shared" si="9"/>
        <v>BM1-S50-P0-Day20-A:PFOA</v>
      </c>
      <c r="F183" s="2" t="str">
        <f>VLOOKUP(C183,'Task 2b Sample List'!I:K,3,FALSE)</f>
        <v>BM1-S50-P0-Day20-A</v>
      </c>
      <c r="G183" s="166" t="str">
        <f t="shared" ref="G183:G199" si="10">LEFT(F183,16)</f>
        <v>BM1-S50-P0-Day20</v>
      </c>
      <c r="H183" s="2" t="str">
        <f>VLOOKUP(C183,'Task 2b Sample List'!I:L,4,FALSE)</f>
        <v>B</v>
      </c>
      <c r="I183" t="s">
        <v>181</v>
      </c>
      <c r="J183" s="2">
        <v>50</v>
      </c>
      <c r="K183" s="2">
        <v>0</v>
      </c>
      <c r="L183" s="2">
        <v>20</v>
      </c>
      <c r="M183" s="7" t="s">
        <v>23</v>
      </c>
      <c r="N183" s="4" t="s">
        <v>352</v>
      </c>
      <c r="O183" s="5" t="s">
        <v>7</v>
      </c>
      <c r="P183" s="2">
        <v>0</v>
      </c>
    </row>
    <row r="184" spans="1:16" x14ac:dyDescent="0.25">
      <c r="A184" s="96" t="s">
        <v>79</v>
      </c>
      <c r="B184" s="1" t="s">
        <v>349</v>
      </c>
      <c r="C184" s="1" t="s">
        <v>349</v>
      </c>
      <c r="D184" s="2" t="s">
        <v>350</v>
      </c>
      <c r="E184" s="94" t="str">
        <f t="shared" si="9"/>
        <v>BM1-S50-P0-Day20-A:PFNA</v>
      </c>
      <c r="F184" s="2" t="str">
        <f>VLOOKUP(C184,'Task 2b Sample List'!I:K,3,FALSE)</f>
        <v>BM1-S50-P0-Day20-A</v>
      </c>
      <c r="G184" s="166" t="str">
        <f t="shared" si="10"/>
        <v>BM1-S50-P0-Day20</v>
      </c>
      <c r="H184" s="2" t="str">
        <f>VLOOKUP(C184,'Task 2b Sample List'!I:L,4,FALSE)</f>
        <v>B</v>
      </c>
      <c r="I184" t="s">
        <v>181</v>
      </c>
      <c r="J184" s="2">
        <v>50</v>
      </c>
      <c r="K184" s="2">
        <v>0</v>
      </c>
      <c r="L184" s="2">
        <v>20</v>
      </c>
      <c r="M184" s="7" t="s">
        <v>24</v>
      </c>
      <c r="N184" s="2" t="s">
        <v>353</v>
      </c>
      <c r="O184" s="3" t="s">
        <v>7</v>
      </c>
      <c r="P184" s="2">
        <v>0</v>
      </c>
    </row>
    <row r="185" spans="1:16" x14ac:dyDescent="0.25">
      <c r="A185" s="96" t="s">
        <v>79</v>
      </c>
      <c r="B185" s="1" t="s">
        <v>349</v>
      </c>
      <c r="C185" s="1" t="s">
        <v>349</v>
      </c>
      <c r="D185" s="2" t="s">
        <v>350</v>
      </c>
      <c r="E185" s="94" t="str">
        <f t="shared" si="9"/>
        <v>BM1-S50-P0-Day20-A:PFBS</v>
      </c>
      <c r="F185" s="2" t="str">
        <f>VLOOKUP(C185,'Task 2b Sample List'!I:K,3,FALSE)</f>
        <v>BM1-S50-P0-Day20-A</v>
      </c>
      <c r="G185" s="166" t="str">
        <f t="shared" si="10"/>
        <v>BM1-S50-P0-Day20</v>
      </c>
      <c r="H185" s="2" t="str">
        <f>VLOOKUP(C185,'Task 2b Sample List'!I:L,4,FALSE)</f>
        <v>B</v>
      </c>
      <c r="I185" t="s">
        <v>181</v>
      </c>
      <c r="J185" s="2">
        <v>50</v>
      </c>
      <c r="K185" s="2">
        <v>0</v>
      </c>
      <c r="L185" s="2">
        <v>20</v>
      </c>
      <c r="M185" s="7" t="s">
        <v>25</v>
      </c>
      <c r="N185" s="4" t="s">
        <v>354</v>
      </c>
      <c r="O185" s="5" t="s">
        <v>14</v>
      </c>
      <c r="P185" s="2" t="s">
        <v>354</v>
      </c>
    </row>
    <row r="186" spans="1:16" x14ac:dyDescent="0.25">
      <c r="A186" s="96" t="s">
        <v>79</v>
      </c>
      <c r="B186" s="1" t="s">
        <v>349</v>
      </c>
      <c r="C186" s="1" t="s">
        <v>349</v>
      </c>
      <c r="D186" s="2" t="s">
        <v>350</v>
      </c>
      <c r="E186" s="94" t="str">
        <f t="shared" si="9"/>
        <v>BM1-S50-P0-Day20-A:PFOS</v>
      </c>
      <c r="F186" s="2" t="str">
        <f>VLOOKUP(C186,'Task 2b Sample List'!I:K,3,FALSE)</f>
        <v>BM1-S50-P0-Day20-A</v>
      </c>
      <c r="G186" s="166" t="str">
        <f t="shared" si="10"/>
        <v>BM1-S50-P0-Day20</v>
      </c>
      <c r="H186" s="2" t="str">
        <f>VLOOKUP(C186,'Task 2b Sample List'!I:L,4,FALSE)</f>
        <v>B</v>
      </c>
      <c r="I186" t="s">
        <v>181</v>
      </c>
      <c r="J186" s="2">
        <v>50</v>
      </c>
      <c r="K186" s="2">
        <v>0</v>
      </c>
      <c r="L186" s="2">
        <v>20</v>
      </c>
      <c r="M186" s="7" t="s">
        <v>26</v>
      </c>
      <c r="N186" s="2" t="s">
        <v>355</v>
      </c>
      <c r="O186" s="3" t="s">
        <v>7</v>
      </c>
      <c r="P186" s="2">
        <v>0</v>
      </c>
    </row>
    <row r="187" spans="1:16" ht="15.75" thickBot="1" x14ac:dyDescent="0.3">
      <c r="A187" s="96" t="s">
        <v>79</v>
      </c>
      <c r="B187" s="1" t="s">
        <v>349</v>
      </c>
      <c r="C187" s="1" t="s">
        <v>349</v>
      </c>
      <c r="D187" s="2" t="s">
        <v>350</v>
      </c>
      <c r="E187" s="94" t="str">
        <f t="shared" si="9"/>
        <v>BM1-S50-P0-Day20-A:8:2FTS</v>
      </c>
      <c r="F187" s="2" t="str">
        <f>VLOOKUP(C187,'Task 2b Sample List'!I:K,3,FALSE)</f>
        <v>BM1-S50-P0-Day20-A</v>
      </c>
      <c r="G187" s="166" t="str">
        <f t="shared" si="10"/>
        <v>BM1-S50-P0-Day20</v>
      </c>
      <c r="H187" s="2" t="str">
        <f>VLOOKUP(C187,'Task 2b Sample List'!I:L,4,FALSE)</f>
        <v>B</v>
      </c>
      <c r="I187" t="s">
        <v>181</v>
      </c>
      <c r="J187" s="2">
        <v>50</v>
      </c>
      <c r="K187" s="2">
        <v>0</v>
      </c>
      <c r="L187" s="2">
        <v>20</v>
      </c>
      <c r="M187" s="8" t="s">
        <v>27</v>
      </c>
      <c r="N187" s="4" t="s">
        <v>356</v>
      </c>
      <c r="O187" s="5" t="s">
        <v>7</v>
      </c>
      <c r="P187" s="2">
        <v>0</v>
      </c>
    </row>
    <row r="188" spans="1:16" x14ac:dyDescent="0.25">
      <c r="A188" s="96" t="s">
        <v>79</v>
      </c>
      <c r="B188" s="1" t="s">
        <v>357</v>
      </c>
      <c r="C188" s="1" t="s">
        <v>357</v>
      </c>
      <c r="D188" s="2" t="s">
        <v>358</v>
      </c>
      <c r="E188" s="94" t="str">
        <f t="shared" si="9"/>
        <v>BM1-S50-P0-Day20-B:PFHxA</v>
      </c>
      <c r="F188" s="2" t="str">
        <f>VLOOKUP(C188,'Task 2b Sample List'!I:K,3,FALSE)</f>
        <v>BM1-S50-P0-Day20-B</v>
      </c>
      <c r="G188" s="166" t="str">
        <f t="shared" si="10"/>
        <v>BM1-S50-P0-Day20</v>
      </c>
      <c r="H188" s="2" t="str">
        <f>VLOOKUP(C188,'Task 2b Sample List'!I:L,4,FALSE)</f>
        <v>B</v>
      </c>
      <c r="I188" t="s">
        <v>181</v>
      </c>
      <c r="J188" s="2">
        <v>50</v>
      </c>
      <c r="K188" s="2">
        <v>0</v>
      </c>
      <c r="L188" s="2">
        <v>20</v>
      </c>
      <c r="M188" s="6" t="s">
        <v>22</v>
      </c>
      <c r="N188" s="2" t="s">
        <v>359</v>
      </c>
      <c r="O188" s="3" t="s">
        <v>14</v>
      </c>
      <c r="P188" s="2" t="s">
        <v>359</v>
      </c>
    </row>
    <row r="189" spans="1:16" x14ac:dyDescent="0.25">
      <c r="A189" s="96" t="s">
        <v>79</v>
      </c>
      <c r="B189" s="1" t="s">
        <v>357</v>
      </c>
      <c r="C189" s="1" t="s">
        <v>357</v>
      </c>
      <c r="D189" s="2" t="s">
        <v>358</v>
      </c>
      <c r="E189" s="94" t="str">
        <f t="shared" si="9"/>
        <v>BM1-S50-P0-Day20-B:PFOA</v>
      </c>
      <c r="F189" s="2" t="str">
        <f>VLOOKUP(C189,'Task 2b Sample List'!I:K,3,FALSE)</f>
        <v>BM1-S50-P0-Day20-B</v>
      </c>
      <c r="G189" s="166" t="str">
        <f t="shared" si="10"/>
        <v>BM1-S50-P0-Day20</v>
      </c>
      <c r="H189" s="2" t="str">
        <f>VLOOKUP(C189,'Task 2b Sample List'!I:L,4,FALSE)</f>
        <v>B</v>
      </c>
      <c r="I189" t="s">
        <v>181</v>
      </c>
      <c r="J189" s="2">
        <v>50</v>
      </c>
      <c r="K189" s="2">
        <v>0</v>
      </c>
      <c r="L189" s="2">
        <v>20</v>
      </c>
      <c r="M189" s="7" t="s">
        <v>23</v>
      </c>
      <c r="N189" s="4" t="s">
        <v>360</v>
      </c>
      <c r="O189" s="5" t="s">
        <v>7</v>
      </c>
      <c r="P189" s="2">
        <v>0</v>
      </c>
    </row>
    <row r="190" spans="1:16" x14ac:dyDescent="0.25">
      <c r="A190" s="96" t="s">
        <v>79</v>
      </c>
      <c r="B190" s="1" t="s">
        <v>357</v>
      </c>
      <c r="C190" s="1" t="s">
        <v>357</v>
      </c>
      <c r="D190" s="2" t="s">
        <v>358</v>
      </c>
      <c r="E190" s="94" t="str">
        <f t="shared" si="9"/>
        <v>BM1-S50-P0-Day20-B:PFNA</v>
      </c>
      <c r="F190" s="2" t="str">
        <f>VLOOKUP(C190,'Task 2b Sample List'!I:K,3,FALSE)</f>
        <v>BM1-S50-P0-Day20-B</v>
      </c>
      <c r="G190" s="166" t="str">
        <f t="shared" si="10"/>
        <v>BM1-S50-P0-Day20</v>
      </c>
      <c r="H190" s="2" t="str">
        <f>VLOOKUP(C190,'Task 2b Sample List'!I:L,4,FALSE)</f>
        <v>B</v>
      </c>
      <c r="I190" t="s">
        <v>181</v>
      </c>
      <c r="J190" s="2">
        <v>50</v>
      </c>
      <c r="K190" s="2">
        <v>0</v>
      </c>
      <c r="L190" s="2">
        <v>20</v>
      </c>
      <c r="M190" s="7" t="s">
        <v>24</v>
      </c>
      <c r="N190" s="2" t="s">
        <v>361</v>
      </c>
      <c r="O190" s="3" t="s">
        <v>7</v>
      </c>
      <c r="P190" s="2">
        <v>0</v>
      </c>
    </row>
    <row r="191" spans="1:16" x14ac:dyDescent="0.25">
      <c r="A191" s="96" t="s">
        <v>79</v>
      </c>
      <c r="B191" s="1" t="s">
        <v>357</v>
      </c>
      <c r="C191" s="1" t="s">
        <v>357</v>
      </c>
      <c r="D191" s="2" t="s">
        <v>358</v>
      </c>
      <c r="E191" s="94" t="str">
        <f t="shared" si="9"/>
        <v>BM1-S50-P0-Day20-B:PFBS</v>
      </c>
      <c r="F191" s="2" t="str">
        <f>VLOOKUP(C191,'Task 2b Sample List'!I:K,3,FALSE)</f>
        <v>BM1-S50-P0-Day20-B</v>
      </c>
      <c r="G191" s="166" t="str">
        <f t="shared" si="10"/>
        <v>BM1-S50-P0-Day20</v>
      </c>
      <c r="H191" s="2" t="str">
        <f>VLOOKUP(C191,'Task 2b Sample List'!I:L,4,FALSE)</f>
        <v>B</v>
      </c>
      <c r="I191" t="s">
        <v>181</v>
      </c>
      <c r="J191" s="2">
        <v>50</v>
      </c>
      <c r="K191" s="2">
        <v>0</v>
      </c>
      <c r="L191" s="2">
        <v>20</v>
      </c>
      <c r="M191" s="7" t="s">
        <v>25</v>
      </c>
      <c r="N191" s="4" t="s">
        <v>362</v>
      </c>
      <c r="O191" s="5" t="s">
        <v>14</v>
      </c>
      <c r="P191" s="2" t="s">
        <v>362</v>
      </c>
    </row>
    <row r="192" spans="1:16" x14ac:dyDescent="0.25">
      <c r="A192" s="96" t="s">
        <v>79</v>
      </c>
      <c r="B192" s="1" t="s">
        <v>357</v>
      </c>
      <c r="C192" s="1" t="s">
        <v>357</v>
      </c>
      <c r="D192" s="2" t="s">
        <v>358</v>
      </c>
      <c r="E192" s="94" t="str">
        <f t="shared" si="9"/>
        <v>BM1-S50-P0-Day20-B:PFOS</v>
      </c>
      <c r="F192" s="2" t="str">
        <f>VLOOKUP(C192,'Task 2b Sample List'!I:K,3,FALSE)</f>
        <v>BM1-S50-P0-Day20-B</v>
      </c>
      <c r="G192" s="166" t="str">
        <f t="shared" si="10"/>
        <v>BM1-S50-P0-Day20</v>
      </c>
      <c r="H192" s="2" t="str">
        <f>VLOOKUP(C192,'Task 2b Sample List'!I:L,4,FALSE)</f>
        <v>B</v>
      </c>
      <c r="I192" t="s">
        <v>181</v>
      </c>
      <c r="J192" s="2">
        <v>50</v>
      </c>
      <c r="K192" s="2">
        <v>0</v>
      </c>
      <c r="L192" s="2">
        <v>20</v>
      </c>
      <c r="M192" s="7" t="s">
        <v>26</v>
      </c>
      <c r="N192" s="2" t="s">
        <v>363</v>
      </c>
      <c r="O192" s="3" t="s">
        <v>7</v>
      </c>
      <c r="P192" s="2">
        <v>0</v>
      </c>
    </row>
    <row r="193" spans="1:16" ht="15.75" thickBot="1" x14ac:dyDescent="0.3">
      <c r="A193" s="96" t="s">
        <v>79</v>
      </c>
      <c r="B193" s="1" t="s">
        <v>357</v>
      </c>
      <c r="C193" s="1" t="s">
        <v>357</v>
      </c>
      <c r="D193" s="2" t="s">
        <v>358</v>
      </c>
      <c r="E193" s="94" t="str">
        <f t="shared" si="9"/>
        <v>BM1-S50-P0-Day20-B:8:2FTS</v>
      </c>
      <c r="F193" s="2" t="str">
        <f>VLOOKUP(C193,'Task 2b Sample List'!I:K,3,FALSE)</f>
        <v>BM1-S50-P0-Day20-B</v>
      </c>
      <c r="G193" s="166" t="str">
        <f t="shared" si="10"/>
        <v>BM1-S50-P0-Day20</v>
      </c>
      <c r="H193" s="2" t="str">
        <f>VLOOKUP(C193,'Task 2b Sample List'!I:L,4,FALSE)</f>
        <v>B</v>
      </c>
      <c r="I193" t="s">
        <v>181</v>
      </c>
      <c r="J193" s="2">
        <v>50</v>
      </c>
      <c r="K193" s="2">
        <v>0</v>
      </c>
      <c r="L193" s="2">
        <v>20</v>
      </c>
      <c r="M193" s="8" t="s">
        <v>27</v>
      </c>
      <c r="N193" s="4" t="s">
        <v>364</v>
      </c>
      <c r="O193" s="5" t="s">
        <v>7</v>
      </c>
      <c r="P193" s="2">
        <v>0</v>
      </c>
    </row>
    <row r="194" spans="1:16" x14ac:dyDescent="0.25">
      <c r="A194" s="96" t="s">
        <v>79</v>
      </c>
      <c r="B194" s="1" t="s">
        <v>365</v>
      </c>
      <c r="C194" s="1" t="s">
        <v>365</v>
      </c>
      <c r="D194" s="2" t="s">
        <v>366</v>
      </c>
      <c r="E194" s="94" t="str">
        <f t="shared" si="9"/>
        <v>BM1-S50-P0-Day20-C:PFHxA</v>
      </c>
      <c r="F194" s="2" t="str">
        <f>VLOOKUP(C194,'Task 2b Sample List'!I:K,3,FALSE)</f>
        <v>BM1-S50-P0-Day20-C</v>
      </c>
      <c r="G194" s="166" t="str">
        <f t="shared" si="10"/>
        <v>BM1-S50-P0-Day20</v>
      </c>
      <c r="H194" s="2" t="str">
        <f>VLOOKUP(C194,'Task 2b Sample List'!I:L,4,FALSE)</f>
        <v>B</v>
      </c>
      <c r="I194" t="s">
        <v>181</v>
      </c>
      <c r="J194" s="2">
        <v>50</v>
      </c>
      <c r="K194" s="2">
        <v>0</v>
      </c>
      <c r="L194" s="2">
        <v>20</v>
      </c>
      <c r="M194" s="6" t="s">
        <v>22</v>
      </c>
      <c r="N194" s="2" t="s">
        <v>367</v>
      </c>
      <c r="O194" s="3" t="s">
        <v>14</v>
      </c>
      <c r="P194" s="2" t="s">
        <v>367</v>
      </c>
    </row>
    <row r="195" spans="1:16" x14ac:dyDescent="0.25">
      <c r="A195" s="96" t="s">
        <v>79</v>
      </c>
      <c r="B195" s="1" t="s">
        <v>365</v>
      </c>
      <c r="C195" s="1" t="s">
        <v>365</v>
      </c>
      <c r="D195" s="2" t="s">
        <v>366</v>
      </c>
      <c r="E195" s="94" t="str">
        <f t="shared" si="9"/>
        <v>BM1-S50-P0-Day20-C:PFOA</v>
      </c>
      <c r="F195" s="2" t="str">
        <f>VLOOKUP(C195,'Task 2b Sample List'!I:K,3,FALSE)</f>
        <v>BM1-S50-P0-Day20-C</v>
      </c>
      <c r="G195" s="166" t="str">
        <f t="shared" si="10"/>
        <v>BM1-S50-P0-Day20</v>
      </c>
      <c r="H195" s="2" t="str">
        <f>VLOOKUP(C195,'Task 2b Sample List'!I:L,4,FALSE)</f>
        <v>B</v>
      </c>
      <c r="I195" t="s">
        <v>181</v>
      </c>
      <c r="J195" s="2">
        <v>50</v>
      </c>
      <c r="K195" s="2">
        <v>0</v>
      </c>
      <c r="L195" s="2">
        <v>20</v>
      </c>
      <c r="M195" s="7" t="s">
        <v>23</v>
      </c>
      <c r="N195" s="4" t="s">
        <v>368</v>
      </c>
      <c r="O195" s="5" t="s">
        <v>7</v>
      </c>
      <c r="P195" s="2">
        <v>0</v>
      </c>
    </row>
    <row r="196" spans="1:16" x14ac:dyDescent="0.25">
      <c r="A196" s="96" t="s">
        <v>79</v>
      </c>
      <c r="B196" s="1" t="s">
        <v>365</v>
      </c>
      <c r="C196" s="1" t="s">
        <v>365</v>
      </c>
      <c r="D196" s="2" t="s">
        <v>366</v>
      </c>
      <c r="E196" s="94" t="str">
        <f t="shared" si="9"/>
        <v>BM1-S50-P0-Day20-C:PFNA</v>
      </c>
      <c r="F196" s="2" t="str">
        <f>VLOOKUP(C196,'Task 2b Sample List'!I:K,3,FALSE)</f>
        <v>BM1-S50-P0-Day20-C</v>
      </c>
      <c r="G196" s="166" t="str">
        <f t="shared" si="10"/>
        <v>BM1-S50-P0-Day20</v>
      </c>
      <c r="H196" s="2" t="str">
        <f>VLOOKUP(C196,'Task 2b Sample List'!I:L,4,FALSE)</f>
        <v>B</v>
      </c>
      <c r="I196" t="s">
        <v>181</v>
      </c>
      <c r="J196" s="2">
        <v>50</v>
      </c>
      <c r="K196" s="2">
        <v>0</v>
      </c>
      <c r="L196" s="2">
        <v>20</v>
      </c>
      <c r="M196" s="7" t="s">
        <v>24</v>
      </c>
      <c r="N196" s="2" t="s">
        <v>369</v>
      </c>
      <c r="O196" s="3" t="s">
        <v>7</v>
      </c>
      <c r="P196" s="2">
        <v>0</v>
      </c>
    </row>
    <row r="197" spans="1:16" x14ac:dyDescent="0.25">
      <c r="A197" s="96" t="s">
        <v>79</v>
      </c>
      <c r="B197" s="1" t="s">
        <v>365</v>
      </c>
      <c r="C197" s="1" t="s">
        <v>365</v>
      </c>
      <c r="D197" s="2" t="s">
        <v>366</v>
      </c>
      <c r="E197" s="94" t="str">
        <f t="shared" si="9"/>
        <v>BM1-S50-P0-Day20-C:PFBS</v>
      </c>
      <c r="F197" s="2" t="str">
        <f>VLOOKUP(C197,'Task 2b Sample List'!I:K,3,FALSE)</f>
        <v>BM1-S50-P0-Day20-C</v>
      </c>
      <c r="G197" s="166" t="str">
        <f t="shared" si="10"/>
        <v>BM1-S50-P0-Day20</v>
      </c>
      <c r="H197" s="2" t="str">
        <f>VLOOKUP(C197,'Task 2b Sample List'!I:L,4,FALSE)</f>
        <v>B</v>
      </c>
      <c r="I197" t="s">
        <v>181</v>
      </c>
      <c r="J197" s="2">
        <v>50</v>
      </c>
      <c r="K197" s="2">
        <v>0</v>
      </c>
      <c r="L197" s="2">
        <v>20</v>
      </c>
      <c r="M197" s="7" t="s">
        <v>25</v>
      </c>
      <c r="N197" s="4" t="s">
        <v>370</v>
      </c>
      <c r="O197" s="5" t="s">
        <v>14</v>
      </c>
      <c r="P197" s="2" t="s">
        <v>370</v>
      </c>
    </row>
    <row r="198" spans="1:16" x14ac:dyDescent="0.25">
      <c r="A198" s="96" t="s">
        <v>79</v>
      </c>
      <c r="B198" s="1" t="s">
        <v>365</v>
      </c>
      <c r="C198" s="1" t="s">
        <v>365</v>
      </c>
      <c r="D198" s="2" t="s">
        <v>366</v>
      </c>
      <c r="E198" s="94" t="str">
        <f t="shared" si="9"/>
        <v>BM1-S50-P0-Day20-C:PFOS</v>
      </c>
      <c r="F198" s="2" t="str">
        <f>VLOOKUP(C198,'Task 2b Sample List'!I:K,3,FALSE)</f>
        <v>BM1-S50-P0-Day20-C</v>
      </c>
      <c r="G198" s="166" t="str">
        <f t="shared" si="10"/>
        <v>BM1-S50-P0-Day20</v>
      </c>
      <c r="H198" s="2" t="str">
        <f>VLOOKUP(C198,'Task 2b Sample List'!I:L,4,FALSE)</f>
        <v>B</v>
      </c>
      <c r="I198" t="s">
        <v>181</v>
      </c>
      <c r="J198" s="2">
        <v>50</v>
      </c>
      <c r="K198" s="2">
        <v>0</v>
      </c>
      <c r="L198" s="2">
        <v>20</v>
      </c>
      <c r="M198" s="7" t="s">
        <v>26</v>
      </c>
      <c r="N198" s="2" t="s">
        <v>371</v>
      </c>
      <c r="O198" s="3" t="s">
        <v>7</v>
      </c>
      <c r="P198" s="2">
        <v>0</v>
      </c>
    </row>
    <row r="199" spans="1:16" ht="15.75" thickBot="1" x14ac:dyDescent="0.3">
      <c r="A199" s="96" t="s">
        <v>79</v>
      </c>
      <c r="B199" s="1" t="s">
        <v>365</v>
      </c>
      <c r="C199" s="1" t="s">
        <v>365</v>
      </c>
      <c r="D199" s="2" t="s">
        <v>366</v>
      </c>
      <c r="E199" s="94" t="str">
        <f t="shared" si="9"/>
        <v>BM1-S50-P0-Day20-C:8:2FTS</v>
      </c>
      <c r="F199" s="2" t="str">
        <f>VLOOKUP(C199,'Task 2b Sample List'!I:K,3,FALSE)</f>
        <v>BM1-S50-P0-Day20-C</v>
      </c>
      <c r="G199" s="166" t="str">
        <f t="shared" si="10"/>
        <v>BM1-S50-P0-Day20</v>
      </c>
      <c r="H199" s="2" t="str">
        <f>VLOOKUP(C199,'Task 2b Sample List'!I:L,4,FALSE)</f>
        <v>B</v>
      </c>
      <c r="I199" t="s">
        <v>181</v>
      </c>
      <c r="J199" s="2">
        <v>50</v>
      </c>
      <c r="K199" s="2">
        <v>0</v>
      </c>
      <c r="L199" s="2">
        <v>20</v>
      </c>
      <c r="M199" s="8" t="s">
        <v>27</v>
      </c>
      <c r="N199" s="4" t="s">
        <v>372</v>
      </c>
      <c r="O199" s="5" t="s">
        <v>7</v>
      </c>
      <c r="P199" s="2">
        <v>0</v>
      </c>
    </row>
    <row r="200" spans="1:16" x14ac:dyDescent="0.25">
      <c r="A200" s="96" t="s">
        <v>79</v>
      </c>
      <c r="B200" s="1" t="s">
        <v>373</v>
      </c>
      <c r="C200" s="1" t="s">
        <v>373</v>
      </c>
      <c r="D200" s="2" t="s">
        <v>374</v>
      </c>
      <c r="E200" s="94" t="str">
        <f t="shared" si="9"/>
        <v>BM1-S50-P10-Day20-A:PFHxA</v>
      </c>
      <c r="F200" s="2" t="str">
        <f>VLOOKUP(C200,'Task 2b Sample List'!I:K,3,FALSE)</f>
        <v>BM1-S50-P10-Day20-A</v>
      </c>
      <c r="G200" s="166" t="str">
        <f>LEFT(F200,17)</f>
        <v>BM1-S50-P10-Day20</v>
      </c>
      <c r="H200" s="2" t="str">
        <f>VLOOKUP(C200,'Task 2b Sample List'!I:L,4,FALSE)</f>
        <v>A</v>
      </c>
      <c r="I200" t="s">
        <v>181</v>
      </c>
      <c r="J200" s="2">
        <v>50</v>
      </c>
      <c r="K200" s="2">
        <v>10</v>
      </c>
      <c r="L200" s="2">
        <v>20</v>
      </c>
      <c r="M200" s="6" t="s">
        <v>22</v>
      </c>
      <c r="N200" s="2" t="s">
        <v>43</v>
      </c>
      <c r="O200" s="3" t="s">
        <v>39</v>
      </c>
      <c r="P200" s="2" t="s">
        <v>43</v>
      </c>
    </row>
    <row r="201" spans="1:16" x14ac:dyDescent="0.25">
      <c r="A201" s="96" t="s">
        <v>79</v>
      </c>
      <c r="B201" s="1" t="s">
        <v>373</v>
      </c>
      <c r="C201" s="1" t="s">
        <v>373</v>
      </c>
      <c r="D201" s="2" t="s">
        <v>374</v>
      </c>
      <c r="E201" s="94" t="str">
        <f t="shared" si="9"/>
        <v>BM1-S50-P10-Day20-A:PFOA</v>
      </c>
      <c r="F201" s="2" t="str">
        <f>VLOOKUP(C201,'Task 2b Sample List'!I:K,3,FALSE)</f>
        <v>BM1-S50-P10-Day20-A</v>
      </c>
      <c r="G201" s="166" t="str">
        <f t="shared" ref="G201:G235" si="11">LEFT(F201,17)</f>
        <v>BM1-S50-P10-Day20</v>
      </c>
      <c r="H201" s="2" t="str">
        <f>VLOOKUP(C201,'Task 2b Sample List'!I:L,4,FALSE)</f>
        <v>A</v>
      </c>
      <c r="I201" t="s">
        <v>181</v>
      </c>
      <c r="J201" s="2">
        <v>50</v>
      </c>
      <c r="K201" s="2">
        <v>10</v>
      </c>
      <c r="L201" s="2">
        <v>20</v>
      </c>
      <c r="M201" s="7" t="s">
        <v>23</v>
      </c>
      <c r="N201" s="4" t="s">
        <v>375</v>
      </c>
      <c r="O201" s="5" t="s">
        <v>39</v>
      </c>
      <c r="P201" s="2" t="s">
        <v>375</v>
      </c>
    </row>
    <row r="202" spans="1:16" x14ac:dyDescent="0.25">
      <c r="A202" s="96" t="s">
        <v>79</v>
      </c>
      <c r="B202" s="1" t="s">
        <v>373</v>
      </c>
      <c r="C202" s="1" t="s">
        <v>373</v>
      </c>
      <c r="D202" s="2" t="s">
        <v>374</v>
      </c>
      <c r="E202" s="94" t="str">
        <f t="shared" si="9"/>
        <v>BM1-S50-P10-Day20-A:PFNA</v>
      </c>
      <c r="F202" s="2" t="str">
        <f>VLOOKUP(C202,'Task 2b Sample List'!I:K,3,FALSE)</f>
        <v>BM1-S50-P10-Day20-A</v>
      </c>
      <c r="G202" s="166" t="str">
        <f t="shared" si="11"/>
        <v>BM1-S50-P10-Day20</v>
      </c>
      <c r="H202" s="2" t="str">
        <f>VLOOKUP(C202,'Task 2b Sample List'!I:L,4,FALSE)</f>
        <v>A</v>
      </c>
      <c r="I202" t="s">
        <v>181</v>
      </c>
      <c r="J202" s="2">
        <v>50</v>
      </c>
      <c r="K202" s="2">
        <v>10</v>
      </c>
      <c r="L202" s="2">
        <v>20</v>
      </c>
      <c r="M202" s="7" t="s">
        <v>24</v>
      </c>
      <c r="N202" s="2" t="s">
        <v>376</v>
      </c>
      <c r="O202" s="3" t="s">
        <v>39</v>
      </c>
      <c r="P202" s="2" t="s">
        <v>376</v>
      </c>
    </row>
    <row r="203" spans="1:16" x14ac:dyDescent="0.25">
      <c r="A203" s="96" t="s">
        <v>79</v>
      </c>
      <c r="B203" s="1" t="s">
        <v>373</v>
      </c>
      <c r="C203" s="1" t="s">
        <v>373</v>
      </c>
      <c r="D203" s="2" t="s">
        <v>374</v>
      </c>
      <c r="E203" s="94" t="str">
        <f t="shared" si="9"/>
        <v>BM1-S50-P10-Day20-A:PFBS</v>
      </c>
      <c r="F203" s="2" t="str">
        <f>VLOOKUP(C203,'Task 2b Sample List'!I:K,3,FALSE)</f>
        <v>BM1-S50-P10-Day20-A</v>
      </c>
      <c r="G203" s="166" t="str">
        <f t="shared" si="11"/>
        <v>BM1-S50-P10-Day20</v>
      </c>
      <c r="H203" s="2" t="str">
        <f>VLOOKUP(C203,'Task 2b Sample List'!I:L,4,FALSE)</f>
        <v>A</v>
      </c>
      <c r="I203" t="s">
        <v>181</v>
      </c>
      <c r="J203" s="2">
        <v>50</v>
      </c>
      <c r="K203" s="2">
        <v>10</v>
      </c>
      <c r="L203" s="2">
        <v>20</v>
      </c>
      <c r="M203" s="7" t="s">
        <v>25</v>
      </c>
      <c r="N203" s="4" t="s">
        <v>285</v>
      </c>
      <c r="O203" s="5" t="s">
        <v>39</v>
      </c>
      <c r="P203" s="2" t="s">
        <v>285</v>
      </c>
    </row>
    <row r="204" spans="1:16" x14ac:dyDescent="0.25">
      <c r="A204" s="96" t="s">
        <v>79</v>
      </c>
      <c r="B204" s="1" t="s">
        <v>373</v>
      </c>
      <c r="C204" s="1" t="s">
        <v>373</v>
      </c>
      <c r="D204" s="2" t="s">
        <v>374</v>
      </c>
      <c r="E204" s="94" t="str">
        <f t="shared" si="9"/>
        <v>BM1-S50-P10-Day20-A:PFOS</v>
      </c>
      <c r="F204" s="2" t="str">
        <f>VLOOKUP(C204,'Task 2b Sample List'!I:K,3,FALSE)</f>
        <v>BM1-S50-P10-Day20-A</v>
      </c>
      <c r="G204" s="166" t="str">
        <f t="shared" si="11"/>
        <v>BM1-S50-P10-Day20</v>
      </c>
      <c r="H204" s="2" t="str">
        <f>VLOOKUP(C204,'Task 2b Sample List'!I:L,4,FALSE)</f>
        <v>A</v>
      </c>
      <c r="I204" t="s">
        <v>181</v>
      </c>
      <c r="J204" s="2">
        <v>50</v>
      </c>
      <c r="K204" s="2">
        <v>10</v>
      </c>
      <c r="L204" s="2">
        <v>20</v>
      </c>
      <c r="M204" s="7" t="s">
        <v>26</v>
      </c>
      <c r="N204" s="2" t="s">
        <v>377</v>
      </c>
      <c r="O204" s="3" t="s">
        <v>39</v>
      </c>
      <c r="P204" s="2" t="s">
        <v>377</v>
      </c>
    </row>
    <row r="205" spans="1:16" ht="15.75" thickBot="1" x14ac:dyDescent="0.3">
      <c r="A205" s="96" t="s">
        <v>79</v>
      </c>
      <c r="B205" s="1" t="s">
        <v>373</v>
      </c>
      <c r="C205" s="1" t="s">
        <v>373</v>
      </c>
      <c r="D205" s="2" t="s">
        <v>374</v>
      </c>
      <c r="E205" s="94" t="str">
        <f t="shared" si="9"/>
        <v>BM1-S50-P10-Day20-A:8:2FTS</v>
      </c>
      <c r="F205" s="2" t="str">
        <f>VLOOKUP(C205,'Task 2b Sample List'!I:K,3,FALSE)</f>
        <v>BM1-S50-P10-Day20-A</v>
      </c>
      <c r="G205" s="166" t="str">
        <f t="shared" si="11"/>
        <v>BM1-S50-P10-Day20</v>
      </c>
      <c r="H205" s="2" t="str">
        <f>VLOOKUP(C205,'Task 2b Sample List'!I:L,4,FALSE)</f>
        <v>A</v>
      </c>
      <c r="I205" t="s">
        <v>181</v>
      </c>
      <c r="J205" s="2">
        <v>50</v>
      </c>
      <c r="K205" s="2">
        <v>10</v>
      </c>
      <c r="L205" s="2">
        <v>20</v>
      </c>
      <c r="M205" s="8" t="s">
        <v>27</v>
      </c>
      <c r="N205" s="4" t="s">
        <v>378</v>
      </c>
      <c r="O205" s="5" t="s">
        <v>39</v>
      </c>
      <c r="P205" s="2" t="s">
        <v>378</v>
      </c>
    </row>
    <row r="206" spans="1:16" x14ac:dyDescent="0.25">
      <c r="A206" s="96" t="s">
        <v>79</v>
      </c>
      <c r="B206" s="1" t="s">
        <v>379</v>
      </c>
      <c r="C206" s="1" t="s">
        <v>379</v>
      </c>
      <c r="D206" s="2" t="s">
        <v>380</v>
      </c>
      <c r="E206" s="94" t="str">
        <f t="shared" si="9"/>
        <v>BM1-S50-P10-Day20-B:PFHxA</v>
      </c>
      <c r="F206" s="2" t="str">
        <f>VLOOKUP(C206,'Task 2b Sample List'!I:K,3,FALSE)</f>
        <v>BM1-S50-P10-Day20-B</v>
      </c>
      <c r="G206" s="166" t="str">
        <f t="shared" si="11"/>
        <v>BM1-S50-P10-Day20</v>
      </c>
      <c r="H206" s="2" t="str">
        <f>VLOOKUP(C206,'Task 2b Sample List'!I:L,4,FALSE)</f>
        <v>A</v>
      </c>
      <c r="I206" t="s">
        <v>181</v>
      </c>
      <c r="J206" s="2">
        <v>50</v>
      </c>
      <c r="K206" s="2">
        <v>10</v>
      </c>
      <c r="L206" s="2">
        <v>20</v>
      </c>
      <c r="M206" s="6" t="s">
        <v>22</v>
      </c>
      <c r="N206" s="2" t="s">
        <v>381</v>
      </c>
      <c r="O206" s="3" t="s">
        <v>39</v>
      </c>
      <c r="P206" s="2" t="s">
        <v>381</v>
      </c>
    </row>
    <row r="207" spans="1:16" x14ac:dyDescent="0.25">
      <c r="A207" s="96" t="s">
        <v>79</v>
      </c>
      <c r="B207" s="1" t="s">
        <v>379</v>
      </c>
      <c r="C207" s="1" t="s">
        <v>379</v>
      </c>
      <c r="D207" s="2" t="s">
        <v>380</v>
      </c>
      <c r="E207" s="94" t="str">
        <f t="shared" si="9"/>
        <v>BM1-S50-P10-Day20-B:PFOA</v>
      </c>
      <c r="F207" s="2" t="str">
        <f>VLOOKUP(C207,'Task 2b Sample List'!I:K,3,FALSE)</f>
        <v>BM1-S50-P10-Day20-B</v>
      </c>
      <c r="G207" s="166" t="str">
        <f t="shared" si="11"/>
        <v>BM1-S50-P10-Day20</v>
      </c>
      <c r="H207" s="2" t="str">
        <f>VLOOKUP(C207,'Task 2b Sample List'!I:L,4,FALSE)</f>
        <v>A</v>
      </c>
      <c r="I207" t="s">
        <v>181</v>
      </c>
      <c r="J207" s="2">
        <v>50</v>
      </c>
      <c r="K207" s="2">
        <v>10</v>
      </c>
      <c r="L207" s="2">
        <v>20</v>
      </c>
      <c r="M207" s="7" t="s">
        <v>23</v>
      </c>
      <c r="N207" s="4" t="s">
        <v>382</v>
      </c>
      <c r="O207" s="5" t="s">
        <v>39</v>
      </c>
      <c r="P207" s="2" t="s">
        <v>382</v>
      </c>
    </row>
    <row r="208" spans="1:16" x14ac:dyDescent="0.25">
      <c r="A208" s="96" t="s">
        <v>79</v>
      </c>
      <c r="B208" s="1" t="s">
        <v>379</v>
      </c>
      <c r="C208" s="1" t="s">
        <v>379</v>
      </c>
      <c r="D208" s="2" t="s">
        <v>380</v>
      </c>
      <c r="E208" s="94" t="str">
        <f t="shared" si="9"/>
        <v>BM1-S50-P10-Day20-B:PFNA</v>
      </c>
      <c r="F208" s="2" t="str">
        <f>VLOOKUP(C208,'Task 2b Sample List'!I:K,3,FALSE)</f>
        <v>BM1-S50-P10-Day20-B</v>
      </c>
      <c r="G208" s="166" t="str">
        <f t="shared" si="11"/>
        <v>BM1-S50-P10-Day20</v>
      </c>
      <c r="H208" s="2" t="str">
        <f>VLOOKUP(C208,'Task 2b Sample List'!I:L,4,FALSE)</f>
        <v>A</v>
      </c>
      <c r="I208" t="s">
        <v>181</v>
      </c>
      <c r="J208" s="2">
        <v>50</v>
      </c>
      <c r="K208" s="2">
        <v>10</v>
      </c>
      <c r="L208" s="2">
        <v>20</v>
      </c>
      <c r="M208" s="7" t="s">
        <v>24</v>
      </c>
      <c r="N208" s="2" t="s">
        <v>383</v>
      </c>
      <c r="O208" s="3" t="s">
        <v>39</v>
      </c>
      <c r="P208" s="2" t="s">
        <v>383</v>
      </c>
    </row>
    <row r="209" spans="1:16" x14ac:dyDescent="0.25">
      <c r="A209" s="96" t="s">
        <v>79</v>
      </c>
      <c r="B209" s="1" t="s">
        <v>379</v>
      </c>
      <c r="C209" s="1" t="s">
        <v>379</v>
      </c>
      <c r="D209" s="2" t="s">
        <v>380</v>
      </c>
      <c r="E209" s="94" t="str">
        <f t="shared" si="9"/>
        <v>BM1-S50-P10-Day20-B:PFBS</v>
      </c>
      <c r="F209" s="2" t="str">
        <f>VLOOKUP(C209,'Task 2b Sample List'!I:K,3,FALSE)</f>
        <v>BM1-S50-P10-Day20-B</v>
      </c>
      <c r="G209" s="166" t="str">
        <f t="shared" si="11"/>
        <v>BM1-S50-P10-Day20</v>
      </c>
      <c r="H209" s="2" t="str">
        <f>VLOOKUP(C209,'Task 2b Sample List'!I:L,4,FALSE)</f>
        <v>A</v>
      </c>
      <c r="I209" t="s">
        <v>181</v>
      </c>
      <c r="J209" s="2">
        <v>50</v>
      </c>
      <c r="K209" s="2">
        <v>10</v>
      </c>
      <c r="L209" s="2">
        <v>20</v>
      </c>
      <c r="M209" s="7" t="s">
        <v>25</v>
      </c>
      <c r="N209" s="4" t="s">
        <v>384</v>
      </c>
      <c r="O209" s="5" t="s">
        <v>39</v>
      </c>
      <c r="P209" s="2" t="s">
        <v>384</v>
      </c>
    </row>
    <row r="210" spans="1:16" x14ac:dyDescent="0.25">
      <c r="A210" s="96" t="s">
        <v>79</v>
      </c>
      <c r="B210" s="1" t="s">
        <v>379</v>
      </c>
      <c r="C210" s="1" t="s">
        <v>379</v>
      </c>
      <c r="D210" s="2" t="s">
        <v>380</v>
      </c>
      <c r="E210" s="94" t="str">
        <f t="shared" si="9"/>
        <v>BM1-S50-P10-Day20-B:PFOS</v>
      </c>
      <c r="F210" s="2" t="str">
        <f>VLOOKUP(C210,'Task 2b Sample List'!I:K,3,FALSE)</f>
        <v>BM1-S50-P10-Day20-B</v>
      </c>
      <c r="G210" s="166" t="str">
        <f t="shared" si="11"/>
        <v>BM1-S50-P10-Day20</v>
      </c>
      <c r="H210" s="2" t="str">
        <f>VLOOKUP(C210,'Task 2b Sample List'!I:L,4,FALSE)</f>
        <v>A</v>
      </c>
      <c r="I210" t="s">
        <v>181</v>
      </c>
      <c r="J210" s="2">
        <v>50</v>
      </c>
      <c r="K210" s="2">
        <v>10</v>
      </c>
      <c r="L210" s="2">
        <v>20</v>
      </c>
      <c r="M210" s="7" t="s">
        <v>26</v>
      </c>
      <c r="N210" s="2" t="s">
        <v>385</v>
      </c>
      <c r="O210" s="3" t="s">
        <v>39</v>
      </c>
      <c r="P210" s="2" t="s">
        <v>385</v>
      </c>
    </row>
    <row r="211" spans="1:16" ht="15.75" thickBot="1" x14ac:dyDescent="0.3">
      <c r="A211" s="96" t="s">
        <v>79</v>
      </c>
      <c r="B211" s="1" t="s">
        <v>379</v>
      </c>
      <c r="C211" s="1" t="s">
        <v>379</v>
      </c>
      <c r="D211" s="2" t="s">
        <v>380</v>
      </c>
      <c r="E211" s="94" t="str">
        <f t="shared" si="9"/>
        <v>BM1-S50-P10-Day20-B:8:2FTS</v>
      </c>
      <c r="F211" s="2" t="str">
        <f>VLOOKUP(C211,'Task 2b Sample List'!I:K,3,FALSE)</f>
        <v>BM1-S50-P10-Day20-B</v>
      </c>
      <c r="G211" s="166" t="str">
        <f t="shared" si="11"/>
        <v>BM1-S50-P10-Day20</v>
      </c>
      <c r="H211" s="2" t="str">
        <f>VLOOKUP(C211,'Task 2b Sample List'!I:L,4,FALSE)</f>
        <v>A</v>
      </c>
      <c r="I211" t="s">
        <v>181</v>
      </c>
      <c r="J211" s="2">
        <v>50</v>
      </c>
      <c r="K211" s="2">
        <v>10</v>
      </c>
      <c r="L211" s="2">
        <v>20</v>
      </c>
      <c r="M211" s="8" t="s">
        <v>27</v>
      </c>
      <c r="N211" s="4" t="s">
        <v>386</v>
      </c>
      <c r="O211" s="5" t="s">
        <v>39</v>
      </c>
      <c r="P211" s="2" t="s">
        <v>386</v>
      </c>
    </row>
    <row r="212" spans="1:16" x14ac:dyDescent="0.25">
      <c r="A212" s="97" t="s">
        <v>80</v>
      </c>
      <c r="B212" s="1" t="s">
        <v>387</v>
      </c>
      <c r="C212" s="1" t="s">
        <v>387</v>
      </c>
      <c r="D212" s="2" t="s">
        <v>388</v>
      </c>
      <c r="E212" s="94" t="str">
        <f t="shared" si="9"/>
        <v>BM1-S50-P10-Day20-C:PFHxA</v>
      </c>
      <c r="F212" s="2" t="str">
        <f>VLOOKUP(C212,'Task 2b Sample List'!I:K,3,FALSE)</f>
        <v>BM1-S50-P10-Day20-C</v>
      </c>
      <c r="G212" s="166" t="str">
        <f t="shared" si="11"/>
        <v>BM1-S50-P10-Day20</v>
      </c>
      <c r="H212" s="2" t="str">
        <f>VLOOKUP(C212,'Task 2b Sample List'!I:L,4,FALSE)</f>
        <v>A</v>
      </c>
      <c r="I212" t="s">
        <v>181</v>
      </c>
      <c r="J212" s="2">
        <v>50</v>
      </c>
      <c r="K212" s="2">
        <v>10</v>
      </c>
      <c r="L212" s="2">
        <v>20</v>
      </c>
      <c r="M212" s="6" t="s">
        <v>22</v>
      </c>
      <c r="N212" s="2" t="s">
        <v>389</v>
      </c>
      <c r="O212" s="3" t="s">
        <v>39</v>
      </c>
      <c r="P212" s="2" t="s">
        <v>389</v>
      </c>
    </row>
    <row r="213" spans="1:16" x14ac:dyDescent="0.25">
      <c r="A213" s="97" t="s">
        <v>80</v>
      </c>
      <c r="B213" s="1" t="s">
        <v>387</v>
      </c>
      <c r="C213" s="1" t="s">
        <v>387</v>
      </c>
      <c r="D213" s="2" t="s">
        <v>388</v>
      </c>
      <c r="E213" s="94" t="str">
        <f t="shared" si="9"/>
        <v>BM1-S50-P10-Day20-C:PFOA</v>
      </c>
      <c r="F213" s="2" t="str">
        <f>VLOOKUP(C213,'Task 2b Sample List'!I:K,3,FALSE)</f>
        <v>BM1-S50-P10-Day20-C</v>
      </c>
      <c r="G213" s="166" t="str">
        <f t="shared" si="11"/>
        <v>BM1-S50-P10-Day20</v>
      </c>
      <c r="H213" s="2" t="str">
        <f>VLOOKUP(C213,'Task 2b Sample List'!I:L,4,FALSE)</f>
        <v>A</v>
      </c>
      <c r="I213" t="s">
        <v>181</v>
      </c>
      <c r="J213" s="2">
        <v>50</v>
      </c>
      <c r="K213" s="2">
        <v>10</v>
      </c>
      <c r="L213" s="2">
        <v>20</v>
      </c>
      <c r="M213" s="7" t="s">
        <v>23</v>
      </c>
      <c r="N213" s="4" t="s">
        <v>390</v>
      </c>
      <c r="O213" s="5" t="s">
        <v>39</v>
      </c>
      <c r="P213" s="2" t="s">
        <v>390</v>
      </c>
    </row>
    <row r="214" spans="1:16" x14ac:dyDescent="0.25">
      <c r="A214" s="97" t="s">
        <v>80</v>
      </c>
      <c r="B214" s="1" t="s">
        <v>387</v>
      </c>
      <c r="C214" s="1" t="s">
        <v>387</v>
      </c>
      <c r="D214" s="2" t="s">
        <v>388</v>
      </c>
      <c r="E214" s="94" t="str">
        <f t="shared" si="9"/>
        <v>BM1-S50-P10-Day20-C:PFNA</v>
      </c>
      <c r="F214" s="2" t="str">
        <f>VLOOKUP(C214,'Task 2b Sample List'!I:K,3,FALSE)</f>
        <v>BM1-S50-P10-Day20-C</v>
      </c>
      <c r="G214" s="166" t="str">
        <f t="shared" si="11"/>
        <v>BM1-S50-P10-Day20</v>
      </c>
      <c r="H214" s="2" t="str">
        <f>VLOOKUP(C214,'Task 2b Sample List'!I:L,4,FALSE)</f>
        <v>A</v>
      </c>
      <c r="I214" t="s">
        <v>181</v>
      </c>
      <c r="J214" s="2">
        <v>50</v>
      </c>
      <c r="K214" s="2">
        <v>10</v>
      </c>
      <c r="L214" s="2">
        <v>20</v>
      </c>
      <c r="M214" s="7" t="s">
        <v>24</v>
      </c>
      <c r="N214" s="2" t="s">
        <v>391</v>
      </c>
      <c r="O214" s="3" t="s">
        <v>39</v>
      </c>
      <c r="P214" s="2" t="s">
        <v>391</v>
      </c>
    </row>
    <row r="215" spans="1:16" x14ac:dyDescent="0.25">
      <c r="A215" s="97" t="s">
        <v>80</v>
      </c>
      <c r="B215" s="1" t="s">
        <v>387</v>
      </c>
      <c r="C215" s="1" t="s">
        <v>387</v>
      </c>
      <c r="D215" s="2" t="s">
        <v>388</v>
      </c>
      <c r="E215" s="94" t="str">
        <f t="shared" si="9"/>
        <v>BM1-S50-P10-Day20-C:PFBS</v>
      </c>
      <c r="F215" s="2" t="str">
        <f>VLOOKUP(C215,'Task 2b Sample List'!I:K,3,FALSE)</f>
        <v>BM1-S50-P10-Day20-C</v>
      </c>
      <c r="G215" s="166" t="str">
        <f t="shared" si="11"/>
        <v>BM1-S50-P10-Day20</v>
      </c>
      <c r="H215" s="2" t="str">
        <f>VLOOKUP(C215,'Task 2b Sample List'!I:L,4,FALSE)</f>
        <v>A</v>
      </c>
      <c r="I215" t="s">
        <v>181</v>
      </c>
      <c r="J215" s="2">
        <v>50</v>
      </c>
      <c r="K215" s="2">
        <v>10</v>
      </c>
      <c r="L215" s="2">
        <v>20</v>
      </c>
      <c r="M215" s="7" t="s">
        <v>25</v>
      </c>
      <c r="N215" s="4" t="s">
        <v>392</v>
      </c>
      <c r="O215" s="5" t="s">
        <v>39</v>
      </c>
      <c r="P215" s="2" t="s">
        <v>392</v>
      </c>
    </row>
    <row r="216" spans="1:16" x14ac:dyDescent="0.25">
      <c r="A216" s="97" t="s">
        <v>80</v>
      </c>
      <c r="B216" s="1" t="s">
        <v>387</v>
      </c>
      <c r="C216" s="1" t="s">
        <v>387</v>
      </c>
      <c r="D216" s="2" t="s">
        <v>388</v>
      </c>
      <c r="E216" s="94" t="str">
        <f t="shared" si="9"/>
        <v>BM1-S50-P10-Day20-C:PFOS</v>
      </c>
      <c r="F216" s="2" t="str">
        <f>VLOOKUP(C216,'Task 2b Sample List'!I:K,3,FALSE)</f>
        <v>BM1-S50-P10-Day20-C</v>
      </c>
      <c r="G216" s="166" t="str">
        <f t="shared" si="11"/>
        <v>BM1-S50-P10-Day20</v>
      </c>
      <c r="H216" s="2" t="str">
        <f>VLOOKUP(C216,'Task 2b Sample List'!I:L,4,FALSE)</f>
        <v>A</v>
      </c>
      <c r="I216" t="s">
        <v>181</v>
      </c>
      <c r="J216" s="2">
        <v>50</v>
      </c>
      <c r="K216" s="2">
        <v>10</v>
      </c>
      <c r="L216" s="2">
        <v>20</v>
      </c>
      <c r="M216" s="7" t="s">
        <v>26</v>
      </c>
      <c r="N216" s="2" t="s">
        <v>393</v>
      </c>
      <c r="O216" s="3" t="s">
        <v>39</v>
      </c>
      <c r="P216" s="2" t="s">
        <v>393</v>
      </c>
    </row>
    <row r="217" spans="1:16" ht="15.75" thickBot="1" x14ac:dyDescent="0.3">
      <c r="A217" s="97" t="s">
        <v>80</v>
      </c>
      <c r="B217" s="1" t="s">
        <v>387</v>
      </c>
      <c r="C217" s="1" t="s">
        <v>387</v>
      </c>
      <c r="D217" s="2" t="s">
        <v>388</v>
      </c>
      <c r="E217" s="94" t="str">
        <f t="shared" si="9"/>
        <v>BM1-S50-P10-Day20-C:8:2FTS</v>
      </c>
      <c r="F217" s="2" t="str">
        <f>VLOOKUP(C217,'Task 2b Sample List'!I:K,3,FALSE)</f>
        <v>BM1-S50-P10-Day20-C</v>
      </c>
      <c r="G217" s="166" t="str">
        <f t="shared" si="11"/>
        <v>BM1-S50-P10-Day20</v>
      </c>
      <c r="H217" s="2" t="str">
        <f>VLOOKUP(C217,'Task 2b Sample List'!I:L,4,FALSE)</f>
        <v>A</v>
      </c>
      <c r="I217" t="s">
        <v>181</v>
      </c>
      <c r="J217" s="2">
        <v>50</v>
      </c>
      <c r="K217" s="2">
        <v>10</v>
      </c>
      <c r="L217" s="2">
        <v>20</v>
      </c>
      <c r="M217" s="8" t="s">
        <v>27</v>
      </c>
      <c r="N217" s="4" t="s">
        <v>394</v>
      </c>
      <c r="O217" s="5" t="s">
        <v>39</v>
      </c>
      <c r="P217" s="2" t="s">
        <v>394</v>
      </c>
    </row>
    <row r="218" spans="1:16" x14ac:dyDescent="0.25">
      <c r="A218" s="97" t="s">
        <v>80</v>
      </c>
      <c r="B218" s="1" t="s">
        <v>395</v>
      </c>
      <c r="C218" s="1" t="s">
        <v>395</v>
      </c>
      <c r="D218" s="2" t="s">
        <v>396</v>
      </c>
      <c r="E218" s="94" t="str">
        <f t="shared" si="9"/>
        <v>BM1-S50-P50-Day20-A:PFHxA</v>
      </c>
      <c r="F218" s="2" t="str">
        <f>VLOOKUP(C218,'Task 2b Sample List'!I:K,3,FALSE)</f>
        <v>BM1-S50-P50-Day20-A</v>
      </c>
      <c r="G218" s="166" t="str">
        <f t="shared" si="11"/>
        <v>BM1-S50-P50-Day20</v>
      </c>
      <c r="H218" s="2" t="str">
        <f>VLOOKUP(C218,'Task 2b Sample List'!I:L,4,FALSE)</f>
        <v>A</v>
      </c>
      <c r="I218" t="s">
        <v>181</v>
      </c>
      <c r="J218" s="2">
        <v>50</v>
      </c>
      <c r="K218" s="2">
        <v>50</v>
      </c>
      <c r="L218" s="2">
        <v>20</v>
      </c>
      <c r="M218" s="6" t="s">
        <v>22</v>
      </c>
      <c r="N218" s="2" t="s">
        <v>305</v>
      </c>
      <c r="O218" s="3" t="s">
        <v>39</v>
      </c>
      <c r="P218" s="2" t="s">
        <v>305</v>
      </c>
    </row>
    <row r="219" spans="1:16" x14ac:dyDescent="0.25">
      <c r="A219" s="97" t="s">
        <v>80</v>
      </c>
      <c r="B219" s="1" t="s">
        <v>395</v>
      </c>
      <c r="C219" s="1" t="s">
        <v>395</v>
      </c>
      <c r="D219" s="2" t="s">
        <v>396</v>
      </c>
      <c r="E219" s="94" t="str">
        <f t="shared" si="9"/>
        <v>BM1-S50-P50-Day20-A:PFOA</v>
      </c>
      <c r="F219" s="2" t="str">
        <f>VLOOKUP(C219,'Task 2b Sample List'!I:K,3,FALSE)</f>
        <v>BM1-S50-P50-Day20-A</v>
      </c>
      <c r="G219" s="166" t="str">
        <f t="shared" si="11"/>
        <v>BM1-S50-P50-Day20</v>
      </c>
      <c r="H219" s="2" t="str">
        <f>VLOOKUP(C219,'Task 2b Sample List'!I:L,4,FALSE)</f>
        <v>A</v>
      </c>
      <c r="I219" t="s">
        <v>181</v>
      </c>
      <c r="J219" s="2">
        <v>50</v>
      </c>
      <c r="K219" s="2">
        <v>50</v>
      </c>
      <c r="L219" s="2">
        <v>20</v>
      </c>
      <c r="M219" s="7" t="s">
        <v>23</v>
      </c>
      <c r="N219" s="4" t="s">
        <v>397</v>
      </c>
      <c r="O219" s="5" t="s">
        <v>39</v>
      </c>
      <c r="P219" s="2" t="s">
        <v>397</v>
      </c>
    </row>
    <row r="220" spans="1:16" x14ac:dyDescent="0.25">
      <c r="A220" s="97" t="s">
        <v>80</v>
      </c>
      <c r="B220" s="1" t="s">
        <v>395</v>
      </c>
      <c r="C220" s="1" t="s">
        <v>395</v>
      </c>
      <c r="D220" s="2" t="s">
        <v>396</v>
      </c>
      <c r="E220" s="94" t="str">
        <f t="shared" si="9"/>
        <v>BM1-S50-P50-Day20-A:PFNA</v>
      </c>
      <c r="F220" s="2" t="str">
        <f>VLOOKUP(C220,'Task 2b Sample List'!I:K,3,FALSE)</f>
        <v>BM1-S50-P50-Day20-A</v>
      </c>
      <c r="G220" s="166" t="str">
        <f t="shared" si="11"/>
        <v>BM1-S50-P50-Day20</v>
      </c>
      <c r="H220" s="2" t="str">
        <f>VLOOKUP(C220,'Task 2b Sample List'!I:L,4,FALSE)</f>
        <v>A</v>
      </c>
      <c r="I220" t="s">
        <v>181</v>
      </c>
      <c r="J220" s="2">
        <v>50</v>
      </c>
      <c r="K220" s="2">
        <v>50</v>
      </c>
      <c r="L220" s="2">
        <v>20</v>
      </c>
      <c r="M220" s="7" t="s">
        <v>24</v>
      </c>
      <c r="N220" s="2" t="s">
        <v>398</v>
      </c>
      <c r="O220" s="3" t="s">
        <v>39</v>
      </c>
      <c r="P220" s="2" t="s">
        <v>398</v>
      </c>
    </row>
    <row r="221" spans="1:16" x14ac:dyDescent="0.25">
      <c r="A221" s="97" t="s">
        <v>80</v>
      </c>
      <c r="B221" s="1" t="s">
        <v>395</v>
      </c>
      <c r="C221" s="1" t="s">
        <v>395</v>
      </c>
      <c r="D221" s="2" t="s">
        <v>396</v>
      </c>
      <c r="E221" s="94" t="str">
        <f t="shared" si="9"/>
        <v>BM1-S50-P50-Day20-A:PFBS</v>
      </c>
      <c r="F221" s="2" t="str">
        <f>VLOOKUP(C221,'Task 2b Sample List'!I:K,3,FALSE)</f>
        <v>BM1-S50-P50-Day20-A</v>
      </c>
      <c r="G221" s="166" t="str">
        <f t="shared" si="11"/>
        <v>BM1-S50-P50-Day20</v>
      </c>
      <c r="H221" s="2" t="str">
        <f>VLOOKUP(C221,'Task 2b Sample List'!I:L,4,FALSE)</f>
        <v>A</v>
      </c>
      <c r="I221" t="s">
        <v>181</v>
      </c>
      <c r="J221" s="2">
        <v>50</v>
      </c>
      <c r="K221" s="2">
        <v>50</v>
      </c>
      <c r="L221" s="2">
        <v>20</v>
      </c>
      <c r="M221" s="7" t="s">
        <v>25</v>
      </c>
      <c r="N221" s="4" t="s">
        <v>289</v>
      </c>
      <c r="O221" s="5" t="s">
        <v>39</v>
      </c>
      <c r="P221" s="2" t="s">
        <v>289</v>
      </c>
    </row>
    <row r="222" spans="1:16" x14ac:dyDescent="0.25">
      <c r="A222" s="97" t="s">
        <v>80</v>
      </c>
      <c r="B222" s="1" t="s">
        <v>395</v>
      </c>
      <c r="C222" s="1" t="s">
        <v>395</v>
      </c>
      <c r="D222" s="2" t="s">
        <v>396</v>
      </c>
      <c r="E222" s="94" t="str">
        <f t="shared" si="9"/>
        <v>BM1-S50-P50-Day20-A:PFOS</v>
      </c>
      <c r="F222" s="2" t="str">
        <f>VLOOKUP(C222,'Task 2b Sample List'!I:K,3,FALSE)</f>
        <v>BM1-S50-P50-Day20-A</v>
      </c>
      <c r="G222" s="166" t="str">
        <f t="shared" si="11"/>
        <v>BM1-S50-P50-Day20</v>
      </c>
      <c r="H222" s="2" t="str">
        <f>VLOOKUP(C222,'Task 2b Sample List'!I:L,4,FALSE)</f>
        <v>A</v>
      </c>
      <c r="I222" t="s">
        <v>181</v>
      </c>
      <c r="J222" s="2">
        <v>50</v>
      </c>
      <c r="K222" s="2">
        <v>50</v>
      </c>
      <c r="L222" s="2">
        <v>20</v>
      </c>
      <c r="M222" s="7" t="s">
        <v>26</v>
      </c>
      <c r="N222" s="2" t="s">
        <v>399</v>
      </c>
      <c r="O222" s="3" t="s">
        <v>39</v>
      </c>
      <c r="P222" s="2" t="s">
        <v>399</v>
      </c>
    </row>
    <row r="223" spans="1:16" ht="15.75" thickBot="1" x14ac:dyDescent="0.3">
      <c r="A223" s="97" t="s">
        <v>80</v>
      </c>
      <c r="B223" s="1" t="s">
        <v>395</v>
      </c>
      <c r="C223" s="1" t="s">
        <v>395</v>
      </c>
      <c r="D223" s="2" t="s">
        <v>396</v>
      </c>
      <c r="E223" s="94" t="str">
        <f t="shared" si="9"/>
        <v>BM1-S50-P50-Day20-A:8:2FTS</v>
      </c>
      <c r="F223" s="2" t="str">
        <f>VLOOKUP(C223,'Task 2b Sample List'!I:K,3,FALSE)</f>
        <v>BM1-S50-P50-Day20-A</v>
      </c>
      <c r="G223" s="166" t="str">
        <f t="shared" si="11"/>
        <v>BM1-S50-P50-Day20</v>
      </c>
      <c r="H223" s="2" t="str">
        <f>VLOOKUP(C223,'Task 2b Sample List'!I:L,4,FALSE)</f>
        <v>A</v>
      </c>
      <c r="I223" t="s">
        <v>181</v>
      </c>
      <c r="J223" s="2">
        <v>50</v>
      </c>
      <c r="K223" s="2">
        <v>50</v>
      </c>
      <c r="L223" s="2">
        <v>20</v>
      </c>
      <c r="M223" s="8" t="s">
        <v>27</v>
      </c>
      <c r="N223" s="4" t="s">
        <v>400</v>
      </c>
      <c r="O223" s="5" t="s">
        <v>39</v>
      </c>
      <c r="P223" s="2" t="s">
        <v>400</v>
      </c>
    </row>
    <row r="224" spans="1:16" x14ac:dyDescent="0.25">
      <c r="A224" s="97" t="s">
        <v>80</v>
      </c>
      <c r="B224" s="1" t="s">
        <v>401</v>
      </c>
      <c r="C224" s="1" t="s">
        <v>401</v>
      </c>
      <c r="D224" s="2" t="s">
        <v>402</v>
      </c>
      <c r="E224" s="94" t="str">
        <f t="shared" si="9"/>
        <v>BM1-S50-P50-Day20-B:PFHxA</v>
      </c>
      <c r="F224" s="2" t="str">
        <f>VLOOKUP(C224,'Task 2b Sample List'!I:K,3,FALSE)</f>
        <v>BM1-S50-P50-Day20-B</v>
      </c>
      <c r="G224" s="166" t="str">
        <f t="shared" si="11"/>
        <v>BM1-S50-P50-Day20</v>
      </c>
      <c r="H224" s="2" t="str">
        <f>VLOOKUP(C224,'Task 2b Sample List'!I:L,4,FALSE)</f>
        <v>A</v>
      </c>
      <c r="I224" t="s">
        <v>181</v>
      </c>
      <c r="J224" s="2">
        <v>50</v>
      </c>
      <c r="K224" s="2">
        <v>50</v>
      </c>
      <c r="L224" s="2">
        <v>20</v>
      </c>
      <c r="M224" s="6" t="s">
        <v>22</v>
      </c>
      <c r="N224" s="2" t="s">
        <v>403</v>
      </c>
      <c r="O224" s="3" t="s">
        <v>39</v>
      </c>
      <c r="P224" s="2" t="s">
        <v>403</v>
      </c>
    </row>
    <row r="225" spans="1:16" x14ac:dyDescent="0.25">
      <c r="A225" s="97" t="s">
        <v>80</v>
      </c>
      <c r="B225" s="1" t="s">
        <v>401</v>
      </c>
      <c r="C225" s="1" t="s">
        <v>401</v>
      </c>
      <c r="D225" s="2" t="s">
        <v>402</v>
      </c>
      <c r="E225" s="94" t="str">
        <f t="shared" si="9"/>
        <v>BM1-S50-P50-Day20-B:PFOA</v>
      </c>
      <c r="F225" s="2" t="str">
        <f>VLOOKUP(C225,'Task 2b Sample List'!I:K,3,FALSE)</f>
        <v>BM1-S50-P50-Day20-B</v>
      </c>
      <c r="G225" s="166" t="str">
        <f t="shared" si="11"/>
        <v>BM1-S50-P50-Day20</v>
      </c>
      <c r="H225" s="2" t="str">
        <f>VLOOKUP(C225,'Task 2b Sample List'!I:L,4,FALSE)</f>
        <v>A</v>
      </c>
      <c r="I225" t="s">
        <v>181</v>
      </c>
      <c r="J225" s="2">
        <v>50</v>
      </c>
      <c r="K225" s="2">
        <v>50</v>
      </c>
      <c r="L225" s="2">
        <v>20</v>
      </c>
      <c r="M225" s="7" t="s">
        <v>23</v>
      </c>
      <c r="N225" s="4" t="s">
        <v>404</v>
      </c>
      <c r="O225" s="5" t="s">
        <v>39</v>
      </c>
      <c r="P225" s="2" t="s">
        <v>404</v>
      </c>
    </row>
    <row r="226" spans="1:16" x14ac:dyDescent="0.25">
      <c r="A226" s="97" t="s">
        <v>80</v>
      </c>
      <c r="B226" s="1" t="s">
        <v>401</v>
      </c>
      <c r="C226" s="1" t="s">
        <v>401</v>
      </c>
      <c r="D226" s="2" t="s">
        <v>402</v>
      </c>
      <c r="E226" s="94" t="str">
        <f t="shared" si="9"/>
        <v>BM1-S50-P50-Day20-B:PFNA</v>
      </c>
      <c r="F226" s="2" t="str">
        <f>VLOOKUP(C226,'Task 2b Sample List'!I:K,3,FALSE)</f>
        <v>BM1-S50-P50-Day20-B</v>
      </c>
      <c r="G226" s="166" t="str">
        <f t="shared" si="11"/>
        <v>BM1-S50-P50-Day20</v>
      </c>
      <c r="H226" s="2" t="str">
        <f>VLOOKUP(C226,'Task 2b Sample List'!I:L,4,FALSE)</f>
        <v>A</v>
      </c>
      <c r="I226" t="s">
        <v>181</v>
      </c>
      <c r="J226" s="2">
        <v>50</v>
      </c>
      <c r="K226" s="2">
        <v>50</v>
      </c>
      <c r="L226" s="2">
        <v>20</v>
      </c>
      <c r="M226" s="7" t="s">
        <v>24</v>
      </c>
      <c r="N226" s="2" t="s">
        <v>405</v>
      </c>
      <c r="O226" s="3" t="s">
        <v>39</v>
      </c>
      <c r="P226" s="2" t="s">
        <v>405</v>
      </c>
    </row>
    <row r="227" spans="1:16" x14ac:dyDescent="0.25">
      <c r="A227" s="97" t="s">
        <v>80</v>
      </c>
      <c r="B227" s="1" t="s">
        <v>401</v>
      </c>
      <c r="C227" s="1" t="s">
        <v>401</v>
      </c>
      <c r="D227" s="2" t="s">
        <v>402</v>
      </c>
      <c r="E227" s="94" t="str">
        <f t="shared" si="9"/>
        <v>BM1-S50-P50-Day20-B:PFBS</v>
      </c>
      <c r="F227" s="2" t="str">
        <f>VLOOKUP(C227,'Task 2b Sample List'!I:K,3,FALSE)</f>
        <v>BM1-S50-P50-Day20-B</v>
      </c>
      <c r="G227" s="166" t="str">
        <f t="shared" si="11"/>
        <v>BM1-S50-P50-Day20</v>
      </c>
      <c r="H227" s="2" t="str">
        <f>VLOOKUP(C227,'Task 2b Sample List'!I:L,4,FALSE)</f>
        <v>A</v>
      </c>
      <c r="I227" t="s">
        <v>181</v>
      </c>
      <c r="J227" s="2">
        <v>50</v>
      </c>
      <c r="K227" s="2">
        <v>50</v>
      </c>
      <c r="L227" s="2">
        <v>20</v>
      </c>
      <c r="M227" s="7" t="s">
        <v>25</v>
      </c>
      <c r="N227" s="4" t="s">
        <v>406</v>
      </c>
      <c r="O227" s="5" t="s">
        <v>39</v>
      </c>
      <c r="P227" s="2" t="s">
        <v>406</v>
      </c>
    </row>
    <row r="228" spans="1:16" x14ac:dyDescent="0.25">
      <c r="A228" s="97" t="s">
        <v>80</v>
      </c>
      <c r="B228" s="1" t="s">
        <v>401</v>
      </c>
      <c r="C228" s="1" t="s">
        <v>401</v>
      </c>
      <c r="D228" s="2" t="s">
        <v>402</v>
      </c>
      <c r="E228" s="94" t="str">
        <f t="shared" si="9"/>
        <v>BM1-S50-P50-Day20-B:PFOS</v>
      </c>
      <c r="F228" s="2" t="str">
        <f>VLOOKUP(C228,'Task 2b Sample List'!I:K,3,FALSE)</f>
        <v>BM1-S50-P50-Day20-B</v>
      </c>
      <c r="G228" s="166" t="str">
        <f t="shared" si="11"/>
        <v>BM1-S50-P50-Day20</v>
      </c>
      <c r="H228" s="2" t="str">
        <f>VLOOKUP(C228,'Task 2b Sample List'!I:L,4,FALSE)</f>
        <v>A</v>
      </c>
      <c r="I228" t="s">
        <v>181</v>
      </c>
      <c r="J228" s="2">
        <v>50</v>
      </c>
      <c r="K228" s="2">
        <v>50</v>
      </c>
      <c r="L228" s="2">
        <v>20</v>
      </c>
      <c r="M228" s="7" t="s">
        <v>26</v>
      </c>
      <c r="N228" s="2" t="s">
        <v>407</v>
      </c>
      <c r="O228" s="3" t="s">
        <v>39</v>
      </c>
      <c r="P228" s="2" t="s">
        <v>407</v>
      </c>
    </row>
    <row r="229" spans="1:16" ht="15.75" thickBot="1" x14ac:dyDescent="0.3">
      <c r="A229" s="97" t="s">
        <v>80</v>
      </c>
      <c r="B229" s="1" t="s">
        <v>401</v>
      </c>
      <c r="C229" s="1" t="s">
        <v>401</v>
      </c>
      <c r="D229" s="2" t="s">
        <v>402</v>
      </c>
      <c r="E229" s="94" t="str">
        <f t="shared" si="9"/>
        <v>BM1-S50-P50-Day20-B:8:2FTS</v>
      </c>
      <c r="F229" s="2" t="str">
        <f>VLOOKUP(C229,'Task 2b Sample List'!I:K,3,FALSE)</f>
        <v>BM1-S50-P50-Day20-B</v>
      </c>
      <c r="G229" s="166" t="str">
        <f t="shared" si="11"/>
        <v>BM1-S50-P50-Day20</v>
      </c>
      <c r="H229" s="2" t="str">
        <f>VLOOKUP(C229,'Task 2b Sample List'!I:L,4,FALSE)</f>
        <v>A</v>
      </c>
      <c r="I229" t="s">
        <v>181</v>
      </c>
      <c r="J229" s="2">
        <v>50</v>
      </c>
      <c r="K229" s="2">
        <v>50</v>
      </c>
      <c r="L229" s="2">
        <v>20</v>
      </c>
      <c r="M229" s="8" t="s">
        <v>27</v>
      </c>
      <c r="N229" s="4" t="s">
        <v>408</v>
      </c>
      <c r="O229" s="5" t="s">
        <v>39</v>
      </c>
      <c r="P229" s="2" t="s">
        <v>408</v>
      </c>
    </row>
    <row r="230" spans="1:16" x14ac:dyDescent="0.25">
      <c r="A230" s="97" t="s">
        <v>80</v>
      </c>
      <c r="B230" s="1" t="s">
        <v>409</v>
      </c>
      <c r="C230" s="1" t="s">
        <v>409</v>
      </c>
      <c r="D230" s="2" t="s">
        <v>410</v>
      </c>
      <c r="E230" s="94" t="str">
        <f t="shared" si="9"/>
        <v>BM1-S50-P50-Day20-C:PFHxA</v>
      </c>
      <c r="F230" s="2" t="str">
        <f>VLOOKUP(C230,'Task 2b Sample List'!I:K,3,FALSE)</f>
        <v>BM1-S50-P50-Day20-C</v>
      </c>
      <c r="G230" s="166" t="str">
        <f t="shared" si="11"/>
        <v>BM1-S50-P50-Day20</v>
      </c>
      <c r="H230" s="2" t="str">
        <f>VLOOKUP(C230,'Task 2b Sample List'!I:L,4,FALSE)</f>
        <v>A</v>
      </c>
      <c r="I230" t="s">
        <v>181</v>
      </c>
      <c r="J230" s="2">
        <v>50</v>
      </c>
      <c r="K230" s="2">
        <v>50</v>
      </c>
      <c r="L230" s="2">
        <v>20</v>
      </c>
      <c r="M230" s="6" t="s">
        <v>22</v>
      </c>
      <c r="N230" s="2" t="s">
        <v>411</v>
      </c>
      <c r="O230" s="3" t="s">
        <v>39</v>
      </c>
      <c r="P230" s="2" t="s">
        <v>411</v>
      </c>
    </row>
    <row r="231" spans="1:16" x14ac:dyDescent="0.25">
      <c r="A231" s="97" t="s">
        <v>80</v>
      </c>
      <c r="B231" s="1" t="s">
        <v>409</v>
      </c>
      <c r="C231" s="1" t="s">
        <v>409</v>
      </c>
      <c r="D231" s="2" t="s">
        <v>410</v>
      </c>
      <c r="E231" s="94" t="str">
        <f t="shared" si="9"/>
        <v>BM1-S50-P50-Day20-C:PFOA</v>
      </c>
      <c r="F231" s="2" t="str">
        <f>VLOOKUP(C231,'Task 2b Sample List'!I:K,3,FALSE)</f>
        <v>BM1-S50-P50-Day20-C</v>
      </c>
      <c r="G231" s="166" t="str">
        <f t="shared" si="11"/>
        <v>BM1-S50-P50-Day20</v>
      </c>
      <c r="H231" s="2" t="str">
        <f>VLOOKUP(C231,'Task 2b Sample List'!I:L,4,FALSE)</f>
        <v>A</v>
      </c>
      <c r="I231" t="s">
        <v>181</v>
      </c>
      <c r="J231" s="2">
        <v>50</v>
      </c>
      <c r="K231" s="2">
        <v>50</v>
      </c>
      <c r="L231" s="2">
        <v>20</v>
      </c>
      <c r="M231" s="7" t="s">
        <v>23</v>
      </c>
      <c r="N231" s="4" t="s">
        <v>412</v>
      </c>
      <c r="O231" s="5" t="s">
        <v>39</v>
      </c>
      <c r="P231" s="2" t="s">
        <v>412</v>
      </c>
    </row>
    <row r="232" spans="1:16" x14ac:dyDescent="0.25">
      <c r="A232" s="97" t="s">
        <v>80</v>
      </c>
      <c r="B232" s="1" t="s">
        <v>409</v>
      </c>
      <c r="C232" s="1" t="s">
        <v>409</v>
      </c>
      <c r="D232" s="2" t="s">
        <v>410</v>
      </c>
      <c r="E232" s="94" t="str">
        <f t="shared" si="9"/>
        <v>BM1-S50-P50-Day20-C:PFNA</v>
      </c>
      <c r="F232" s="2" t="str">
        <f>VLOOKUP(C232,'Task 2b Sample List'!I:K,3,FALSE)</f>
        <v>BM1-S50-P50-Day20-C</v>
      </c>
      <c r="G232" s="166" t="str">
        <f t="shared" si="11"/>
        <v>BM1-S50-P50-Day20</v>
      </c>
      <c r="H232" s="2" t="str">
        <f>VLOOKUP(C232,'Task 2b Sample List'!I:L,4,FALSE)</f>
        <v>A</v>
      </c>
      <c r="I232" t="s">
        <v>181</v>
      </c>
      <c r="J232" s="2">
        <v>50</v>
      </c>
      <c r="K232" s="2">
        <v>50</v>
      </c>
      <c r="L232" s="2">
        <v>20</v>
      </c>
      <c r="M232" s="7" t="s">
        <v>24</v>
      </c>
      <c r="N232" s="2" t="s">
        <v>413</v>
      </c>
      <c r="O232" s="3" t="s">
        <v>39</v>
      </c>
      <c r="P232" s="2" t="s">
        <v>413</v>
      </c>
    </row>
    <row r="233" spans="1:16" x14ac:dyDescent="0.25">
      <c r="A233" s="97" t="s">
        <v>80</v>
      </c>
      <c r="B233" s="1" t="s">
        <v>409</v>
      </c>
      <c r="C233" s="1" t="s">
        <v>409</v>
      </c>
      <c r="D233" s="2" t="s">
        <v>410</v>
      </c>
      <c r="E233" s="94" t="str">
        <f t="shared" si="9"/>
        <v>BM1-S50-P50-Day20-C:PFBS</v>
      </c>
      <c r="F233" s="2" t="str">
        <f>VLOOKUP(C233,'Task 2b Sample List'!I:K,3,FALSE)</f>
        <v>BM1-S50-P50-Day20-C</v>
      </c>
      <c r="G233" s="166" t="str">
        <f t="shared" si="11"/>
        <v>BM1-S50-P50-Day20</v>
      </c>
      <c r="H233" s="2" t="str">
        <f>VLOOKUP(C233,'Task 2b Sample List'!I:L,4,FALSE)</f>
        <v>A</v>
      </c>
      <c r="I233" t="s">
        <v>181</v>
      </c>
      <c r="J233" s="2">
        <v>50</v>
      </c>
      <c r="K233" s="2">
        <v>50</v>
      </c>
      <c r="L233" s="2">
        <v>20</v>
      </c>
      <c r="M233" s="7" t="s">
        <v>25</v>
      </c>
      <c r="N233" s="4" t="s">
        <v>414</v>
      </c>
      <c r="O233" s="5" t="s">
        <v>39</v>
      </c>
      <c r="P233" s="2" t="s">
        <v>414</v>
      </c>
    </row>
    <row r="234" spans="1:16" x14ac:dyDescent="0.25">
      <c r="A234" s="97" t="s">
        <v>80</v>
      </c>
      <c r="B234" s="1" t="s">
        <v>409</v>
      </c>
      <c r="C234" s="1" t="s">
        <v>409</v>
      </c>
      <c r="D234" s="2" t="s">
        <v>410</v>
      </c>
      <c r="E234" s="94" t="str">
        <f t="shared" si="9"/>
        <v>BM1-S50-P50-Day20-C:PFOS</v>
      </c>
      <c r="F234" s="2" t="str">
        <f>VLOOKUP(C234,'Task 2b Sample List'!I:K,3,FALSE)</f>
        <v>BM1-S50-P50-Day20-C</v>
      </c>
      <c r="G234" s="166" t="str">
        <f t="shared" si="11"/>
        <v>BM1-S50-P50-Day20</v>
      </c>
      <c r="H234" s="2" t="str">
        <f>VLOOKUP(C234,'Task 2b Sample List'!I:L,4,FALSE)</f>
        <v>A</v>
      </c>
      <c r="I234" t="s">
        <v>181</v>
      </c>
      <c r="J234" s="2">
        <v>50</v>
      </c>
      <c r="K234" s="2">
        <v>50</v>
      </c>
      <c r="L234" s="2">
        <v>20</v>
      </c>
      <c r="M234" s="7" t="s">
        <v>26</v>
      </c>
      <c r="N234" s="2" t="s">
        <v>415</v>
      </c>
      <c r="O234" s="3" t="s">
        <v>39</v>
      </c>
      <c r="P234" s="2" t="s">
        <v>415</v>
      </c>
    </row>
    <row r="235" spans="1:16" ht="15.75" thickBot="1" x14ac:dyDescent="0.3">
      <c r="A235" s="97" t="s">
        <v>80</v>
      </c>
      <c r="B235" s="1" t="s">
        <v>409</v>
      </c>
      <c r="C235" s="1" t="s">
        <v>409</v>
      </c>
      <c r="D235" s="2" t="s">
        <v>410</v>
      </c>
      <c r="E235" s="94" t="str">
        <f t="shared" si="9"/>
        <v>BM1-S50-P50-Day20-C:8:2FTS</v>
      </c>
      <c r="F235" s="2" t="str">
        <f>VLOOKUP(C235,'Task 2b Sample List'!I:K,3,FALSE)</f>
        <v>BM1-S50-P50-Day20-C</v>
      </c>
      <c r="G235" s="166" t="str">
        <f t="shared" si="11"/>
        <v>BM1-S50-P50-Day20</v>
      </c>
      <c r="H235" s="2" t="str">
        <f>VLOOKUP(C235,'Task 2b Sample List'!I:L,4,FALSE)</f>
        <v>A</v>
      </c>
      <c r="I235" t="s">
        <v>181</v>
      </c>
      <c r="J235" s="2">
        <v>50</v>
      </c>
      <c r="K235" s="2">
        <v>50</v>
      </c>
      <c r="L235" s="2">
        <v>20</v>
      </c>
      <c r="M235" s="8" t="s">
        <v>27</v>
      </c>
      <c r="N235" s="4" t="s">
        <v>416</v>
      </c>
      <c r="O235" s="5" t="s">
        <v>39</v>
      </c>
      <c r="P235" s="2" t="s">
        <v>416</v>
      </c>
    </row>
    <row r="236" spans="1:16" x14ac:dyDescent="0.25">
      <c r="A236" s="97" t="s">
        <v>80</v>
      </c>
      <c r="B236" s="1" t="s">
        <v>417</v>
      </c>
      <c r="C236" s="1" t="s">
        <v>417</v>
      </c>
      <c r="D236" s="2" t="s">
        <v>418</v>
      </c>
      <c r="E236" s="94" t="str">
        <f t="shared" si="9"/>
        <v>BM1-S50-P100-Day20-A:PFHxA</v>
      </c>
      <c r="F236" s="2" t="str">
        <f>VLOOKUP(C236,'Task 2b Sample List'!I:K,3,FALSE)</f>
        <v>BM1-S50-P100-Day20-A</v>
      </c>
      <c r="G236" s="166" t="str">
        <f t="shared" ref="G236:G271" si="12">LEFT(F236,18)</f>
        <v>BM1-S50-P100-Day20</v>
      </c>
      <c r="H236" s="2" t="str">
        <f>VLOOKUP(C236,'Task 2b Sample List'!I:L,4,FALSE)</f>
        <v>B</v>
      </c>
      <c r="I236" t="s">
        <v>181</v>
      </c>
      <c r="J236" s="2">
        <v>50</v>
      </c>
      <c r="K236" s="2">
        <v>100</v>
      </c>
      <c r="L236" s="2">
        <v>20</v>
      </c>
      <c r="M236" s="6" t="s">
        <v>22</v>
      </c>
      <c r="N236" s="2" t="s">
        <v>419</v>
      </c>
      <c r="O236" s="3" t="s">
        <v>39</v>
      </c>
      <c r="P236" s="2" t="s">
        <v>419</v>
      </c>
    </row>
    <row r="237" spans="1:16" x14ac:dyDescent="0.25">
      <c r="A237" s="97" t="s">
        <v>80</v>
      </c>
      <c r="B237" s="1" t="s">
        <v>417</v>
      </c>
      <c r="C237" s="1" t="s">
        <v>417</v>
      </c>
      <c r="D237" s="2" t="s">
        <v>418</v>
      </c>
      <c r="E237" s="94" t="str">
        <f t="shared" ref="E237:E300" si="13">F237&amp;":"&amp;M237</f>
        <v>BM1-S50-P100-Day20-A:PFOA</v>
      </c>
      <c r="F237" s="2" t="str">
        <f>VLOOKUP(C237,'Task 2b Sample List'!I:K,3,FALSE)</f>
        <v>BM1-S50-P100-Day20-A</v>
      </c>
      <c r="G237" s="166" t="str">
        <f t="shared" si="12"/>
        <v>BM1-S50-P100-Day20</v>
      </c>
      <c r="H237" s="2" t="str">
        <f>VLOOKUP(C237,'Task 2b Sample List'!I:L,4,FALSE)</f>
        <v>B</v>
      </c>
      <c r="I237" t="s">
        <v>181</v>
      </c>
      <c r="J237" s="2">
        <v>50</v>
      </c>
      <c r="K237" s="2">
        <v>100</v>
      </c>
      <c r="L237" s="2">
        <v>20</v>
      </c>
      <c r="M237" s="7" t="s">
        <v>23</v>
      </c>
      <c r="N237" s="4" t="s">
        <v>420</v>
      </c>
      <c r="O237" s="5" t="s">
        <v>39</v>
      </c>
      <c r="P237" s="2" t="s">
        <v>420</v>
      </c>
    </row>
    <row r="238" spans="1:16" x14ac:dyDescent="0.25">
      <c r="A238" s="97" t="s">
        <v>80</v>
      </c>
      <c r="B238" s="1" t="s">
        <v>417</v>
      </c>
      <c r="C238" s="1" t="s">
        <v>417</v>
      </c>
      <c r="D238" s="2" t="s">
        <v>418</v>
      </c>
      <c r="E238" s="94" t="str">
        <f t="shared" si="13"/>
        <v>BM1-S50-P100-Day20-A:PFNA</v>
      </c>
      <c r="F238" s="2" t="str">
        <f>VLOOKUP(C238,'Task 2b Sample List'!I:K,3,FALSE)</f>
        <v>BM1-S50-P100-Day20-A</v>
      </c>
      <c r="G238" s="166" t="str">
        <f t="shared" si="12"/>
        <v>BM1-S50-P100-Day20</v>
      </c>
      <c r="H238" s="2" t="str">
        <f>VLOOKUP(C238,'Task 2b Sample List'!I:L,4,FALSE)</f>
        <v>B</v>
      </c>
      <c r="I238" t="s">
        <v>181</v>
      </c>
      <c r="J238" s="2">
        <v>50</v>
      </c>
      <c r="K238" s="2">
        <v>100</v>
      </c>
      <c r="L238" s="2">
        <v>20</v>
      </c>
      <c r="M238" s="7" t="s">
        <v>24</v>
      </c>
      <c r="N238" s="2" t="s">
        <v>421</v>
      </c>
      <c r="O238" s="3" t="s">
        <v>39</v>
      </c>
      <c r="P238" s="2" t="s">
        <v>421</v>
      </c>
    </row>
    <row r="239" spans="1:16" x14ac:dyDescent="0.25">
      <c r="A239" s="97" t="s">
        <v>80</v>
      </c>
      <c r="B239" s="1" t="s">
        <v>417</v>
      </c>
      <c r="C239" s="1" t="s">
        <v>417</v>
      </c>
      <c r="D239" s="2" t="s">
        <v>418</v>
      </c>
      <c r="E239" s="94" t="str">
        <f t="shared" si="13"/>
        <v>BM1-S50-P100-Day20-A:PFBS</v>
      </c>
      <c r="F239" s="2" t="str">
        <f>VLOOKUP(C239,'Task 2b Sample List'!I:K,3,FALSE)</f>
        <v>BM1-S50-P100-Day20-A</v>
      </c>
      <c r="G239" s="166" t="str">
        <f t="shared" si="12"/>
        <v>BM1-S50-P100-Day20</v>
      </c>
      <c r="H239" s="2" t="str">
        <f>VLOOKUP(C239,'Task 2b Sample List'!I:L,4,FALSE)</f>
        <v>B</v>
      </c>
      <c r="I239" t="s">
        <v>181</v>
      </c>
      <c r="J239" s="2">
        <v>50</v>
      </c>
      <c r="K239" s="2">
        <v>100</v>
      </c>
      <c r="L239" s="2">
        <v>20</v>
      </c>
      <c r="M239" s="7" t="s">
        <v>25</v>
      </c>
      <c r="N239" s="4" t="s">
        <v>422</v>
      </c>
      <c r="O239" s="5" t="s">
        <v>39</v>
      </c>
      <c r="P239" s="2" t="s">
        <v>422</v>
      </c>
    </row>
    <row r="240" spans="1:16" x14ac:dyDescent="0.25">
      <c r="A240" s="97" t="s">
        <v>80</v>
      </c>
      <c r="B240" s="1" t="s">
        <v>417</v>
      </c>
      <c r="C240" s="1" t="s">
        <v>417</v>
      </c>
      <c r="D240" s="2" t="s">
        <v>418</v>
      </c>
      <c r="E240" s="94" t="str">
        <f t="shared" si="13"/>
        <v>BM1-S50-P100-Day20-A:PFOS</v>
      </c>
      <c r="F240" s="2" t="str">
        <f>VLOOKUP(C240,'Task 2b Sample List'!I:K,3,FALSE)</f>
        <v>BM1-S50-P100-Day20-A</v>
      </c>
      <c r="G240" s="166" t="str">
        <f t="shared" si="12"/>
        <v>BM1-S50-P100-Day20</v>
      </c>
      <c r="H240" s="2" t="str">
        <f>VLOOKUP(C240,'Task 2b Sample List'!I:L,4,FALSE)</f>
        <v>B</v>
      </c>
      <c r="I240" t="s">
        <v>181</v>
      </c>
      <c r="J240" s="2">
        <v>50</v>
      </c>
      <c r="K240" s="2">
        <v>100</v>
      </c>
      <c r="L240" s="2">
        <v>20</v>
      </c>
      <c r="M240" s="7" t="s">
        <v>26</v>
      </c>
      <c r="N240" s="2" t="s">
        <v>423</v>
      </c>
      <c r="O240" s="3" t="s">
        <v>39</v>
      </c>
      <c r="P240" s="2" t="s">
        <v>423</v>
      </c>
    </row>
    <row r="241" spans="1:16" ht="15.75" thickBot="1" x14ac:dyDescent="0.3">
      <c r="A241" s="97" t="s">
        <v>80</v>
      </c>
      <c r="B241" s="1" t="s">
        <v>417</v>
      </c>
      <c r="C241" s="1" t="s">
        <v>417</v>
      </c>
      <c r="D241" s="2" t="s">
        <v>418</v>
      </c>
      <c r="E241" s="94" t="str">
        <f t="shared" si="13"/>
        <v>BM1-S50-P100-Day20-A:8:2FTS</v>
      </c>
      <c r="F241" s="2" t="str">
        <f>VLOOKUP(C241,'Task 2b Sample List'!I:K,3,FALSE)</f>
        <v>BM1-S50-P100-Day20-A</v>
      </c>
      <c r="G241" s="166" t="str">
        <f t="shared" si="12"/>
        <v>BM1-S50-P100-Day20</v>
      </c>
      <c r="H241" s="2" t="str">
        <f>VLOOKUP(C241,'Task 2b Sample List'!I:L,4,FALSE)</f>
        <v>B</v>
      </c>
      <c r="I241" t="s">
        <v>181</v>
      </c>
      <c r="J241" s="2">
        <v>50</v>
      </c>
      <c r="K241" s="2">
        <v>100</v>
      </c>
      <c r="L241" s="2">
        <v>20</v>
      </c>
      <c r="M241" s="8" t="s">
        <v>27</v>
      </c>
      <c r="N241" s="4" t="s">
        <v>424</v>
      </c>
      <c r="O241" s="5" t="s">
        <v>39</v>
      </c>
      <c r="P241" s="2" t="s">
        <v>424</v>
      </c>
    </row>
    <row r="242" spans="1:16" x14ac:dyDescent="0.25">
      <c r="A242" s="97" t="s">
        <v>80</v>
      </c>
      <c r="B242" s="1" t="s">
        <v>425</v>
      </c>
      <c r="C242" s="1" t="s">
        <v>425</v>
      </c>
      <c r="D242" s="2" t="s">
        <v>426</v>
      </c>
      <c r="E242" s="94" t="str">
        <f t="shared" si="13"/>
        <v>BM1-S50-P100-Day20-B:PFHxA</v>
      </c>
      <c r="F242" s="2" t="str">
        <f>VLOOKUP(C242,'Task 2b Sample List'!I:K,3,FALSE)</f>
        <v>BM1-S50-P100-Day20-B</v>
      </c>
      <c r="G242" s="166" t="str">
        <f t="shared" si="12"/>
        <v>BM1-S50-P100-Day20</v>
      </c>
      <c r="H242" s="2" t="str">
        <f>VLOOKUP(C242,'Task 2b Sample List'!I:L,4,FALSE)</f>
        <v>B</v>
      </c>
      <c r="I242" t="s">
        <v>181</v>
      </c>
      <c r="J242" s="2">
        <v>50</v>
      </c>
      <c r="K242" s="2">
        <v>100</v>
      </c>
      <c r="L242" s="2">
        <v>20</v>
      </c>
      <c r="M242" s="6" t="s">
        <v>22</v>
      </c>
      <c r="N242" s="2" t="s">
        <v>427</v>
      </c>
      <c r="O242" s="3" t="s">
        <v>39</v>
      </c>
      <c r="P242" s="2" t="s">
        <v>427</v>
      </c>
    </row>
    <row r="243" spans="1:16" x14ac:dyDescent="0.25">
      <c r="A243" s="97" t="s">
        <v>80</v>
      </c>
      <c r="B243" s="1" t="s">
        <v>425</v>
      </c>
      <c r="C243" s="1" t="s">
        <v>425</v>
      </c>
      <c r="D243" s="2" t="s">
        <v>426</v>
      </c>
      <c r="E243" s="94" t="str">
        <f t="shared" si="13"/>
        <v>BM1-S50-P100-Day20-B:PFOA</v>
      </c>
      <c r="F243" s="2" t="str">
        <f>VLOOKUP(C243,'Task 2b Sample List'!I:K,3,FALSE)</f>
        <v>BM1-S50-P100-Day20-B</v>
      </c>
      <c r="G243" s="166" t="str">
        <f t="shared" si="12"/>
        <v>BM1-S50-P100-Day20</v>
      </c>
      <c r="H243" s="2" t="str">
        <f>VLOOKUP(C243,'Task 2b Sample List'!I:L,4,FALSE)</f>
        <v>B</v>
      </c>
      <c r="I243" t="s">
        <v>181</v>
      </c>
      <c r="J243" s="2">
        <v>50</v>
      </c>
      <c r="K243" s="2">
        <v>100</v>
      </c>
      <c r="L243" s="2">
        <v>20</v>
      </c>
      <c r="M243" s="7" t="s">
        <v>23</v>
      </c>
      <c r="N243" s="4" t="s">
        <v>428</v>
      </c>
      <c r="O243" s="5" t="s">
        <v>39</v>
      </c>
      <c r="P243" s="2" t="s">
        <v>428</v>
      </c>
    </row>
    <row r="244" spans="1:16" x14ac:dyDescent="0.25">
      <c r="A244" s="97" t="s">
        <v>80</v>
      </c>
      <c r="B244" s="1" t="s">
        <v>425</v>
      </c>
      <c r="C244" s="1" t="s">
        <v>425</v>
      </c>
      <c r="D244" s="2" t="s">
        <v>426</v>
      </c>
      <c r="E244" s="94" t="str">
        <f t="shared" si="13"/>
        <v>BM1-S50-P100-Day20-B:PFNA</v>
      </c>
      <c r="F244" s="2" t="str">
        <f>VLOOKUP(C244,'Task 2b Sample List'!I:K,3,FALSE)</f>
        <v>BM1-S50-P100-Day20-B</v>
      </c>
      <c r="G244" s="166" t="str">
        <f t="shared" si="12"/>
        <v>BM1-S50-P100-Day20</v>
      </c>
      <c r="H244" s="2" t="str">
        <f>VLOOKUP(C244,'Task 2b Sample List'!I:L,4,FALSE)</f>
        <v>B</v>
      </c>
      <c r="I244" t="s">
        <v>181</v>
      </c>
      <c r="J244" s="2">
        <v>50</v>
      </c>
      <c r="K244" s="2">
        <v>100</v>
      </c>
      <c r="L244" s="2">
        <v>20</v>
      </c>
      <c r="M244" s="7" t="s">
        <v>24</v>
      </c>
      <c r="N244" s="2" t="s">
        <v>429</v>
      </c>
      <c r="O244" s="3" t="s">
        <v>39</v>
      </c>
      <c r="P244" s="2" t="s">
        <v>429</v>
      </c>
    </row>
    <row r="245" spans="1:16" x14ac:dyDescent="0.25">
      <c r="A245" s="97" t="s">
        <v>80</v>
      </c>
      <c r="B245" s="1" t="s">
        <v>425</v>
      </c>
      <c r="C245" s="1" t="s">
        <v>425</v>
      </c>
      <c r="D245" s="2" t="s">
        <v>426</v>
      </c>
      <c r="E245" s="94" t="str">
        <f t="shared" si="13"/>
        <v>BM1-S50-P100-Day20-B:PFBS</v>
      </c>
      <c r="F245" s="2" t="str">
        <f>VLOOKUP(C245,'Task 2b Sample List'!I:K,3,FALSE)</f>
        <v>BM1-S50-P100-Day20-B</v>
      </c>
      <c r="G245" s="166" t="str">
        <f t="shared" si="12"/>
        <v>BM1-S50-P100-Day20</v>
      </c>
      <c r="H245" s="2" t="str">
        <f>VLOOKUP(C245,'Task 2b Sample List'!I:L,4,FALSE)</f>
        <v>B</v>
      </c>
      <c r="I245" t="s">
        <v>181</v>
      </c>
      <c r="J245" s="2">
        <v>50</v>
      </c>
      <c r="K245" s="2">
        <v>100</v>
      </c>
      <c r="L245" s="2">
        <v>20</v>
      </c>
      <c r="M245" s="7" t="s">
        <v>25</v>
      </c>
      <c r="N245" s="4" t="s">
        <v>430</v>
      </c>
      <c r="O245" s="5" t="s">
        <v>39</v>
      </c>
      <c r="P245" s="2" t="s">
        <v>430</v>
      </c>
    </row>
    <row r="246" spans="1:16" x14ac:dyDescent="0.25">
      <c r="A246" s="97" t="s">
        <v>80</v>
      </c>
      <c r="B246" s="1" t="s">
        <v>425</v>
      </c>
      <c r="C246" s="1" t="s">
        <v>425</v>
      </c>
      <c r="D246" s="2" t="s">
        <v>426</v>
      </c>
      <c r="E246" s="94" t="str">
        <f t="shared" si="13"/>
        <v>BM1-S50-P100-Day20-B:PFOS</v>
      </c>
      <c r="F246" s="2" t="str">
        <f>VLOOKUP(C246,'Task 2b Sample List'!I:K,3,FALSE)</f>
        <v>BM1-S50-P100-Day20-B</v>
      </c>
      <c r="G246" s="166" t="str">
        <f t="shared" si="12"/>
        <v>BM1-S50-P100-Day20</v>
      </c>
      <c r="H246" s="2" t="str">
        <f>VLOOKUP(C246,'Task 2b Sample List'!I:L,4,FALSE)</f>
        <v>B</v>
      </c>
      <c r="I246" t="s">
        <v>181</v>
      </c>
      <c r="J246" s="2">
        <v>50</v>
      </c>
      <c r="K246" s="2">
        <v>100</v>
      </c>
      <c r="L246" s="2">
        <v>20</v>
      </c>
      <c r="M246" s="7" t="s">
        <v>26</v>
      </c>
      <c r="N246" s="2" t="s">
        <v>431</v>
      </c>
      <c r="O246" s="3" t="s">
        <v>39</v>
      </c>
      <c r="P246" s="2" t="s">
        <v>431</v>
      </c>
    </row>
    <row r="247" spans="1:16" ht="15.75" thickBot="1" x14ac:dyDescent="0.3">
      <c r="A247" s="97" t="s">
        <v>80</v>
      </c>
      <c r="B247" s="1" t="s">
        <v>425</v>
      </c>
      <c r="C247" s="1" t="s">
        <v>425</v>
      </c>
      <c r="D247" s="2" t="s">
        <v>426</v>
      </c>
      <c r="E247" s="94" t="str">
        <f t="shared" si="13"/>
        <v>BM1-S50-P100-Day20-B:8:2FTS</v>
      </c>
      <c r="F247" s="2" t="str">
        <f>VLOOKUP(C247,'Task 2b Sample List'!I:K,3,FALSE)</f>
        <v>BM1-S50-P100-Day20-B</v>
      </c>
      <c r="G247" s="166" t="str">
        <f t="shared" si="12"/>
        <v>BM1-S50-P100-Day20</v>
      </c>
      <c r="H247" s="2" t="str">
        <f>VLOOKUP(C247,'Task 2b Sample List'!I:L,4,FALSE)</f>
        <v>B</v>
      </c>
      <c r="I247" t="s">
        <v>181</v>
      </c>
      <c r="J247" s="2">
        <v>50</v>
      </c>
      <c r="K247" s="2">
        <v>100</v>
      </c>
      <c r="L247" s="2">
        <v>20</v>
      </c>
      <c r="M247" s="8" t="s">
        <v>27</v>
      </c>
      <c r="N247" s="4" t="s">
        <v>432</v>
      </c>
      <c r="O247" s="5" t="s">
        <v>39</v>
      </c>
      <c r="P247" s="2" t="s">
        <v>432</v>
      </c>
    </row>
    <row r="248" spans="1:16" x14ac:dyDescent="0.25">
      <c r="A248" s="97" t="s">
        <v>80</v>
      </c>
      <c r="B248" s="1" t="s">
        <v>433</v>
      </c>
      <c r="C248" s="1" t="s">
        <v>433</v>
      </c>
      <c r="D248" s="2" t="s">
        <v>434</v>
      </c>
      <c r="E248" s="94" t="str">
        <f t="shared" si="13"/>
        <v>BM1-S50-P100-Day20-C:PFHxA</v>
      </c>
      <c r="F248" s="2" t="str">
        <f>VLOOKUP(C248,'Task 2b Sample List'!I:K,3,FALSE)</f>
        <v>BM1-S50-P100-Day20-C</v>
      </c>
      <c r="G248" s="166" t="str">
        <f t="shared" si="12"/>
        <v>BM1-S50-P100-Day20</v>
      </c>
      <c r="H248" s="2" t="str">
        <f>VLOOKUP(C248,'Task 2b Sample List'!I:L,4,FALSE)</f>
        <v>B</v>
      </c>
      <c r="I248" t="s">
        <v>181</v>
      </c>
      <c r="J248" s="2">
        <v>50</v>
      </c>
      <c r="K248" s="2">
        <v>100</v>
      </c>
      <c r="L248" s="2">
        <v>20</v>
      </c>
      <c r="M248" s="6" t="s">
        <v>22</v>
      </c>
      <c r="N248" s="2" t="s">
        <v>435</v>
      </c>
      <c r="O248" s="3" t="s">
        <v>39</v>
      </c>
      <c r="P248" s="2" t="s">
        <v>435</v>
      </c>
    </row>
    <row r="249" spans="1:16" x14ac:dyDescent="0.25">
      <c r="A249" s="97" t="s">
        <v>80</v>
      </c>
      <c r="B249" s="1" t="s">
        <v>433</v>
      </c>
      <c r="C249" s="1" t="s">
        <v>433</v>
      </c>
      <c r="D249" s="2" t="s">
        <v>434</v>
      </c>
      <c r="E249" s="94" t="str">
        <f t="shared" si="13"/>
        <v>BM1-S50-P100-Day20-C:PFOA</v>
      </c>
      <c r="F249" s="2" t="str">
        <f>VLOOKUP(C249,'Task 2b Sample List'!I:K,3,FALSE)</f>
        <v>BM1-S50-P100-Day20-C</v>
      </c>
      <c r="G249" s="166" t="str">
        <f t="shared" si="12"/>
        <v>BM1-S50-P100-Day20</v>
      </c>
      <c r="H249" s="2" t="str">
        <f>VLOOKUP(C249,'Task 2b Sample List'!I:L,4,FALSE)</f>
        <v>B</v>
      </c>
      <c r="I249" t="s">
        <v>181</v>
      </c>
      <c r="J249" s="2">
        <v>50</v>
      </c>
      <c r="K249" s="2">
        <v>100</v>
      </c>
      <c r="L249" s="2">
        <v>20</v>
      </c>
      <c r="M249" s="7" t="s">
        <v>23</v>
      </c>
      <c r="N249" s="4" t="s">
        <v>436</v>
      </c>
      <c r="O249" s="5" t="s">
        <v>39</v>
      </c>
      <c r="P249" s="2" t="s">
        <v>436</v>
      </c>
    </row>
    <row r="250" spans="1:16" x14ac:dyDescent="0.25">
      <c r="A250" s="97" t="s">
        <v>80</v>
      </c>
      <c r="B250" s="1" t="s">
        <v>433</v>
      </c>
      <c r="C250" s="1" t="s">
        <v>433</v>
      </c>
      <c r="D250" s="2" t="s">
        <v>434</v>
      </c>
      <c r="E250" s="94" t="str">
        <f t="shared" si="13"/>
        <v>BM1-S50-P100-Day20-C:PFNA</v>
      </c>
      <c r="F250" s="2" t="str">
        <f>VLOOKUP(C250,'Task 2b Sample List'!I:K,3,FALSE)</f>
        <v>BM1-S50-P100-Day20-C</v>
      </c>
      <c r="G250" s="166" t="str">
        <f t="shared" si="12"/>
        <v>BM1-S50-P100-Day20</v>
      </c>
      <c r="H250" s="2" t="str">
        <f>VLOOKUP(C250,'Task 2b Sample List'!I:L,4,FALSE)</f>
        <v>B</v>
      </c>
      <c r="I250" t="s">
        <v>181</v>
      </c>
      <c r="J250" s="2">
        <v>50</v>
      </c>
      <c r="K250" s="2">
        <v>100</v>
      </c>
      <c r="L250" s="2">
        <v>20</v>
      </c>
      <c r="M250" s="7" t="s">
        <v>24</v>
      </c>
      <c r="N250" s="2" t="s">
        <v>437</v>
      </c>
      <c r="O250" s="3" t="s">
        <v>39</v>
      </c>
      <c r="P250" s="2" t="s">
        <v>437</v>
      </c>
    </row>
    <row r="251" spans="1:16" x14ac:dyDescent="0.25">
      <c r="A251" s="97" t="s">
        <v>80</v>
      </c>
      <c r="B251" s="1" t="s">
        <v>433</v>
      </c>
      <c r="C251" s="1" t="s">
        <v>433</v>
      </c>
      <c r="D251" s="2" t="s">
        <v>434</v>
      </c>
      <c r="E251" s="94" t="str">
        <f t="shared" si="13"/>
        <v>BM1-S50-P100-Day20-C:PFBS</v>
      </c>
      <c r="F251" s="2" t="str">
        <f>VLOOKUP(C251,'Task 2b Sample List'!I:K,3,FALSE)</f>
        <v>BM1-S50-P100-Day20-C</v>
      </c>
      <c r="G251" s="166" t="str">
        <f t="shared" si="12"/>
        <v>BM1-S50-P100-Day20</v>
      </c>
      <c r="H251" s="2" t="str">
        <f>VLOOKUP(C251,'Task 2b Sample List'!I:L,4,FALSE)</f>
        <v>B</v>
      </c>
      <c r="I251" t="s">
        <v>181</v>
      </c>
      <c r="J251" s="2">
        <v>50</v>
      </c>
      <c r="K251" s="2">
        <v>100</v>
      </c>
      <c r="L251" s="2">
        <v>20</v>
      </c>
      <c r="M251" s="7" t="s">
        <v>25</v>
      </c>
      <c r="N251" s="4" t="s">
        <v>438</v>
      </c>
      <c r="O251" s="5" t="s">
        <v>39</v>
      </c>
      <c r="P251" s="2" t="s">
        <v>438</v>
      </c>
    </row>
    <row r="252" spans="1:16" x14ac:dyDescent="0.25">
      <c r="A252" s="97" t="s">
        <v>80</v>
      </c>
      <c r="B252" s="1" t="s">
        <v>433</v>
      </c>
      <c r="C252" s="1" t="s">
        <v>433</v>
      </c>
      <c r="D252" s="2" t="s">
        <v>434</v>
      </c>
      <c r="E252" s="94" t="str">
        <f t="shared" si="13"/>
        <v>BM1-S50-P100-Day20-C:PFOS</v>
      </c>
      <c r="F252" s="2" t="str">
        <f>VLOOKUP(C252,'Task 2b Sample List'!I:K,3,FALSE)</f>
        <v>BM1-S50-P100-Day20-C</v>
      </c>
      <c r="G252" s="166" t="str">
        <f t="shared" si="12"/>
        <v>BM1-S50-P100-Day20</v>
      </c>
      <c r="H252" s="2" t="str">
        <f>VLOOKUP(C252,'Task 2b Sample List'!I:L,4,FALSE)</f>
        <v>B</v>
      </c>
      <c r="I252" t="s">
        <v>181</v>
      </c>
      <c r="J252" s="2">
        <v>50</v>
      </c>
      <c r="K252" s="2">
        <v>100</v>
      </c>
      <c r="L252" s="2">
        <v>20</v>
      </c>
      <c r="M252" s="7" t="s">
        <v>26</v>
      </c>
      <c r="N252" s="2" t="s">
        <v>439</v>
      </c>
      <c r="O252" s="3" t="s">
        <v>39</v>
      </c>
      <c r="P252" s="2" t="s">
        <v>439</v>
      </c>
    </row>
    <row r="253" spans="1:16" ht="15.75" thickBot="1" x14ac:dyDescent="0.3">
      <c r="A253" s="97" t="s">
        <v>80</v>
      </c>
      <c r="B253" s="1" t="s">
        <v>433</v>
      </c>
      <c r="C253" s="1" t="s">
        <v>433</v>
      </c>
      <c r="D253" s="2" t="s">
        <v>434</v>
      </c>
      <c r="E253" s="94" t="str">
        <f t="shared" si="13"/>
        <v>BM1-S50-P100-Day20-C:8:2FTS</v>
      </c>
      <c r="F253" s="2" t="str">
        <f>VLOOKUP(C253,'Task 2b Sample List'!I:K,3,FALSE)</f>
        <v>BM1-S50-P100-Day20-C</v>
      </c>
      <c r="G253" s="166" t="str">
        <f t="shared" si="12"/>
        <v>BM1-S50-P100-Day20</v>
      </c>
      <c r="H253" s="2" t="str">
        <f>VLOOKUP(C253,'Task 2b Sample List'!I:L,4,FALSE)</f>
        <v>B</v>
      </c>
      <c r="I253" t="s">
        <v>181</v>
      </c>
      <c r="J253" s="2">
        <v>50</v>
      </c>
      <c r="K253" s="2">
        <v>100</v>
      </c>
      <c r="L253" s="2">
        <v>20</v>
      </c>
      <c r="M253" s="8" t="s">
        <v>27</v>
      </c>
      <c r="N253" s="4" t="s">
        <v>389</v>
      </c>
      <c r="O253" s="5" t="s">
        <v>39</v>
      </c>
      <c r="P253" s="2" t="s">
        <v>389</v>
      </c>
    </row>
    <row r="254" spans="1:16" x14ac:dyDescent="0.25">
      <c r="A254" s="97" t="s">
        <v>80</v>
      </c>
      <c r="B254" s="1" t="s">
        <v>440</v>
      </c>
      <c r="C254" s="1" t="s">
        <v>440</v>
      </c>
      <c r="D254" s="2" t="s">
        <v>441</v>
      </c>
      <c r="E254" s="94" t="str">
        <f t="shared" si="13"/>
        <v>BM1-S50-P500-Day20-A:PFHxA</v>
      </c>
      <c r="F254" s="2" t="str">
        <f>VLOOKUP(C254,'Task 2b Sample List'!I:K,3,FALSE)</f>
        <v>BM1-S50-P500-Day20-A</v>
      </c>
      <c r="G254" s="166" t="str">
        <f t="shared" si="12"/>
        <v>BM1-S50-P500-Day20</v>
      </c>
      <c r="H254" s="2" t="str">
        <f>VLOOKUP(C254,'Task 2b Sample List'!I:L,4,FALSE)</f>
        <v>A</v>
      </c>
      <c r="I254" t="s">
        <v>181</v>
      </c>
      <c r="J254" s="2">
        <v>50</v>
      </c>
      <c r="K254" s="2">
        <v>500</v>
      </c>
      <c r="L254" s="2">
        <v>20</v>
      </c>
      <c r="M254" s="6" t="s">
        <v>22</v>
      </c>
      <c r="N254" s="2" t="s">
        <v>442</v>
      </c>
      <c r="O254" s="3" t="s">
        <v>39</v>
      </c>
      <c r="P254" s="2" t="s">
        <v>442</v>
      </c>
    </row>
    <row r="255" spans="1:16" x14ac:dyDescent="0.25">
      <c r="A255" s="97" t="s">
        <v>80</v>
      </c>
      <c r="B255" s="1" t="s">
        <v>440</v>
      </c>
      <c r="C255" s="1" t="s">
        <v>440</v>
      </c>
      <c r="D255" s="2" t="s">
        <v>441</v>
      </c>
      <c r="E255" s="94" t="str">
        <f t="shared" si="13"/>
        <v>BM1-S50-P500-Day20-A:PFOA</v>
      </c>
      <c r="F255" s="2" t="str">
        <f>VLOOKUP(C255,'Task 2b Sample List'!I:K,3,FALSE)</f>
        <v>BM1-S50-P500-Day20-A</v>
      </c>
      <c r="G255" s="166" t="str">
        <f t="shared" si="12"/>
        <v>BM1-S50-P500-Day20</v>
      </c>
      <c r="H255" s="2" t="str">
        <f>VLOOKUP(C255,'Task 2b Sample List'!I:L,4,FALSE)</f>
        <v>A</v>
      </c>
      <c r="I255" t="s">
        <v>181</v>
      </c>
      <c r="J255" s="2">
        <v>50</v>
      </c>
      <c r="K255" s="2">
        <v>500</v>
      </c>
      <c r="L255" s="2">
        <v>20</v>
      </c>
      <c r="M255" s="7" t="s">
        <v>23</v>
      </c>
      <c r="N255" s="4" t="s">
        <v>443</v>
      </c>
      <c r="O255" s="5" t="s">
        <v>39</v>
      </c>
      <c r="P255" s="2" t="s">
        <v>443</v>
      </c>
    </row>
    <row r="256" spans="1:16" x14ac:dyDescent="0.25">
      <c r="A256" s="97" t="s">
        <v>80</v>
      </c>
      <c r="B256" s="1" t="s">
        <v>440</v>
      </c>
      <c r="C256" s="1" t="s">
        <v>440</v>
      </c>
      <c r="D256" s="2" t="s">
        <v>441</v>
      </c>
      <c r="E256" s="94" t="str">
        <f t="shared" si="13"/>
        <v>BM1-S50-P500-Day20-A:PFNA</v>
      </c>
      <c r="F256" s="2" t="str">
        <f>VLOOKUP(C256,'Task 2b Sample List'!I:K,3,FALSE)</f>
        <v>BM1-S50-P500-Day20-A</v>
      </c>
      <c r="G256" s="166" t="str">
        <f t="shared" si="12"/>
        <v>BM1-S50-P500-Day20</v>
      </c>
      <c r="H256" s="2" t="str">
        <f>VLOOKUP(C256,'Task 2b Sample List'!I:L,4,FALSE)</f>
        <v>A</v>
      </c>
      <c r="I256" t="s">
        <v>181</v>
      </c>
      <c r="J256" s="2">
        <v>50</v>
      </c>
      <c r="K256" s="2">
        <v>500</v>
      </c>
      <c r="L256" s="2">
        <v>20</v>
      </c>
      <c r="M256" s="7" t="s">
        <v>24</v>
      </c>
      <c r="N256" s="2" t="s">
        <v>444</v>
      </c>
      <c r="O256" s="3" t="s">
        <v>39</v>
      </c>
      <c r="P256" s="2" t="s">
        <v>444</v>
      </c>
    </row>
    <row r="257" spans="1:16" x14ac:dyDescent="0.25">
      <c r="A257" s="97" t="s">
        <v>80</v>
      </c>
      <c r="B257" s="1" t="s">
        <v>440</v>
      </c>
      <c r="C257" s="1" t="s">
        <v>440</v>
      </c>
      <c r="D257" s="2" t="s">
        <v>441</v>
      </c>
      <c r="E257" s="94" t="str">
        <f t="shared" si="13"/>
        <v>BM1-S50-P500-Day20-A:PFBS</v>
      </c>
      <c r="F257" s="2" t="str">
        <f>VLOOKUP(C257,'Task 2b Sample List'!I:K,3,FALSE)</f>
        <v>BM1-S50-P500-Day20-A</v>
      </c>
      <c r="G257" s="166" t="str">
        <f t="shared" si="12"/>
        <v>BM1-S50-P500-Day20</v>
      </c>
      <c r="H257" s="2" t="str">
        <f>VLOOKUP(C257,'Task 2b Sample List'!I:L,4,FALSE)</f>
        <v>A</v>
      </c>
      <c r="I257" t="s">
        <v>181</v>
      </c>
      <c r="J257" s="2">
        <v>50</v>
      </c>
      <c r="K257" s="2">
        <v>500</v>
      </c>
      <c r="L257" s="2">
        <v>20</v>
      </c>
      <c r="M257" s="7" t="s">
        <v>25</v>
      </c>
      <c r="N257" s="4" t="s">
        <v>445</v>
      </c>
      <c r="O257" s="5" t="s">
        <v>39</v>
      </c>
      <c r="P257" s="2" t="s">
        <v>445</v>
      </c>
    </row>
    <row r="258" spans="1:16" x14ac:dyDescent="0.25">
      <c r="A258" s="97" t="s">
        <v>80</v>
      </c>
      <c r="B258" s="1" t="s">
        <v>440</v>
      </c>
      <c r="C258" s="1" t="s">
        <v>440</v>
      </c>
      <c r="D258" s="2" t="s">
        <v>441</v>
      </c>
      <c r="E258" s="94" t="str">
        <f t="shared" si="13"/>
        <v>BM1-S50-P500-Day20-A:PFOS</v>
      </c>
      <c r="F258" s="2" t="str">
        <f>VLOOKUP(C258,'Task 2b Sample List'!I:K,3,FALSE)</f>
        <v>BM1-S50-P500-Day20-A</v>
      </c>
      <c r="G258" s="166" t="str">
        <f t="shared" si="12"/>
        <v>BM1-S50-P500-Day20</v>
      </c>
      <c r="H258" s="2" t="str">
        <f>VLOOKUP(C258,'Task 2b Sample List'!I:L,4,FALSE)</f>
        <v>A</v>
      </c>
      <c r="I258" t="s">
        <v>181</v>
      </c>
      <c r="J258" s="2">
        <v>50</v>
      </c>
      <c r="K258" s="2">
        <v>500</v>
      </c>
      <c r="L258" s="2">
        <v>20</v>
      </c>
      <c r="M258" s="7" t="s">
        <v>26</v>
      </c>
      <c r="N258" s="2" t="s">
        <v>446</v>
      </c>
      <c r="O258" s="3" t="s">
        <v>39</v>
      </c>
      <c r="P258" s="2" t="s">
        <v>446</v>
      </c>
    </row>
    <row r="259" spans="1:16" ht="15.75" thickBot="1" x14ac:dyDescent="0.3">
      <c r="A259" s="97" t="s">
        <v>80</v>
      </c>
      <c r="B259" s="1" t="s">
        <v>440</v>
      </c>
      <c r="C259" s="1" t="s">
        <v>440</v>
      </c>
      <c r="D259" s="2" t="s">
        <v>441</v>
      </c>
      <c r="E259" s="94" t="str">
        <f t="shared" si="13"/>
        <v>BM1-S50-P500-Day20-A:8:2FTS</v>
      </c>
      <c r="F259" s="2" t="str">
        <f>VLOOKUP(C259,'Task 2b Sample List'!I:K,3,FALSE)</f>
        <v>BM1-S50-P500-Day20-A</v>
      </c>
      <c r="G259" s="166" t="str">
        <f t="shared" si="12"/>
        <v>BM1-S50-P500-Day20</v>
      </c>
      <c r="H259" s="2" t="str">
        <f>VLOOKUP(C259,'Task 2b Sample List'!I:L,4,FALSE)</f>
        <v>A</v>
      </c>
      <c r="I259" t="s">
        <v>181</v>
      </c>
      <c r="J259" s="2">
        <v>50</v>
      </c>
      <c r="K259" s="2">
        <v>500</v>
      </c>
      <c r="L259" s="2">
        <v>20</v>
      </c>
      <c r="M259" s="8" t="s">
        <v>27</v>
      </c>
      <c r="N259" s="4" t="s">
        <v>447</v>
      </c>
      <c r="O259" s="5" t="s">
        <v>39</v>
      </c>
      <c r="P259" s="2" t="s">
        <v>447</v>
      </c>
    </row>
    <row r="260" spans="1:16" x14ac:dyDescent="0.25">
      <c r="A260" s="97" t="s">
        <v>80</v>
      </c>
      <c r="B260" s="1" t="s">
        <v>448</v>
      </c>
      <c r="C260" s="1" t="s">
        <v>448</v>
      </c>
      <c r="D260" s="2" t="s">
        <v>449</v>
      </c>
      <c r="E260" s="94" t="str">
        <f t="shared" si="13"/>
        <v>BM1-S50-P500-Day20-B:PFHxA</v>
      </c>
      <c r="F260" s="2" t="str">
        <f>VLOOKUP(C260,'Task 2b Sample List'!I:K,3,FALSE)</f>
        <v>BM1-S50-P500-Day20-B</v>
      </c>
      <c r="G260" s="166" t="str">
        <f t="shared" si="12"/>
        <v>BM1-S50-P500-Day20</v>
      </c>
      <c r="H260" s="2" t="str">
        <f>VLOOKUP(C260,'Task 2b Sample List'!I:L,4,FALSE)</f>
        <v>A</v>
      </c>
      <c r="I260" t="s">
        <v>181</v>
      </c>
      <c r="J260" s="2">
        <v>50</v>
      </c>
      <c r="K260" s="2">
        <v>500</v>
      </c>
      <c r="L260" s="2">
        <v>20</v>
      </c>
      <c r="M260" s="6" t="s">
        <v>22</v>
      </c>
      <c r="N260" s="2" t="s">
        <v>450</v>
      </c>
      <c r="O260" s="3" t="s">
        <v>39</v>
      </c>
      <c r="P260" s="2" t="s">
        <v>450</v>
      </c>
    </row>
    <row r="261" spans="1:16" x14ac:dyDescent="0.25">
      <c r="A261" s="97" t="s">
        <v>80</v>
      </c>
      <c r="B261" s="1" t="s">
        <v>448</v>
      </c>
      <c r="C261" s="1" t="s">
        <v>448</v>
      </c>
      <c r="D261" s="2" t="s">
        <v>449</v>
      </c>
      <c r="E261" s="94" t="str">
        <f t="shared" si="13"/>
        <v>BM1-S50-P500-Day20-B:PFOA</v>
      </c>
      <c r="F261" s="2" t="str">
        <f>VLOOKUP(C261,'Task 2b Sample List'!I:K,3,FALSE)</f>
        <v>BM1-S50-P500-Day20-B</v>
      </c>
      <c r="G261" s="166" t="str">
        <f t="shared" si="12"/>
        <v>BM1-S50-P500-Day20</v>
      </c>
      <c r="H261" s="2" t="str">
        <f>VLOOKUP(C261,'Task 2b Sample List'!I:L,4,FALSE)</f>
        <v>A</v>
      </c>
      <c r="I261" t="s">
        <v>181</v>
      </c>
      <c r="J261" s="2">
        <v>50</v>
      </c>
      <c r="K261" s="2">
        <v>500</v>
      </c>
      <c r="L261" s="2">
        <v>20</v>
      </c>
      <c r="M261" s="7" t="s">
        <v>23</v>
      </c>
      <c r="N261" s="4" t="s">
        <v>347</v>
      </c>
      <c r="O261" s="5" t="s">
        <v>39</v>
      </c>
      <c r="P261" s="2" t="s">
        <v>347</v>
      </c>
    </row>
    <row r="262" spans="1:16" x14ac:dyDescent="0.25">
      <c r="A262" s="97" t="s">
        <v>80</v>
      </c>
      <c r="B262" s="1" t="s">
        <v>448</v>
      </c>
      <c r="C262" s="1" t="s">
        <v>448</v>
      </c>
      <c r="D262" s="2" t="s">
        <v>449</v>
      </c>
      <c r="E262" s="94" t="str">
        <f t="shared" si="13"/>
        <v>BM1-S50-P500-Day20-B:PFNA</v>
      </c>
      <c r="F262" s="2" t="str">
        <f>VLOOKUP(C262,'Task 2b Sample List'!I:K,3,FALSE)</f>
        <v>BM1-S50-P500-Day20-B</v>
      </c>
      <c r="G262" s="166" t="str">
        <f t="shared" si="12"/>
        <v>BM1-S50-P500-Day20</v>
      </c>
      <c r="H262" s="2" t="str">
        <f>VLOOKUP(C262,'Task 2b Sample List'!I:L,4,FALSE)</f>
        <v>A</v>
      </c>
      <c r="I262" t="s">
        <v>181</v>
      </c>
      <c r="J262" s="2">
        <v>50</v>
      </c>
      <c r="K262" s="2">
        <v>500</v>
      </c>
      <c r="L262" s="2">
        <v>20</v>
      </c>
      <c r="M262" s="7" t="s">
        <v>24</v>
      </c>
      <c r="N262" s="2" t="s">
        <v>451</v>
      </c>
      <c r="O262" s="3" t="s">
        <v>39</v>
      </c>
      <c r="P262" s="2" t="s">
        <v>451</v>
      </c>
    </row>
    <row r="263" spans="1:16" x14ac:dyDescent="0.25">
      <c r="A263" s="97" t="s">
        <v>80</v>
      </c>
      <c r="B263" s="1" t="s">
        <v>448</v>
      </c>
      <c r="C263" s="1" t="s">
        <v>448</v>
      </c>
      <c r="D263" s="2" t="s">
        <v>449</v>
      </c>
      <c r="E263" s="94" t="str">
        <f t="shared" si="13"/>
        <v>BM1-S50-P500-Day20-B:PFBS</v>
      </c>
      <c r="F263" s="2" t="str">
        <f>VLOOKUP(C263,'Task 2b Sample List'!I:K,3,FALSE)</f>
        <v>BM1-S50-P500-Day20-B</v>
      </c>
      <c r="G263" s="166" t="str">
        <f t="shared" si="12"/>
        <v>BM1-S50-P500-Day20</v>
      </c>
      <c r="H263" s="2" t="str">
        <f>VLOOKUP(C263,'Task 2b Sample List'!I:L,4,FALSE)</f>
        <v>A</v>
      </c>
      <c r="I263" t="s">
        <v>181</v>
      </c>
      <c r="J263" s="2">
        <v>50</v>
      </c>
      <c r="K263" s="2">
        <v>500</v>
      </c>
      <c r="L263" s="2">
        <v>20</v>
      </c>
      <c r="M263" s="7" t="s">
        <v>25</v>
      </c>
      <c r="N263" s="4" t="s">
        <v>452</v>
      </c>
      <c r="O263" s="5" t="s">
        <v>39</v>
      </c>
      <c r="P263" s="2" t="s">
        <v>452</v>
      </c>
    </row>
    <row r="264" spans="1:16" x14ac:dyDescent="0.25">
      <c r="A264" s="97" t="s">
        <v>80</v>
      </c>
      <c r="B264" s="1" t="s">
        <v>448</v>
      </c>
      <c r="C264" s="1" t="s">
        <v>448</v>
      </c>
      <c r="D264" s="2" t="s">
        <v>449</v>
      </c>
      <c r="E264" s="94" t="str">
        <f t="shared" si="13"/>
        <v>BM1-S50-P500-Day20-B:PFOS</v>
      </c>
      <c r="F264" s="2" t="str">
        <f>VLOOKUP(C264,'Task 2b Sample List'!I:K,3,FALSE)</f>
        <v>BM1-S50-P500-Day20-B</v>
      </c>
      <c r="G264" s="166" t="str">
        <f t="shared" si="12"/>
        <v>BM1-S50-P500-Day20</v>
      </c>
      <c r="H264" s="2" t="str">
        <f>VLOOKUP(C264,'Task 2b Sample List'!I:L,4,FALSE)</f>
        <v>A</v>
      </c>
      <c r="I264" t="s">
        <v>181</v>
      </c>
      <c r="J264" s="2">
        <v>50</v>
      </c>
      <c r="K264" s="2">
        <v>500</v>
      </c>
      <c r="L264" s="2">
        <v>20</v>
      </c>
      <c r="M264" s="7" t="s">
        <v>26</v>
      </c>
      <c r="N264" s="2" t="s">
        <v>453</v>
      </c>
      <c r="O264" s="3" t="s">
        <v>39</v>
      </c>
      <c r="P264" s="2" t="s">
        <v>453</v>
      </c>
    </row>
    <row r="265" spans="1:16" ht="15.75" thickBot="1" x14ac:dyDescent="0.3">
      <c r="A265" s="97" t="s">
        <v>80</v>
      </c>
      <c r="B265" s="1" t="s">
        <v>448</v>
      </c>
      <c r="C265" s="1" t="s">
        <v>448</v>
      </c>
      <c r="D265" s="2" t="s">
        <v>449</v>
      </c>
      <c r="E265" s="94" t="str">
        <f t="shared" si="13"/>
        <v>BM1-S50-P500-Day20-B:8:2FTS</v>
      </c>
      <c r="F265" s="2" t="str">
        <f>VLOOKUP(C265,'Task 2b Sample List'!I:K,3,FALSE)</f>
        <v>BM1-S50-P500-Day20-B</v>
      </c>
      <c r="G265" s="166" t="str">
        <f t="shared" si="12"/>
        <v>BM1-S50-P500-Day20</v>
      </c>
      <c r="H265" s="2" t="str">
        <f>VLOOKUP(C265,'Task 2b Sample List'!I:L,4,FALSE)</f>
        <v>A</v>
      </c>
      <c r="I265" t="s">
        <v>181</v>
      </c>
      <c r="J265" s="2">
        <v>50</v>
      </c>
      <c r="K265" s="2">
        <v>500</v>
      </c>
      <c r="L265" s="2">
        <v>20</v>
      </c>
      <c r="M265" s="8" t="s">
        <v>27</v>
      </c>
      <c r="N265" s="4" t="s">
        <v>454</v>
      </c>
      <c r="O265" s="5" t="s">
        <v>39</v>
      </c>
      <c r="P265" s="2" t="s">
        <v>454</v>
      </c>
    </row>
    <row r="266" spans="1:16" x14ac:dyDescent="0.25">
      <c r="A266" s="97" t="s">
        <v>80</v>
      </c>
      <c r="B266" s="1" t="s">
        <v>455</v>
      </c>
      <c r="C266" s="1" t="s">
        <v>455</v>
      </c>
      <c r="D266" s="2" t="s">
        <v>456</v>
      </c>
      <c r="E266" s="94" t="str">
        <f t="shared" si="13"/>
        <v>BM1-S50-P500-Day20-C:PFHxA</v>
      </c>
      <c r="F266" s="2" t="str">
        <f>VLOOKUP(C266,'Task 2b Sample List'!I:K,3,FALSE)</f>
        <v>BM1-S50-P500-Day20-C</v>
      </c>
      <c r="G266" s="166" t="str">
        <f t="shared" si="12"/>
        <v>BM1-S50-P500-Day20</v>
      </c>
      <c r="H266" s="2" t="str">
        <f>VLOOKUP(C266,'Task 2b Sample List'!I:L,4,FALSE)</f>
        <v>A</v>
      </c>
      <c r="I266" t="s">
        <v>181</v>
      </c>
      <c r="J266" s="2">
        <v>50</v>
      </c>
      <c r="K266" s="2">
        <v>500</v>
      </c>
      <c r="L266" s="2">
        <v>20</v>
      </c>
      <c r="M266" s="6" t="s">
        <v>22</v>
      </c>
      <c r="N266" s="2" t="s">
        <v>457</v>
      </c>
      <c r="O266" s="3" t="s">
        <v>39</v>
      </c>
      <c r="P266" s="2" t="s">
        <v>457</v>
      </c>
    </row>
    <row r="267" spans="1:16" x14ac:dyDescent="0.25">
      <c r="A267" s="97" t="s">
        <v>80</v>
      </c>
      <c r="B267" s="1" t="s">
        <v>455</v>
      </c>
      <c r="C267" s="1" t="s">
        <v>455</v>
      </c>
      <c r="D267" s="2" t="s">
        <v>456</v>
      </c>
      <c r="E267" s="94" t="str">
        <f t="shared" si="13"/>
        <v>BM1-S50-P500-Day20-C:PFOA</v>
      </c>
      <c r="F267" s="2" t="str">
        <f>VLOOKUP(C267,'Task 2b Sample List'!I:K,3,FALSE)</f>
        <v>BM1-S50-P500-Day20-C</v>
      </c>
      <c r="G267" s="166" t="str">
        <f t="shared" si="12"/>
        <v>BM1-S50-P500-Day20</v>
      </c>
      <c r="H267" s="2" t="str">
        <f>VLOOKUP(C267,'Task 2b Sample List'!I:L,4,FALSE)</f>
        <v>A</v>
      </c>
      <c r="I267" t="s">
        <v>181</v>
      </c>
      <c r="J267" s="2">
        <v>50</v>
      </c>
      <c r="K267" s="2">
        <v>500</v>
      </c>
      <c r="L267" s="2">
        <v>20</v>
      </c>
      <c r="M267" s="7" t="s">
        <v>23</v>
      </c>
      <c r="N267" s="4" t="s">
        <v>458</v>
      </c>
      <c r="O267" s="5" t="s">
        <v>39</v>
      </c>
      <c r="P267" s="2" t="s">
        <v>458</v>
      </c>
    </row>
    <row r="268" spans="1:16" x14ac:dyDescent="0.25">
      <c r="A268" s="97" t="s">
        <v>80</v>
      </c>
      <c r="B268" s="1" t="s">
        <v>455</v>
      </c>
      <c r="C268" s="1" t="s">
        <v>455</v>
      </c>
      <c r="D268" s="2" t="s">
        <v>456</v>
      </c>
      <c r="E268" s="94" t="str">
        <f t="shared" si="13"/>
        <v>BM1-S50-P500-Day20-C:PFNA</v>
      </c>
      <c r="F268" s="2" t="str">
        <f>VLOOKUP(C268,'Task 2b Sample List'!I:K,3,FALSE)</f>
        <v>BM1-S50-P500-Day20-C</v>
      </c>
      <c r="G268" s="166" t="str">
        <f t="shared" si="12"/>
        <v>BM1-S50-P500-Day20</v>
      </c>
      <c r="H268" s="2" t="str">
        <f>VLOOKUP(C268,'Task 2b Sample List'!I:L,4,FALSE)</f>
        <v>A</v>
      </c>
      <c r="I268" t="s">
        <v>181</v>
      </c>
      <c r="J268" s="2">
        <v>50</v>
      </c>
      <c r="K268" s="2">
        <v>500</v>
      </c>
      <c r="L268" s="2">
        <v>20</v>
      </c>
      <c r="M268" s="7" t="s">
        <v>24</v>
      </c>
      <c r="N268" s="2" t="s">
        <v>435</v>
      </c>
      <c r="O268" s="3" t="s">
        <v>39</v>
      </c>
      <c r="P268" s="2" t="s">
        <v>435</v>
      </c>
    </row>
    <row r="269" spans="1:16" x14ac:dyDescent="0.25">
      <c r="A269" s="97" t="s">
        <v>80</v>
      </c>
      <c r="B269" s="1" t="s">
        <v>455</v>
      </c>
      <c r="C269" s="1" t="s">
        <v>455</v>
      </c>
      <c r="D269" s="2" t="s">
        <v>456</v>
      </c>
      <c r="E269" s="94" t="str">
        <f t="shared" si="13"/>
        <v>BM1-S50-P500-Day20-C:PFBS</v>
      </c>
      <c r="F269" s="2" t="str">
        <f>VLOOKUP(C269,'Task 2b Sample List'!I:K,3,FALSE)</f>
        <v>BM1-S50-P500-Day20-C</v>
      </c>
      <c r="G269" s="166" t="str">
        <f t="shared" si="12"/>
        <v>BM1-S50-P500-Day20</v>
      </c>
      <c r="H269" s="2" t="str">
        <f>VLOOKUP(C269,'Task 2b Sample List'!I:L,4,FALSE)</f>
        <v>A</v>
      </c>
      <c r="I269" t="s">
        <v>181</v>
      </c>
      <c r="J269" s="2">
        <v>50</v>
      </c>
      <c r="K269" s="2">
        <v>500</v>
      </c>
      <c r="L269" s="2">
        <v>20</v>
      </c>
      <c r="M269" s="7" t="s">
        <v>25</v>
      </c>
      <c r="N269" s="4" t="s">
        <v>459</v>
      </c>
      <c r="O269" s="5" t="s">
        <v>39</v>
      </c>
      <c r="P269" s="2" t="s">
        <v>459</v>
      </c>
    </row>
    <row r="270" spans="1:16" x14ac:dyDescent="0.25">
      <c r="A270" s="97" t="s">
        <v>80</v>
      </c>
      <c r="B270" s="1" t="s">
        <v>455</v>
      </c>
      <c r="C270" s="1" t="s">
        <v>455</v>
      </c>
      <c r="D270" s="2" t="s">
        <v>456</v>
      </c>
      <c r="E270" s="94" t="str">
        <f t="shared" si="13"/>
        <v>BM1-S50-P500-Day20-C:PFOS</v>
      </c>
      <c r="F270" s="2" t="str">
        <f>VLOOKUP(C270,'Task 2b Sample List'!I:K,3,FALSE)</f>
        <v>BM1-S50-P500-Day20-C</v>
      </c>
      <c r="G270" s="166" t="str">
        <f t="shared" si="12"/>
        <v>BM1-S50-P500-Day20</v>
      </c>
      <c r="H270" s="2" t="str">
        <f>VLOOKUP(C270,'Task 2b Sample List'!I:L,4,FALSE)</f>
        <v>A</v>
      </c>
      <c r="I270" t="s">
        <v>181</v>
      </c>
      <c r="J270" s="2">
        <v>50</v>
      </c>
      <c r="K270" s="2">
        <v>500</v>
      </c>
      <c r="L270" s="2">
        <v>20</v>
      </c>
      <c r="M270" s="7" t="s">
        <v>26</v>
      </c>
      <c r="N270" s="2" t="s">
        <v>460</v>
      </c>
      <c r="O270" s="3" t="s">
        <v>39</v>
      </c>
      <c r="P270" s="2" t="s">
        <v>460</v>
      </c>
    </row>
    <row r="271" spans="1:16" ht="15.75" thickBot="1" x14ac:dyDescent="0.3">
      <c r="A271" s="97" t="s">
        <v>80</v>
      </c>
      <c r="B271" s="1" t="s">
        <v>455</v>
      </c>
      <c r="C271" s="1" t="s">
        <v>455</v>
      </c>
      <c r="D271" s="2" t="s">
        <v>456</v>
      </c>
      <c r="E271" s="94" t="str">
        <f t="shared" si="13"/>
        <v>BM1-S50-P500-Day20-C:8:2FTS</v>
      </c>
      <c r="F271" s="2" t="str">
        <f>VLOOKUP(C271,'Task 2b Sample List'!I:K,3,FALSE)</f>
        <v>BM1-S50-P500-Day20-C</v>
      </c>
      <c r="G271" s="166" t="str">
        <f t="shared" si="12"/>
        <v>BM1-S50-P500-Day20</v>
      </c>
      <c r="H271" s="2" t="str">
        <f>VLOOKUP(C271,'Task 2b Sample List'!I:L,4,FALSE)</f>
        <v>A</v>
      </c>
      <c r="I271" t="s">
        <v>181</v>
      </c>
      <c r="J271" s="2">
        <v>50</v>
      </c>
      <c r="K271" s="2">
        <v>500</v>
      </c>
      <c r="L271" s="2">
        <v>20</v>
      </c>
      <c r="M271" s="8" t="s">
        <v>27</v>
      </c>
      <c r="N271" s="4" t="s">
        <v>461</v>
      </c>
      <c r="O271" s="5" t="s">
        <v>39</v>
      </c>
      <c r="P271" s="2" t="s">
        <v>461</v>
      </c>
    </row>
    <row r="272" spans="1:16" x14ac:dyDescent="0.25">
      <c r="A272" s="97" t="s">
        <v>80</v>
      </c>
      <c r="B272" s="1" t="s">
        <v>462</v>
      </c>
      <c r="C272" s="1" t="s">
        <v>462</v>
      </c>
      <c r="D272" s="2" t="s">
        <v>463</v>
      </c>
      <c r="E272" s="94" t="str">
        <f t="shared" si="13"/>
        <v>SHW-S50-P0-Day20-A:PFHxA</v>
      </c>
      <c r="F272" s="2" t="str">
        <f>VLOOKUP(C272,'Task 2b Sample List'!I:K,3,FALSE)</f>
        <v>SHW-S50-P0-Day20-A</v>
      </c>
      <c r="G272" s="166" t="str">
        <f t="shared" ref="G272:G289" si="14">LEFT(F272,16)</f>
        <v>SHW-S50-P0-Day20</v>
      </c>
      <c r="H272" s="2" t="str">
        <f>VLOOKUP(C272,'Task 2b Sample List'!I:L,4,FALSE)</f>
        <v>B</v>
      </c>
      <c r="I272" t="s">
        <v>185</v>
      </c>
      <c r="J272" s="2">
        <v>50</v>
      </c>
      <c r="K272" s="2">
        <v>0</v>
      </c>
      <c r="L272" s="2">
        <v>20</v>
      </c>
      <c r="M272" s="6" t="s">
        <v>22</v>
      </c>
      <c r="N272" s="2" t="s">
        <v>464</v>
      </c>
      <c r="O272" s="3" t="s">
        <v>14</v>
      </c>
      <c r="P272" s="2" t="s">
        <v>464</v>
      </c>
    </row>
    <row r="273" spans="1:16" x14ac:dyDescent="0.25">
      <c r="A273" s="97" t="s">
        <v>80</v>
      </c>
      <c r="B273" s="1" t="s">
        <v>462</v>
      </c>
      <c r="C273" s="1" t="s">
        <v>462</v>
      </c>
      <c r="D273" s="2" t="s">
        <v>463</v>
      </c>
      <c r="E273" s="94" t="str">
        <f t="shared" si="13"/>
        <v>SHW-S50-P0-Day20-A:PFOA</v>
      </c>
      <c r="F273" s="2" t="str">
        <f>VLOOKUP(C273,'Task 2b Sample List'!I:K,3,FALSE)</f>
        <v>SHW-S50-P0-Day20-A</v>
      </c>
      <c r="G273" s="166" t="str">
        <f t="shared" si="14"/>
        <v>SHW-S50-P0-Day20</v>
      </c>
      <c r="H273" s="2" t="str">
        <f>VLOOKUP(C273,'Task 2b Sample List'!I:L,4,FALSE)</f>
        <v>B</v>
      </c>
      <c r="I273" t="s">
        <v>185</v>
      </c>
      <c r="J273" s="2">
        <v>50</v>
      </c>
      <c r="K273" s="2">
        <v>0</v>
      </c>
      <c r="L273" s="2">
        <v>20</v>
      </c>
      <c r="M273" s="7" t="s">
        <v>23</v>
      </c>
      <c r="N273" s="4" t="s">
        <v>465</v>
      </c>
      <c r="O273" s="5" t="s">
        <v>7</v>
      </c>
      <c r="P273" s="2">
        <v>0</v>
      </c>
    </row>
    <row r="274" spans="1:16" x14ac:dyDescent="0.25">
      <c r="A274" s="97" t="s">
        <v>80</v>
      </c>
      <c r="B274" s="1" t="s">
        <v>462</v>
      </c>
      <c r="C274" s="1" t="s">
        <v>462</v>
      </c>
      <c r="D274" s="2" t="s">
        <v>463</v>
      </c>
      <c r="E274" s="94" t="str">
        <f t="shared" si="13"/>
        <v>SHW-S50-P0-Day20-A:PFNA</v>
      </c>
      <c r="F274" s="2" t="str">
        <f>VLOOKUP(C274,'Task 2b Sample List'!I:K,3,FALSE)</f>
        <v>SHW-S50-P0-Day20-A</v>
      </c>
      <c r="G274" s="166" t="str">
        <f t="shared" si="14"/>
        <v>SHW-S50-P0-Day20</v>
      </c>
      <c r="H274" s="2" t="str">
        <f>VLOOKUP(C274,'Task 2b Sample List'!I:L,4,FALSE)</f>
        <v>B</v>
      </c>
      <c r="I274" t="s">
        <v>185</v>
      </c>
      <c r="J274" s="2">
        <v>50</v>
      </c>
      <c r="K274" s="2">
        <v>0</v>
      </c>
      <c r="L274" s="2">
        <v>20</v>
      </c>
      <c r="M274" s="7" t="s">
        <v>24</v>
      </c>
      <c r="N274" s="2" t="s">
        <v>466</v>
      </c>
      <c r="O274" s="3" t="s">
        <v>14</v>
      </c>
      <c r="P274" s="2" t="s">
        <v>466</v>
      </c>
    </row>
    <row r="275" spans="1:16" x14ac:dyDescent="0.25">
      <c r="A275" s="97" t="s">
        <v>80</v>
      </c>
      <c r="B275" s="1" t="s">
        <v>462</v>
      </c>
      <c r="C275" s="1" t="s">
        <v>462</v>
      </c>
      <c r="D275" s="2" t="s">
        <v>463</v>
      </c>
      <c r="E275" s="94" t="str">
        <f t="shared" si="13"/>
        <v>SHW-S50-P0-Day20-A:PFBS</v>
      </c>
      <c r="F275" s="2" t="str">
        <f>VLOOKUP(C275,'Task 2b Sample List'!I:K,3,FALSE)</f>
        <v>SHW-S50-P0-Day20-A</v>
      </c>
      <c r="G275" s="166" t="str">
        <f t="shared" si="14"/>
        <v>SHW-S50-P0-Day20</v>
      </c>
      <c r="H275" s="2" t="str">
        <f>VLOOKUP(C275,'Task 2b Sample List'!I:L,4,FALSE)</f>
        <v>B</v>
      </c>
      <c r="I275" t="s">
        <v>185</v>
      </c>
      <c r="J275" s="2">
        <v>50</v>
      </c>
      <c r="K275" s="2">
        <v>0</v>
      </c>
      <c r="L275" s="2">
        <v>20</v>
      </c>
      <c r="M275" s="7" t="s">
        <v>25</v>
      </c>
      <c r="N275" s="4" t="s">
        <v>467</v>
      </c>
      <c r="O275" s="5" t="s">
        <v>14</v>
      </c>
      <c r="P275" s="2" t="s">
        <v>467</v>
      </c>
    </row>
    <row r="276" spans="1:16" x14ac:dyDescent="0.25">
      <c r="A276" s="97" t="s">
        <v>80</v>
      </c>
      <c r="B276" s="1" t="s">
        <v>462</v>
      </c>
      <c r="C276" s="1" t="s">
        <v>462</v>
      </c>
      <c r="D276" s="2" t="s">
        <v>463</v>
      </c>
      <c r="E276" s="94" t="str">
        <f t="shared" si="13"/>
        <v>SHW-S50-P0-Day20-A:PFOS</v>
      </c>
      <c r="F276" s="2" t="str">
        <f>VLOOKUP(C276,'Task 2b Sample List'!I:K,3,FALSE)</f>
        <v>SHW-S50-P0-Day20-A</v>
      </c>
      <c r="G276" s="166" t="str">
        <f t="shared" si="14"/>
        <v>SHW-S50-P0-Day20</v>
      </c>
      <c r="H276" s="2" t="str">
        <f>VLOOKUP(C276,'Task 2b Sample List'!I:L,4,FALSE)</f>
        <v>B</v>
      </c>
      <c r="I276" t="s">
        <v>185</v>
      </c>
      <c r="J276" s="2">
        <v>50</v>
      </c>
      <c r="K276" s="2">
        <v>0</v>
      </c>
      <c r="L276" s="2">
        <v>20</v>
      </c>
      <c r="M276" s="7" t="s">
        <v>26</v>
      </c>
      <c r="N276" s="2" t="s">
        <v>143</v>
      </c>
      <c r="O276" s="3" t="s">
        <v>7</v>
      </c>
      <c r="P276" s="2">
        <v>0</v>
      </c>
    </row>
    <row r="277" spans="1:16" ht="15.75" thickBot="1" x14ac:dyDescent="0.3">
      <c r="A277" s="97" t="s">
        <v>80</v>
      </c>
      <c r="B277" s="1" t="s">
        <v>462</v>
      </c>
      <c r="C277" s="1" t="s">
        <v>462</v>
      </c>
      <c r="D277" s="2" t="s">
        <v>463</v>
      </c>
      <c r="E277" s="94" t="str">
        <f t="shared" si="13"/>
        <v>SHW-S50-P0-Day20-A:8:2FTS</v>
      </c>
      <c r="F277" s="2" t="str">
        <f>VLOOKUP(C277,'Task 2b Sample List'!I:K,3,FALSE)</f>
        <v>SHW-S50-P0-Day20-A</v>
      </c>
      <c r="G277" s="166" t="str">
        <f t="shared" si="14"/>
        <v>SHW-S50-P0-Day20</v>
      </c>
      <c r="H277" s="2" t="str">
        <f>VLOOKUP(C277,'Task 2b Sample List'!I:L,4,FALSE)</f>
        <v>B</v>
      </c>
      <c r="I277" t="s">
        <v>185</v>
      </c>
      <c r="J277" s="2">
        <v>50</v>
      </c>
      <c r="K277" s="2">
        <v>0</v>
      </c>
      <c r="L277" s="2">
        <v>20</v>
      </c>
      <c r="M277" s="8" t="s">
        <v>27</v>
      </c>
      <c r="N277" s="4" t="s">
        <v>468</v>
      </c>
      <c r="O277" s="5" t="s">
        <v>7</v>
      </c>
      <c r="P277" s="2">
        <v>0</v>
      </c>
    </row>
    <row r="278" spans="1:16" x14ac:dyDescent="0.25">
      <c r="A278" s="97" t="s">
        <v>80</v>
      </c>
      <c r="B278" s="1" t="s">
        <v>469</v>
      </c>
      <c r="C278" s="1" t="s">
        <v>469</v>
      </c>
      <c r="D278" s="2" t="s">
        <v>470</v>
      </c>
      <c r="E278" s="94" t="str">
        <f t="shared" si="13"/>
        <v>SHW-S50-P0-Day20-B:PFHxA</v>
      </c>
      <c r="F278" s="2" t="str">
        <f>VLOOKUP(C278,'Task 2b Sample List'!I:K,3,FALSE)</f>
        <v>SHW-S50-P0-Day20-B</v>
      </c>
      <c r="G278" s="166" t="str">
        <f t="shared" si="14"/>
        <v>SHW-S50-P0-Day20</v>
      </c>
      <c r="H278" s="2" t="str">
        <f>VLOOKUP(C278,'Task 2b Sample List'!I:L,4,FALSE)</f>
        <v>B</v>
      </c>
      <c r="I278" t="s">
        <v>185</v>
      </c>
      <c r="J278" s="2">
        <v>50</v>
      </c>
      <c r="K278" s="2">
        <v>0</v>
      </c>
      <c r="L278" s="2">
        <v>20</v>
      </c>
      <c r="M278" s="6" t="s">
        <v>22</v>
      </c>
      <c r="N278" s="2" t="s">
        <v>471</v>
      </c>
      <c r="O278" s="3" t="s">
        <v>14</v>
      </c>
      <c r="P278" s="2" t="s">
        <v>471</v>
      </c>
    </row>
    <row r="279" spans="1:16" x14ac:dyDescent="0.25">
      <c r="A279" s="97" t="s">
        <v>80</v>
      </c>
      <c r="B279" s="1" t="s">
        <v>469</v>
      </c>
      <c r="C279" s="1" t="s">
        <v>469</v>
      </c>
      <c r="D279" s="2" t="s">
        <v>470</v>
      </c>
      <c r="E279" s="94" t="str">
        <f t="shared" si="13"/>
        <v>SHW-S50-P0-Day20-B:PFOA</v>
      </c>
      <c r="F279" s="2" t="str">
        <f>VLOOKUP(C279,'Task 2b Sample List'!I:K,3,FALSE)</f>
        <v>SHW-S50-P0-Day20-B</v>
      </c>
      <c r="G279" s="166" t="str">
        <f t="shared" si="14"/>
        <v>SHW-S50-P0-Day20</v>
      </c>
      <c r="H279" s="2" t="str">
        <f>VLOOKUP(C279,'Task 2b Sample List'!I:L,4,FALSE)</f>
        <v>B</v>
      </c>
      <c r="I279" t="s">
        <v>185</v>
      </c>
      <c r="J279" s="2">
        <v>50</v>
      </c>
      <c r="K279" s="2">
        <v>0</v>
      </c>
      <c r="L279" s="2">
        <v>20</v>
      </c>
      <c r="M279" s="7" t="s">
        <v>23</v>
      </c>
      <c r="N279" s="4" t="s">
        <v>472</v>
      </c>
      <c r="O279" s="5" t="s">
        <v>14</v>
      </c>
      <c r="P279" s="2" t="s">
        <v>472</v>
      </c>
    </row>
    <row r="280" spans="1:16" x14ac:dyDescent="0.25">
      <c r="A280" s="97" t="s">
        <v>80</v>
      </c>
      <c r="B280" s="1" t="s">
        <v>469</v>
      </c>
      <c r="C280" s="1" t="s">
        <v>469</v>
      </c>
      <c r="D280" s="2" t="s">
        <v>470</v>
      </c>
      <c r="E280" s="94" t="str">
        <f t="shared" si="13"/>
        <v>SHW-S50-P0-Day20-B:PFNA</v>
      </c>
      <c r="F280" s="2" t="str">
        <f>VLOOKUP(C280,'Task 2b Sample List'!I:K,3,FALSE)</f>
        <v>SHW-S50-P0-Day20-B</v>
      </c>
      <c r="G280" s="166" t="str">
        <f t="shared" si="14"/>
        <v>SHW-S50-P0-Day20</v>
      </c>
      <c r="H280" s="2" t="str">
        <f>VLOOKUP(C280,'Task 2b Sample List'!I:L,4,FALSE)</f>
        <v>B</v>
      </c>
      <c r="I280" t="s">
        <v>185</v>
      </c>
      <c r="J280" s="2">
        <v>50</v>
      </c>
      <c r="K280" s="2">
        <v>0</v>
      </c>
      <c r="L280" s="2">
        <v>20</v>
      </c>
      <c r="M280" s="7" t="s">
        <v>24</v>
      </c>
      <c r="N280" s="2" t="s">
        <v>473</v>
      </c>
      <c r="O280" s="3" t="s">
        <v>14</v>
      </c>
      <c r="P280" s="2" t="s">
        <v>473</v>
      </c>
    </row>
    <row r="281" spans="1:16" x14ac:dyDescent="0.25">
      <c r="A281" s="97" t="s">
        <v>80</v>
      </c>
      <c r="B281" s="1" t="s">
        <v>469</v>
      </c>
      <c r="C281" s="1" t="s">
        <v>469</v>
      </c>
      <c r="D281" s="2" t="s">
        <v>470</v>
      </c>
      <c r="E281" s="94" t="str">
        <f t="shared" si="13"/>
        <v>SHW-S50-P0-Day20-B:PFBS</v>
      </c>
      <c r="F281" s="2" t="str">
        <f>VLOOKUP(C281,'Task 2b Sample List'!I:K,3,FALSE)</f>
        <v>SHW-S50-P0-Day20-B</v>
      </c>
      <c r="G281" s="166" t="str">
        <f t="shared" si="14"/>
        <v>SHW-S50-P0-Day20</v>
      </c>
      <c r="H281" s="2" t="str">
        <f>VLOOKUP(C281,'Task 2b Sample List'!I:L,4,FALSE)</f>
        <v>B</v>
      </c>
      <c r="I281" t="s">
        <v>185</v>
      </c>
      <c r="J281" s="2">
        <v>50</v>
      </c>
      <c r="K281" s="2">
        <v>0</v>
      </c>
      <c r="L281" s="2">
        <v>20</v>
      </c>
      <c r="M281" s="7" t="s">
        <v>25</v>
      </c>
      <c r="N281" s="4" t="s">
        <v>474</v>
      </c>
      <c r="O281" s="5" t="s">
        <v>14</v>
      </c>
      <c r="P281" s="2" t="s">
        <v>474</v>
      </c>
    </row>
    <row r="282" spans="1:16" x14ac:dyDescent="0.25">
      <c r="A282" s="97" t="s">
        <v>80</v>
      </c>
      <c r="B282" s="1" t="s">
        <v>469</v>
      </c>
      <c r="C282" s="1" t="s">
        <v>469</v>
      </c>
      <c r="D282" s="2" t="s">
        <v>470</v>
      </c>
      <c r="E282" s="94" t="str">
        <f t="shared" si="13"/>
        <v>SHW-S50-P0-Day20-B:PFOS</v>
      </c>
      <c r="F282" s="2" t="str">
        <f>VLOOKUP(C282,'Task 2b Sample List'!I:K,3,FALSE)</f>
        <v>SHW-S50-P0-Day20-B</v>
      </c>
      <c r="G282" s="166" t="str">
        <f t="shared" si="14"/>
        <v>SHW-S50-P0-Day20</v>
      </c>
      <c r="H282" s="2" t="str">
        <f>VLOOKUP(C282,'Task 2b Sample List'!I:L,4,FALSE)</f>
        <v>B</v>
      </c>
      <c r="I282" t="s">
        <v>185</v>
      </c>
      <c r="J282" s="2">
        <v>50</v>
      </c>
      <c r="K282" s="2">
        <v>0</v>
      </c>
      <c r="L282" s="2">
        <v>20</v>
      </c>
      <c r="M282" s="7" t="s">
        <v>26</v>
      </c>
      <c r="N282" s="2" t="s">
        <v>475</v>
      </c>
      <c r="O282" s="3" t="s">
        <v>7</v>
      </c>
      <c r="P282" s="2">
        <v>0</v>
      </c>
    </row>
    <row r="283" spans="1:16" ht="15.75" thickBot="1" x14ac:dyDescent="0.3">
      <c r="A283" s="97" t="s">
        <v>80</v>
      </c>
      <c r="B283" s="1" t="s">
        <v>469</v>
      </c>
      <c r="C283" s="1" t="s">
        <v>469</v>
      </c>
      <c r="D283" s="2" t="s">
        <v>470</v>
      </c>
      <c r="E283" s="94" t="str">
        <f t="shared" si="13"/>
        <v>SHW-S50-P0-Day20-B:8:2FTS</v>
      </c>
      <c r="F283" s="2" t="str">
        <f>VLOOKUP(C283,'Task 2b Sample List'!I:K,3,FALSE)</f>
        <v>SHW-S50-P0-Day20-B</v>
      </c>
      <c r="G283" s="166" t="str">
        <f t="shared" si="14"/>
        <v>SHW-S50-P0-Day20</v>
      </c>
      <c r="H283" s="2" t="str">
        <f>VLOOKUP(C283,'Task 2b Sample List'!I:L,4,FALSE)</f>
        <v>B</v>
      </c>
      <c r="I283" t="s">
        <v>185</v>
      </c>
      <c r="J283" s="2">
        <v>50</v>
      </c>
      <c r="K283" s="2">
        <v>0</v>
      </c>
      <c r="L283" s="2">
        <v>20</v>
      </c>
      <c r="M283" s="8" t="s">
        <v>27</v>
      </c>
      <c r="N283" s="4" t="s">
        <v>476</v>
      </c>
      <c r="O283" s="5" t="s">
        <v>14</v>
      </c>
      <c r="P283" s="2" t="s">
        <v>476</v>
      </c>
    </row>
    <row r="284" spans="1:16" x14ac:dyDescent="0.25">
      <c r="A284" s="97" t="s">
        <v>80</v>
      </c>
      <c r="B284" s="1" t="s">
        <v>477</v>
      </c>
      <c r="C284" s="1" t="s">
        <v>477</v>
      </c>
      <c r="D284" s="2" t="s">
        <v>478</v>
      </c>
      <c r="E284" s="94" t="str">
        <f t="shared" si="13"/>
        <v>SHW-S50-P0-Day20-C:PFHxA</v>
      </c>
      <c r="F284" s="2" t="str">
        <f>VLOOKUP(C284,'Task 2b Sample List'!I:K,3,FALSE)</f>
        <v>SHW-S50-P0-Day20-C</v>
      </c>
      <c r="G284" s="166" t="str">
        <f t="shared" si="14"/>
        <v>SHW-S50-P0-Day20</v>
      </c>
      <c r="H284" s="2" t="str">
        <f>VLOOKUP(C284,'Task 2b Sample List'!I:L,4,FALSE)</f>
        <v>B</v>
      </c>
      <c r="I284" t="s">
        <v>185</v>
      </c>
      <c r="J284" s="2">
        <v>50</v>
      </c>
      <c r="K284" s="2">
        <v>0</v>
      </c>
      <c r="L284" s="2">
        <v>20</v>
      </c>
      <c r="M284" s="6" t="s">
        <v>22</v>
      </c>
      <c r="N284" s="2" t="s">
        <v>479</v>
      </c>
      <c r="O284" s="3" t="s">
        <v>14</v>
      </c>
      <c r="P284" s="2" t="s">
        <v>479</v>
      </c>
    </row>
    <row r="285" spans="1:16" x14ac:dyDescent="0.25">
      <c r="A285" s="97" t="s">
        <v>80</v>
      </c>
      <c r="B285" s="1" t="s">
        <v>477</v>
      </c>
      <c r="C285" s="1" t="s">
        <v>477</v>
      </c>
      <c r="D285" s="2" t="s">
        <v>478</v>
      </c>
      <c r="E285" s="94" t="str">
        <f t="shared" si="13"/>
        <v>SHW-S50-P0-Day20-C:PFOA</v>
      </c>
      <c r="F285" s="2" t="str">
        <f>VLOOKUP(C285,'Task 2b Sample List'!I:K,3,FALSE)</f>
        <v>SHW-S50-P0-Day20-C</v>
      </c>
      <c r="G285" s="166" t="str">
        <f t="shared" si="14"/>
        <v>SHW-S50-P0-Day20</v>
      </c>
      <c r="H285" s="2" t="str">
        <f>VLOOKUP(C285,'Task 2b Sample List'!I:L,4,FALSE)</f>
        <v>B</v>
      </c>
      <c r="I285" t="s">
        <v>185</v>
      </c>
      <c r="J285" s="2">
        <v>50</v>
      </c>
      <c r="K285" s="2">
        <v>0</v>
      </c>
      <c r="L285" s="2">
        <v>20</v>
      </c>
      <c r="M285" s="7" t="s">
        <v>23</v>
      </c>
      <c r="N285" s="4" t="s">
        <v>356</v>
      </c>
      <c r="O285" s="5" t="s">
        <v>7</v>
      </c>
      <c r="P285" s="2">
        <v>0</v>
      </c>
    </row>
    <row r="286" spans="1:16" x14ac:dyDescent="0.25">
      <c r="A286" s="97" t="s">
        <v>80</v>
      </c>
      <c r="B286" s="1" t="s">
        <v>477</v>
      </c>
      <c r="C286" s="1" t="s">
        <v>477</v>
      </c>
      <c r="D286" s="2" t="s">
        <v>478</v>
      </c>
      <c r="E286" s="94" t="str">
        <f t="shared" si="13"/>
        <v>SHW-S50-P0-Day20-C:PFNA</v>
      </c>
      <c r="F286" s="2" t="str">
        <f>VLOOKUP(C286,'Task 2b Sample List'!I:K,3,FALSE)</f>
        <v>SHW-S50-P0-Day20-C</v>
      </c>
      <c r="G286" s="166" t="str">
        <f t="shared" si="14"/>
        <v>SHW-S50-P0-Day20</v>
      </c>
      <c r="H286" s="2" t="str">
        <f>VLOOKUP(C286,'Task 2b Sample List'!I:L,4,FALSE)</f>
        <v>B</v>
      </c>
      <c r="I286" t="s">
        <v>185</v>
      </c>
      <c r="J286" s="2">
        <v>50</v>
      </c>
      <c r="K286" s="2">
        <v>0</v>
      </c>
      <c r="L286" s="2">
        <v>20</v>
      </c>
      <c r="M286" s="7" t="s">
        <v>24</v>
      </c>
      <c r="N286" s="2" t="s">
        <v>480</v>
      </c>
      <c r="O286" s="3" t="s">
        <v>14</v>
      </c>
      <c r="P286" s="2" t="s">
        <v>480</v>
      </c>
    </row>
    <row r="287" spans="1:16" x14ac:dyDescent="0.25">
      <c r="A287" s="97" t="s">
        <v>80</v>
      </c>
      <c r="B287" s="1" t="s">
        <v>477</v>
      </c>
      <c r="C287" s="1" t="s">
        <v>477</v>
      </c>
      <c r="D287" s="2" t="s">
        <v>478</v>
      </c>
      <c r="E287" s="94" t="str">
        <f t="shared" si="13"/>
        <v>SHW-S50-P0-Day20-C:PFBS</v>
      </c>
      <c r="F287" s="2" t="str">
        <f>VLOOKUP(C287,'Task 2b Sample List'!I:K,3,FALSE)</f>
        <v>SHW-S50-P0-Day20-C</v>
      </c>
      <c r="G287" s="166" t="str">
        <f t="shared" si="14"/>
        <v>SHW-S50-P0-Day20</v>
      </c>
      <c r="H287" s="2" t="str">
        <f>VLOOKUP(C287,'Task 2b Sample List'!I:L,4,FALSE)</f>
        <v>B</v>
      </c>
      <c r="I287" t="s">
        <v>185</v>
      </c>
      <c r="J287" s="2">
        <v>50</v>
      </c>
      <c r="K287" s="2">
        <v>0</v>
      </c>
      <c r="L287" s="2">
        <v>20</v>
      </c>
      <c r="M287" s="7" t="s">
        <v>25</v>
      </c>
      <c r="N287" s="4" t="s">
        <v>481</v>
      </c>
      <c r="O287" s="5" t="s">
        <v>14</v>
      </c>
      <c r="P287" s="2" t="s">
        <v>481</v>
      </c>
    </row>
    <row r="288" spans="1:16" x14ac:dyDescent="0.25">
      <c r="A288" s="97" t="s">
        <v>80</v>
      </c>
      <c r="B288" s="1" t="s">
        <v>477</v>
      </c>
      <c r="C288" s="1" t="s">
        <v>477</v>
      </c>
      <c r="D288" s="2" t="s">
        <v>478</v>
      </c>
      <c r="E288" s="94" t="str">
        <f t="shared" si="13"/>
        <v>SHW-S50-P0-Day20-C:PFOS</v>
      </c>
      <c r="F288" s="2" t="str">
        <f>VLOOKUP(C288,'Task 2b Sample List'!I:K,3,FALSE)</f>
        <v>SHW-S50-P0-Day20-C</v>
      </c>
      <c r="G288" s="166" t="str">
        <f t="shared" si="14"/>
        <v>SHW-S50-P0-Day20</v>
      </c>
      <c r="H288" s="2" t="str">
        <f>VLOOKUP(C288,'Task 2b Sample List'!I:L,4,FALSE)</f>
        <v>B</v>
      </c>
      <c r="I288" t="s">
        <v>185</v>
      </c>
      <c r="J288" s="2">
        <v>50</v>
      </c>
      <c r="K288" s="2">
        <v>0</v>
      </c>
      <c r="L288" s="2">
        <v>20</v>
      </c>
      <c r="M288" s="7" t="s">
        <v>26</v>
      </c>
      <c r="N288" s="2" t="s">
        <v>482</v>
      </c>
      <c r="O288" s="3" t="s">
        <v>7</v>
      </c>
      <c r="P288" s="2">
        <v>0</v>
      </c>
    </row>
    <row r="289" spans="1:16" ht="15.75" thickBot="1" x14ac:dyDescent="0.3">
      <c r="A289" s="97" t="s">
        <v>80</v>
      </c>
      <c r="B289" s="1" t="s">
        <v>477</v>
      </c>
      <c r="C289" s="1" t="s">
        <v>477</v>
      </c>
      <c r="D289" s="2" t="s">
        <v>478</v>
      </c>
      <c r="E289" s="94" t="str">
        <f t="shared" si="13"/>
        <v>SHW-S50-P0-Day20-C:8:2FTS</v>
      </c>
      <c r="F289" s="2" t="str">
        <f>VLOOKUP(C289,'Task 2b Sample List'!I:K,3,FALSE)</f>
        <v>SHW-S50-P0-Day20-C</v>
      </c>
      <c r="G289" s="166" t="str">
        <f t="shared" si="14"/>
        <v>SHW-S50-P0-Day20</v>
      </c>
      <c r="H289" s="2" t="str">
        <f>VLOOKUP(C289,'Task 2b Sample List'!I:L,4,FALSE)</f>
        <v>B</v>
      </c>
      <c r="I289" t="s">
        <v>185</v>
      </c>
      <c r="J289" s="2">
        <v>50</v>
      </c>
      <c r="K289" s="2">
        <v>0</v>
      </c>
      <c r="L289" s="2">
        <v>20</v>
      </c>
      <c r="M289" s="8" t="s">
        <v>27</v>
      </c>
      <c r="N289" s="4" t="s">
        <v>483</v>
      </c>
      <c r="O289" s="5" t="s">
        <v>14</v>
      </c>
      <c r="P289" s="2" t="s">
        <v>483</v>
      </c>
    </row>
    <row r="290" spans="1:16" x14ac:dyDescent="0.25">
      <c r="A290" s="97" t="s">
        <v>80</v>
      </c>
      <c r="B290" s="1" t="s">
        <v>484</v>
      </c>
      <c r="C290" s="1" t="s">
        <v>484</v>
      </c>
      <c r="D290" s="2" t="s">
        <v>485</v>
      </c>
      <c r="E290" s="94" t="str">
        <f t="shared" si="13"/>
        <v>SHW-S50-P10-Day20-A:PFHxA</v>
      </c>
      <c r="F290" s="2" t="str">
        <f>VLOOKUP(C290,'Task 2b Sample List'!I:K,3,FALSE)</f>
        <v>SHW-S50-P10-Day20-A</v>
      </c>
      <c r="G290" s="166" t="str">
        <f>LEFT(F290,17)</f>
        <v>SHW-S50-P10-Day20</v>
      </c>
      <c r="H290" s="2" t="str">
        <f>VLOOKUP(C290,'Task 2b Sample List'!I:L,4,FALSE)</f>
        <v>A</v>
      </c>
      <c r="I290" t="s">
        <v>185</v>
      </c>
      <c r="J290" s="2">
        <v>50</v>
      </c>
      <c r="K290" s="2">
        <v>10</v>
      </c>
      <c r="L290" s="2">
        <v>20</v>
      </c>
      <c r="M290" s="6" t="s">
        <v>22</v>
      </c>
      <c r="N290" s="2" t="s">
        <v>486</v>
      </c>
      <c r="O290" s="3" t="s">
        <v>39</v>
      </c>
      <c r="P290" s="2" t="s">
        <v>486</v>
      </c>
    </row>
    <row r="291" spans="1:16" x14ac:dyDescent="0.25">
      <c r="A291" s="97" t="s">
        <v>80</v>
      </c>
      <c r="B291" s="1" t="s">
        <v>484</v>
      </c>
      <c r="C291" s="1" t="s">
        <v>484</v>
      </c>
      <c r="D291" s="2" t="s">
        <v>485</v>
      </c>
      <c r="E291" s="94" t="str">
        <f t="shared" si="13"/>
        <v>SHW-S50-P10-Day20-A:PFOA</v>
      </c>
      <c r="F291" s="2" t="str">
        <f>VLOOKUP(C291,'Task 2b Sample List'!I:K,3,FALSE)</f>
        <v>SHW-S50-P10-Day20-A</v>
      </c>
      <c r="G291" s="166" t="str">
        <f t="shared" ref="G291:G306" si="15">LEFT(F291,17)</f>
        <v>SHW-S50-P10-Day20</v>
      </c>
      <c r="H291" s="2" t="str">
        <f>VLOOKUP(C291,'Task 2b Sample List'!I:L,4,FALSE)</f>
        <v>A</v>
      </c>
      <c r="I291" t="s">
        <v>185</v>
      </c>
      <c r="J291" s="2">
        <v>50</v>
      </c>
      <c r="K291" s="2">
        <v>10</v>
      </c>
      <c r="L291" s="2">
        <v>20</v>
      </c>
      <c r="M291" s="7" t="s">
        <v>23</v>
      </c>
      <c r="N291" s="4" t="s">
        <v>487</v>
      </c>
      <c r="O291" s="5" t="s">
        <v>39</v>
      </c>
      <c r="P291" s="2" t="s">
        <v>487</v>
      </c>
    </row>
    <row r="292" spans="1:16" x14ac:dyDescent="0.25">
      <c r="A292" s="97" t="s">
        <v>80</v>
      </c>
      <c r="B292" s="1" t="s">
        <v>484</v>
      </c>
      <c r="C292" s="1" t="s">
        <v>484</v>
      </c>
      <c r="D292" s="2" t="s">
        <v>485</v>
      </c>
      <c r="E292" s="94" t="str">
        <f t="shared" si="13"/>
        <v>SHW-S50-P10-Day20-A:PFNA</v>
      </c>
      <c r="F292" s="2" t="str">
        <f>VLOOKUP(C292,'Task 2b Sample List'!I:K,3,FALSE)</f>
        <v>SHW-S50-P10-Day20-A</v>
      </c>
      <c r="G292" s="166" t="str">
        <f t="shared" si="15"/>
        <v>SHW-S50-P10-Day20</v>
      </c>
      <c r="H292" s="2" t="str">
        <f>VLOOKUP(C292,'Task 2b Sample List'!I:L,4,FALSE)</f>
        <v>A</v>
      </c>
      <c r="I292" t="s">
        <v>185</v>
      </c>
      <c r="J292" s="2">
        <v>50</v>
      </c>
      <c r="K292" s="2">
        <v>10</v>
      </c>
      <c r="L292" s="2">
        <v>20</v>
      </c>
      <c r="M292" s="7" t="s">
        <v>24</v>
      </c>
      <c r="N292" s="2" t="s">
        <v>488</v>
      </c>
      <c r="O292" s="3" t="s">
        <v>39</v>
      </c>
      <c r="P292" s="2" t="s">
        <v>488</v>
      </c>
    </row>
    <row r="293" spans="1:16" x14ac:dyDescent="0.25">
      <c r="A293" s="97" t="s">
        <v>80</v>
      </c>
      <c r="B293" s="1" t="s">
        <v>484</v>
      </c>
      <c r="C293" s="1" t="s">
        <v>484</v>
      </c>
      <c r="D293" s="2" t="s">
        <v>485</v>
      </c>
      <c r="E293" s="94" t="str">
        <f t="shared" si="13"/>
        <v>SHW-S50-P10-Day20-A:PFBS</v>
      </c>
      <c r="F293" s="2" t="str">
        <f>VLOOKUP(C293,'Task 2b Sample List'!I:K,3,FALSE)</f>
        <v>SHW-S50-P10-Day20-A</v>
      </c>
      <c r="G293" s="166" t="str">
        <f t="shared" si="15"/>
        <v>SHW-S50-P10-Day20</v>
      </c>
      <c r="H293" s="2" t="str">
        <f>VLOOKUP(C293,'Task 2b Sample List'!I:L,4,FALSE)</f>
        <v>A</v>
      </c>
      <c r="I293" t="s">
        <v>185</v>
      </c>
      <c r="J293" s="2">
        <v>50</v>
      </c>
      <c r="K293" s="2">
        <v>10</v>
      </c>
      <c r="L293" s="2">
        <v>20</v>
      </c>
      <c r="M293" s="7" t="s">
        <v>25</v>
      </c>
      <c r="N293" s="4" t="s">
        <v>489</v>
      </c>
      <c r="O293" s="5" t="s">
        <v>39</v>
      </c>
      <c r="P293" s="2" t="s">
        <v>489</v>
      </c>
    </row>
    <row r="294" spans="1:16" x14ac:dyDescent="0.25">
      <c r="A294" s="97" t="s">
        <v>80</v>
      </c>
      <c r="B294" s="1" t="s">
        <v>484</v>
      </c>
      <c r="C294" s="1" t="s">
        <v>484</v>
      </c>
      <c r="D294" s="2" t="s">
        <v>485</v>
      </c>
      <c r="E294" s="94" t="str">
        <f t="shared" si="13"/>
        <v>SHW-S50-P10-Day20-A:PFOS</v>
      </c>
      <c r="F294" s="2" t="str">
        <f>VLOOKUP(C294,'Task 2b Sample List'!I:K,3,FALSE)</f>
        <v>SHW-S50-P10-Day20-A</v>
      </c>
      <c r="G294" s="166" t="str">
        <f t="shared" si="15"/>
        <v>SHW-S50-P10-Day20</v>
      </c>
      <c r="H294" s="2" t="str">
        <f>VLOOKUP(C294,'Task 2b Sample List'!I:L,4,FALSE)</f>
        <v>A</v>
      </c>
      <c r="I294" t="s">
        <v>185</v>
      </c>
      <c r="J294" s="2">
        <v>50</v>
      </c>
      <c r="K294" s="2">
        <v>10</v>
      </c>
      <c r="L294" s="2">
        <v>20</v>
      </c>
      <c r="M294" s="7" t="s">
        <v>26</v>
      </c>
      <c r="N294" s="2" t="s">
        <v>490</v>
      </c>
      <c r="O294" s="3" t="s">
        <v>39</v>
      </c>
      <c r="P294" s="2" t="s">
        <v>490</v>
      </c>
    </row>
    <row r="295" spans="1:16" ht="15.75" thickBot="1" x14ac:dyDescent="0.3">
      <c r="A295" s="97" t="s">
        <v>80</v>
      </c>
      <c r="B295" s="1" t="s">
        <v>484</v>
      </c>
      <c r="C295" s="1" t="s">
        <v>484</v>
      </c>
      <c r="D295" s="2" t="s">
        <v>485</v>
      </c>
      <c r="E295" s="94" t="str">
        <f t="shared" si="13"/>
        <v>SHW-S50-P10-Day20-A:8:2FTS</v>
      </c>
      <c r="F295" s="2" t="str">
        <f>VLOOKUP(C295,'Task 2b Sample List'!I:K,3,FALSE)</f>
        <v>SHW-S50-P10-Day20-A</v>
      </c>
      <c r="G295" s="166" t="str">
        <f t="shared" si="15"/>
        <v>SHW-S50-P10-Day20</v>
      </c>
      <c r="H295" s="2" t="str">
        <f>VLOOKUP(C295,'Task 2b Sample List'!I:L,4,FALSE)</f>
        <v>A</v>
      </c>
      <c r="I295" t="s">
        <v>185</v>
      </c>
      <c r="J295" s="2">
        <v>50</v>
      </c>
      <c r="K295" s="2">
        <v>10</v>
      </c>
      <c r="L295" s="2">
        <v>20</v>
      </c>
      <c r="M295" s="8" t="s">
        <v>27</v>
      </c>
      <c r="N295" s="4" t="s">
        <v>491</v>
      </c>
      <c r="O295" s="5" t="s">
        <v>39</v>
      </c>
      <c r="P295" s="2" t="s">
        <v>491</v>
      </c>
    </row>
    <row r="296" spans="1:16" x14ac:dyDescent="0.25">
      <c r="A296" s="97" t="s">
        <v>80</v>
      </c>
      <c r="B296" s="1" t="s">
        <v>492</v>
      </c>
      <c r="C296" s="1" t="s">
        <v>492</v>
      </c>
      <c r="D296" s="2" t="s">
        <v>493</v>
      </c>
      <c r="E296" s="94" t="str">
        <f t="shared" si="13"/>
        <v>SHW-S50-P10-Day20-B:PFHxA</v>
      </c>
      <c r="F296" s="2" t="str">
        <f>VLOOKUP(C296,'Task 2b Sample List'!I:K,3,FALSE)</f>
        <v>SHW-S50-P10-Day20-B</v>
      </c>
      <c r="G296" s="166" t="str">
        <f t="shared" si="15"/>
        <v>SHW-S50-P10-Day20</v>
      </c>
      <c r="H296" s="2" t="str">
        <f>VLOOKUP(C296,'Task 2b Sample List'!I:L,4,FALSE)</f>
        <v>A</v>
      </c>
      <c r="I296" t="s">
        <v>185</v>
      </c>
      <c r="J296" s="2">
        <v>50</v>
      </c>
      <c r="K296" s="2">
        <v>10</v>
      </c>
      <c r="L296" s="2">
        <v>20</v>
      </c>
      <c r="M296" s="6" t="s">
        <v>22</v>
      </c>
      <c r="N296" s="2" t="s">
        <v>494</v>
      </c>
      <c r="O296" s="3" t="s">
        <v>39</v>
      </c>
      <c r="P296" s="2" t="s">
        <v>494</v>
      </c>
    </row>
    <row r="297" spans="1:16" x14ac:dyDescent="0.25">
      <c r="A297" s="97" t="s">
        <v>80</v>
      </c>
      <c r="B297" s="1" t="s">
        <v>492</v>
      </c>
      <c r="C297" s="1" t="s">
        <v>492</v>
      </c>
      <c r="D297" s="2" t="s">
        <v>493</v>
      </c>
      <c r="E297" s="94" t="str">
        <f t="shared" si="13"/>
        <v>SHW-S50-P10-Day20-B:PFOA</v>
      </c>
      <c r="F297" s="2" t="str">
        <f>VLOOKUP(C297,'Task 2b Sample List'!I:K,3,FALSE)</f>
        <v>SHW-S50-P10-Day20-B</v>
      </c>
      <c r="G297" s="166" t="str">
        <f t="shared" si="15"/>
        <v>SHW-S50-P10-Day20</v>
      </c>
      <c r="H297" s="2" t="str">
        <f>VLOOKUP(C297,'Task 2b Sample List'!I:L,4,FALSE)</f>
        <v>A</v>
      </c>
      <c r="I297" t="s">
        <v>185</v>
      </c>
      <c r="J297" s="2">
        <v>50</v>
      </c>
      <c r="K297" s="2">
        <v>10</v>
      </c>
      <c r="L297" s="2">
        <v>20</v>
      </c>
      <c r="M297" s="7" t="s">
        <v>23</v>
      </c>
      <c r="N297" s="4" t="s">
        <v>495</v>
      </c>
      <c r="O297" s="5" t="s">
        <v>39</v>
      </c>
      <c r="P297" s="2" t="s">
        <v>495</v>
      </c>
    </row>
    <row r="298" spans="1:16" x14ac:dyDescent="0.25">
      <c r="A298" s="97" t="s">
        <v>80</v>
      </c>
      <c r="B298" s="1" t="s">
        <v>492</v>
      </c>
      <c r="C298" s="1" t="s">
        <v>492</v>
      </c>
      <c r="D298" s="2" t="s">
        <v>493</v>
      </c>
      <c r="E298" s="94" t="str">
        <f t="shared" si="13"/>
        <v>SHW-S50-P10-Day20-B:PFNA</v>
      </c>
      <c r="F298" s="2" t="str">
        <f>VLOOKUP(C298,'Task 2b Sample List'!I:K,3,FALSE)</f>
        <v>SHW-S50-P10-Day20-B</v>
      </c>
      <c r="G298" s="166" t="str">
        <f t="shared" si="15"/>
        <v>SHW-S50-P10-Day20</v>
      </c>
      <c r="H298" s="2" t="str">
        <f>VLOOKUP(C298,'Task 2b Sample List'!I:L,4,FALSE)</f>
        <v>A</v>
      </c>
      <c r="I298" t="s">
        <v>185</v>
      </c>
      <c r="J298" s="2">
        <v>50</v>
      </c>
      <c r="K298" s="2">
        <v>10</v>
      </c>
      <c r="L298" s="2">
        <v>20</v>
      </c>
      <c r="M298" s="7" t="s">
        <v>24</v>
      </c>
      <c r="N298" s="2" t="s">
        <v>496</v>
      </c>
      <c r="O298" s="3" t="s">
        <v>39</v>
      </c>
      <c r="P298" s="2" t="s">
        <v>496</v>
      </c>
    </row>
    <row r="299" spans="1:16" x14ac:dyDescent="0.25">
      <c r="A299" s="97" t="s">
        <v>80</v>
      </c>
      <c r="B299" s="1" t="s">
        <v>492</v>
      </c>
      <c r="C299" s="1" t="s">
        <v>492</v>
      </c>
      <c r="D299" s="2" t="s">
        <v>493</v>
      </c>
      <c r="E299" s="94" t="str">
        <f t="shared" si="13"/>
        <v>SHW-S50-P10-Day20-B:PFBS</v>
      </c>
      <c r="F299" s="2" t="str">
        <f>VLOOKUP(C299,'Task 2b Sample List'!I:K,3,FALSE)</f>
        <v>SHW-S50-P10-Day20-B</v>
      </c>
      <c r="G299" s="166" t="str">
        <f t="shared" si="15"/>
        <v>SHW-S50-P10-Day20</v>
      </c>
      <c r="H299" s="2" t="str">
        <f>VLOOKUP(C299,'Task 2b Sample List'!I:L,4,FALSE)</f>
        <v>A</v>
      </c>
      <c r="I299" t="s">
        <v>185</v>
      </c>
      <c r="J299" s="2">
        <v>50</v>
      </c>
      <c r="K299" s="2">
        <v>10</v>
      </c>
      <c r="L299" s="2">
        <v>20</v>
      </c>
      <c r="M299" s="7" t="s">
        <v>25</v>
      </c>
      <c r="N299" s="4" t="s">
        <v>497</v>
      </c>
      <c r="O299" s="5" t="s">
        <v>39</v>
      </c>
      <c r="P299" s="2" t="s">
        <v>497</v>
      </c>
    </row>
    <row r="300" spans="1:16" x14ac:dyDescent="0.25">
      <c r="A300" s="97" t="s">
        <v>80</v>
      </c>
      <c r="B300" s="1" t="s">
        <v>492</v>
      </c>
      <c r="C300" s="1" t="s">
        <v>492</v>
      </c>
      <c r="D300" s="2" t="s">
        <v>493</v>
      </c>
      <c r="E300" s="94" t="str">
        <f t="shared" si="13"/>
        <v>SHW-S50-P10-Day20-B:PFOS</v>
      </c>
      <c r="F300" s="2" t="str">
        <f>VLOOKUP(C300,'Task 2b Sample List'!I:K,3,FALSE)</f>
        <v>SHW-S50-P10-Day20-B</v>
      </c>
      <c r="G300" s="166" t="str">
        <f t="shared" si="15"/>
        <v>SHW-S50-P10-Day20</v>
      </c>
      <c r="H300" s="2" t="str">
        <f>VLOOKUP(C300,'Task 2b Sample List'!I:L,4,FALSE)</f>
        <v>A</v>
      </c>
      <c r="I300" t="s">
        <v>185</v>
      </c>
      <c r="J300" s="2">
        <v>50</v>
      </c>
      <c r="K300" s="2">
        <v>10</v>
      </c>
      <c r="L300" s="2">
        <v>20</v>
      </c>
      <c r="M300" s="7" t="s">
        <v>26</v>
      </c>
      <c r="N300" s="2" t="s">
        <v>498</v>
      </c>
      <c r="O300" s="3" t="s">
        <v>39</v>
      </c>
      <c r="P300" s="2" t="s">
        <v>498</v>
      </c>
    </row>
    <row r="301" spans="1:16" ht="15.75" thickBot="1" x14ac:dyDescent="0.3">
      <c r="A301" s="97" t="s">
        <v>80</v>
      </c>
      <c r="B301" s="1" t="s">
        <v>492</v>
      </c>
      <c r="C301" s="1" t="s">
        <v>492</v>
      </c>
      <c r="D301" s="2" t="s">
        <v>493</v>
      </c>
      <c r="E301" s="94" t="str">
        <f t="shared" ref="E301:E364" si="16">F301&amp;":"&amp;M301</f>
        <v>SHW-S50-P10-Day20-B:8:2FTS</v>
      </c>
      <c r="F301" s="2" t="str">
        <f>VLOOKUP(C301,'Task 2b Sample List'!I:K,3,FALSE)</f>
        <v>SHW-S50-P10-Day20-B</v>
      </c>
      <c r="G301" s="166" t="str">
        <f t="shared" si="15"/>
        <v>SHW-S50-P10-Day20</v>
      </c>
      <c r="H301" s="2" t="str">
        <f>VLOOKUP(C301,'Task 2b Sample List'!I:L,4,FALSE)</f>
        <v>A</v>
      </c>
      <c r="I301" t="s">
        <v>185</v>
      </c>
      <c r="J301" s="2">
        <v>50</v>
      </c>
      <c r="K301" s="2">
        <v>10</v>
      </c>
      <c r="L301" s="2">
        <v>20</v>
      </c>
      <c r="M301" s="8" t="s">
        <v>27</v>
      </c>
      <c r="N301" s="4" t="s">
        <v>499</v>
      </c>
      <c r="O301" s="5" t="s">
        <v>39</v>
      </c>
      <c r="P301" s="2" t="s">
        <v>499</v>
      </c>
    </row>
    <row r="302" spans="1:16" x14ac:dyDescent="0.25">
      <c r="A302" s="97" t="s">
        <v>80</v>
      </c>
      <c r="B302" s="1" t="s">
        <v>500</v>
      </c>
      <c r="C302" s="1" t="s">
        <v>500</v>
      </c>
      <c r="D302" s="2" t="s">
        <v>501</v>
      </c>
      <c r="E302" s="94" t="str">
        <f t="shared" si="16"/>
        <v>SHW-S50-P10-Day20-C:PFHxA</v>
      </c>
      <c r="F302" s="2" t="str">
        <f>VLOOKUP(C302,'Task 2b Sample List'!I:K,3,FALSE)</f>
        <v>SHW-S50-P10-Day20-C</v>
      </c>
      <c r="G302" s="166" t="str">
        <f t="shared" si="15"/>
        <v>SHW-S50-P10-Day20</v>
      </c>
      <c r="H302" s="2" t="str">
        <f>VLOOKUP(C302,'Task 2b Sample List'!I:L,4,FALSE)</f>
        <v>A</v>
      </c>
      <c r="I302" t="s">
        <v>185</v>
      </c>
      <c r="J302" s="2">
        <v>50</v>
      </c>
      <c r="K302" s="2">
        <v>10</v>
      </c>
      <c r="L302" s="2">
        <v>20</v>
      </c>
      <c r="M302" s="6" t="s">
        <v>22</v>
      </c>
      <c r="N302" s="2" t="s">
        <v>502</v>
      </c>
      <c r="O302" s="3" t="s">
        <v>39</v>
      </c>
      <c r="P302" s="2" t="s">
        <v>502</v>
      </c>
    </row>
    <row r="303" spans="1:16" x14ac:dyDescent="0.25">
      <c r="A303" s="97" t="s">
        <v>80</v>
      </c>
      <c r="B303" s="1" t="s">
        <v>500</v>
      </c>
      <c r="C303" s="1" t="s">
        <v>500</v>
      </c>
      <c r="D303" s="2" t="s">
        <v>501</v>
      </c>
      <c r="E303" s="94" t="str">
        <f t="shared" si="16"/>
        <v>SHW-S50-P10-Day20-C:PFOA</v>
      </c>
      <c r="F303" s="2" t="str">
        <f>VLOOKUP(C303,'Task 2b Sample List'!I:K,3,FALSE)</f>
        <v>SHW-S50-P10-Day20-C</v>
      </c>
      <c r="G303" s="166" t="str">
        <f t="shared" si="15"/>
        <v>SHW-S50-P10-Day20</v>
      </c>
      <c r="H303" s="2" t="str">
        <f>VLOOKUP(C303,'Task 2b Sample List'!I:L,4,FALSE)</f>
        <v>A</v>
      </c>
      <c r="I303" t="s">
        <v>185</v>
      </c>
      <c r="J303" s="2">
        <v>50</v>
      </c>
      <c r="K303" s="2">
        <v>10</v>
      </c>
      <c r="L303" s="2">
        <v>20</v>
      </c>
      <c r="M303" s="7" t="s">
        <v>23</v>
      </c>
      <c r="N303" s="4" t="s">
        <v>503</v>
      </c>
      <c r="O303" s="5" t="s">
        <v>39</v>
      </c>
      <c r="P303" s="2" t="s">
        <v>503</v>
      </c>
    </row>
    <row r="304" spans="1:16" x14ac:dyDescent="0.25">
      <c r="A304" s="97" t="s">
        <v>80</v>
      </c>
      <c r="B304" s="1" t="s">
        <v>500</v>
      </c>
      <c r="C304" s="1" t="s">
        <v>500</v>
      </c>
      <c r="D304" s="2" t="s">
        <v>501</v>
      </c>
      <c r="E304" s="94" t="str">
        <f t="shared" si="16"/>
        <v>SHW-S50-P10-Day20-C:PFNA</v>
      </c>
      <c r="F304" s="2" t="str">
        <f>VLOOKUP(C304,'Task 2b Sample List'!I:K,3,FALSE)</f>
        <v>SHW-S50-P10-Day20-C</v>
      </c>
      <c r="G304" s="166" t="str">
        <f t="shared" si="15"/>
        <v>SHW-S50-P10-Day20</v>
      </c>
      <c r="H304" s="2" t="str">
        <f>VLOOKUP(C304,'Task 2b Sample List'!I:L,4,FALSE)</f>
        <v>A</v>
      </c>
      <c r="I304" t="s">
        <v>185</v>
      </c>
      <c r="J304" s="2">
        <v>50</v>
      </c>
      <c r="K304" s="2">
        <v>10</v>
      </c>
      <c r="L304" s="2">
        <v>20</v>
      </c>
      <c r="M304" s="7" t="s">
        <v>24</v>
      </c>
      <c r="N304" s="2" t="s">
        <v>504</v>
      </c>
      <c r="O304" s="3" t="s">
        <v>39</v>
      </c>
      <c r="P304" s="2" t="s">
        <v>504</v>
      </c>
    </row>
    <row r="305" spans="1:16" x14ac:dyDescent="0.25">
      <c r="A305" s="97" t="s">
        <v>80</v>
      </c>
      <c r="B305" s="1" t="s">
        <v>500</v>
      </c>
      <c r="C305" s="1" t="s">
        <v>500</v>
      </c>
      <c r="D305" s="2" t="s">
        <v>501</v>
      </c>
      <c r="E305" s="94" t="str">
        <f t="shared" si="16"/>
        <v>SHW-S50-P10-Day20-C:PFBS</v>
      </c>
      <c r="F305" s="2" t="str">
        <f>VLOOKUP(C305,'Task 2b Sample List'!I:K,3,FALSE)</f>
        <v>SHW-S50-P10-Day20-C</v>
      </c>
      <c r="G305" s="166" t="str">
        <f t="shared" si="15"/>
        <v>SHW-S50-P10-Day20</v>
      </c>
      <c r="H305" s="2" t="str">
        <f>VLOOKUP(C305,'Task 2b Sample List'!I:L,4,FALSE)</f>
        <v>A</v>
      </c>
      <c r="I305" t="s">
        <v>185</v>
      </c>
      <c r="J305" s="2">
        <v>50</v>
      </c>
      <c r="K305" s="2">
        <v>10</v>
      </c>
      <c r="L305" s="2">
        <v>20</v>
      </c>
      <c r="M305" s="7" t="s">
        <v>25</v>
      </c>
      <c r="N305" s="4" t="s">
        <v>505</v>
      </c>
      <c r="O305" s="5" t="s">
        <v>39</v>
      </c>
      <c r="P305" s="2" t="s">
        <v>505</v>
      </c>
    </row>
    <row r="306" spans="1:16" x14ac:dyDescent="0.25">
      <c r="A306" s="97" t="s">
        <v>80</v>
      </c>
      <c r="B306" s="1" t="s">
        <v>500</v>
      </c>
      <c r="C306" s="1" t="s">
        <v>500</v>
      </c>
      <c r="D306" s="2" t="s">
        <v>501</v>
      </c>
      <c r="E306" s="94" t="str">
        <f t="shared" si="16"/>
        <v>SHW-S50-P10-Day20-C:PFOS</v>
      </c>
      <c r="F306" s="2" t="str">
        <f>VLOOKUP(C306,'Task 2b Sample List'!I:K,3,FALSE)</f>
        <v>SHW-S50-P10-Day20-C</v>
      </c>
      <c r="G306" s="166" t="str">
        <f t="shared" si="15"/>
        <v>SHW-S50-P10-Day20</v>
      </c>
      <c r="H306" s="2" t="str">
        <f>VLOOKUP(C306,'Task 2b Sample List'!I:L,4,FALSE)</f>
        <v>A</v>
      </c>
      <c r="I306" t="s">
        <v>185</v>
      </c>
      <c r="J306" s="2">
        <v>50</v>
      </c>
      <c r="K306" s="2">
        <v>10</v>
      </c>
      <c r="L306" s="2">
        <v>20</v>
      </c>
      <c r="M306" s="7" t="s">
        <v>26</v>
      </c>
      <c r="N306" s="2" t="s">
        <v>506</v>
      </c>
      <c r="O306" s="3" t="s">
        <v>39</v>
      </c>
      <c r="P306" s="2" t="s">
        <v>506</v>
      </c>
    </row>
    <row r="307" spans="1:16" ht="15.75" thickBot="1" x14ac:dyDescent="0.3">
      <c r="A307" s="97" t="s">
        <v>80</v>
      </c>
      <c r="B307" s="1" t="s">
        <v>500</v>
      </c>
      <c r="C307" s="1" t="s">
        <v>500</v>
      </c>
      <c r="D307" s="2" t="s">
        <v>501</v>
      </c>
      <c r="E307" s="94" t="str">
        <f t="shared" si="16"/>
        <v>SHW-S50-P10-Day20-C:8:2FTS</v>
      </c>
      <c r="F307" s="2" t="str">
        <f>VLOOKUP(C307,'Task 2b Sample List'!I:K,3,FALSE)</f>
        <v>SHW-S50-P10-Day20-C</v>
      </c>
      <c r="G307" s="166" t="str">
        <f>LEFT(F307,17)</f>
        <v>SHW-S50-P10-Day20</v>
      </c>
      <c r="H307" s="2" t="str">
        <f>VLOOKUP(C307,'Task 2b Sample List'!I:L,4,FALSE)</f>
        <v>A</v>
      </c>
      <c r="I307" t="s">
        <v>185</v>
      </c>
      <c r="J307" s="2">
        <v>50</v>
      </c>
      <c r="K307" s="2">
        <v>10</v>
      </c>
      <c r="L307" s="2">
        <v>20</v>
      </c>
      <c r="M307" s="8" t="s">
        <v>27</v>
      </c>
      <c r="N307" s="4" t="s">
        <v>507</v>
      </c>
      <c r="O307" s="5" t="s">
        <v>39</v>
      </c>
      <c r="P307" s="2" t="s">
        <v>507</v>
      </c>
    </row>
    <row r="308" spans="1:16" x14ac:dyDescent="0.25">
      <c r="A308" s="97" t="s">
        <v>80</v>
      </c>
      <c r="B308" s="1" t="s">
        <v>508</v>
      </c>
      <c r="C308" s="1" t="s">
        <v>508</v>
      </c>
      <c r="D308" s="2" t="s">
        <v>509</v>
      </c>
      <c r="E308" s="94" t="str">
        <f t="shared" si="16"/>
        <v>SHW-S50-P50-Day20-A:PFHxA</v>
      </c>
      <c r="F308" s="2" t="str">
        <f>VLOOKUP(C308,'Task 2b Sample List'!I:K,3,FALSE)</f>
        <v>SHW-S50-P50-Day20-A</v>
      </c>
      <c r="G308" s="166" t="str">
        <f t="shared" ref="G308:G325" si="17">LEFT(F308,17)</f>
        <v>SHW-S50-P50-Day20</v>
      </c>
      <c r="H308" s="2" t="str">
        <f>VLOOKUP(C308,'Task 2b Sample List'!I:L,4,FALSE)</f>
        <v>A</v>
      </c>
      <c r="I308" t="s">
        <v>185</v>
      </c>
      <c r="J308" s="2">
        <v>50</v>
      </c>
      <c r="K308" s="2">
        <v>50</v>
      </c>
      <c r="L308" s="2">
        <v>20</v>
      </c>
      <c r="M308" s="6" t="s">
        <v>22</v>
      </c>
      <c r="N308" s="2" t="s">
        <v>444</v>
      </c>
      <c r="O308" s="3" t="s">
        <v>39</v>
      </c>
      <c r="P308" s="2" t="s">
        <v>444</v>
      </c>
    </row>
    <row r="309" spans="1:16" x14ac:dyDescent="0.25">
      <c r="A309" s="97" t="s">
        <v>80</v>
      </c>
      <c r="B309" s="1" t="s">
        <v>508</v>
      </c>
      <c r="C309" s="1" t="s">
        <v>508</v>
      </c>
      <c r="D309" s="2" t="s">
        <v>509</v>
      </c>
      <c r="E309" s="94" t="str">
        <f t="shared" si="16"/>
        <v>SHW-S50-P50-Day20-A:PFOA</v>
      </c>
      <c r="F309" s="2" t="str">
        <f>VLOOKUP(C309,'Task 2b Sample List'!I:K,3,FALSE)</f>
        <v>SHW-S50-P50-Day20-A</v>
      </c>
      <c r="G309" s="166" t="str">
        <f t="shared" si="17"/>
        <v>SHW-S50-P50-Day20</v>
      </c>
      <c r="H309" s="2" t="str">
        <f>VLOOKUP(C309,'Task 2b Sample List'!I:L,4,FALSE)</f>
        <v>A</v>
      </c>
      <c r="I309" t="s">
        <v>185</v>
      </c>
      <c r="J309" s="2">
        <v>50</v>
      </c>
      <c r="K309" s="2">
        <v>50</v>
      </c>
      <c r="L309" s="2">
        <v>20</v>
      </c>
      <c r="M309" s="7" t="s">
        <v>23</v>
      </c>
      <c r="N309" s="4" t="s">
        <v>510</v>
      </c>
      <c r="O309" s="5" t="s">
        <v>39</v>
      </c>
      <c r="P309" s="2" t="s">
        <v>510</v>
      </c>
    </row>
    <row r="310" spans="1:16" x14ac:dyDescent="0.25">
      <c r="A310" s="97" t="s">
        <v>80</v>
      </c>
      <c r="B310" s="1" t="s">
        <v>508</v>
      </c>
      <c r="C310" s="1" t="s">
        <v>508</v>
      </c>
      <c r="D310" s="2" t="s">
        <v>509</v>
      </c>
      <c r="E310" s="94" t="str">
        <f t="shared" si="16"/>
        <v>SHW-S50-P50-Day20-A:PFNA</v>
      </c>
      <c r="F310" s="2" t="str">
        <f>VLOOKUP(C310,'Task 2b Sample List'!I:K,3,FALSE)</f>
        <v>SHW-S50-P50-Day20-A</v>
      </c>
      <c r="G310" s="166" t="str">
        <f t="shared" si="17"/>
        <v>SHW-S50-P50-Day20</v>
      </c>
      <c r="H310" s="2" t="str">
        <f>VLOOKUP(C310,'Task 2b Sample List'!I:L,4,FALSE)</f>
        <v>A</v>
      </c>
      <c r="I310" t="s">
        <v>185</v>
      </c>
      <c r="J310" s="2">
        <v>50</v>
      </c>
      <c r="K310" s="2">
        <v>50</v>
      </c>
      <c r="L310" s="2">
        <v>20</v>
      </c>
      <c r="M310" s="7" t="s">
        <v>24</v>
      </c>
      <c r="N310" s="2" t="s">
        <v>511</v>
      </c>
      <c r="O310" s="3" t="s">
        <v>39</v>
      </c>
      <c r="P310" s="2" t="s">
        <v>511</v>
      </c>
    </row>
    <row r="311" spans="1:16" x14ac:dyDescent="0.25">
      <c r="A311" s="97" t="s">
        <v>80</v>
      </c>
      <c r="B311" s="1" t="s">
        <v>508</v>
      </c>
      <c r="C311" s="1" t="s">
        <v>508</v>
      </c>
      <c r="D311" s="2" t="s">
        <v>509</v>
      </c>
      <c r="E311" s="94" t="str">
        <f t="shared" si="16"/>
        <v>SHW-S50-P50-Day20-A:PFBS</v>
      </c>
      <c r="F311" s="2" t="str">
        <f>VLOOKUP(C311,'Task 2b Sample List'!I:K,3,FALSE)</f>
        <v>SHW-S50-P50-Day20-A</v>
      </c>
      <c r="G311" s="166" t="str">
        <f t="shared" si="17"/>
        <v>SHW-S50-P50-Day20</v>
      </c>
      <c r="H311" s="2" t="str">
        <f>VLOOKUP(C311,'Task 2b Sample List'!I:L,4,FALSE)</f>
        <v>A</v>
      </c>
      <c r="I311" t="s">
        <v>185</v>
      </c>
      <c r="J311" s="2">
        <v>50</v>
      </c>
      <c r="K311" s="2">
        <v>50</v>
      </c>
      <c r="L311" s="2">
        <v>20</v>
      </c>
      <c r="M311" s="7" t="s">
        <v>25</v>
      </c>
      <c r="N311" s="4" t="s">
        <v>512</v>
      </c>
      <c r="O311" s="5" t="s">
        <v>39</v>
      </c>
      <c r="P311" s="2" t="s">
        <v>512</v>
      </c>
    </row>
    <row r="312" spans="1:16" x14ac:dyDescent="0.25">
      <c r="A312" s="97" t="s">
        <v>80</v>
      </c>
      <c r="B312" s="1" t="s">
        <v>508</v>
      </c>
      <c r="C312" s="1" t="s">
        <v>508</v>
      </c>
      <c r="D312" s="2" t="s">
        <v>509</v>
      </c>
      <c r="E312" s="94" t="str">
        <f t="shared" si="16"/>
        <v>SHW-S50-P50-Day20-A:PFOS</v>
      </c>
      <c r="F312" s="2" t="str">
        <f>VLOOKUP(C312,'Task 2b Sample List'!I:K,3,FALSE)</f>
        <v>SHW-S50-P50-Day20-A</v>
      </c>
      <c r="G312" s="166" t="str">
        <f t="shared" si="17"/>
        <v>SHW-S50-P50-Day20</v>
      </c>
      <c r="H312" s="2" t="str">
        <f>VLOOKUP(C312,'Task 2b Sample List'!I:L,4,FALSE)</f>
        <v>A</v>
      </c>
      <c r="I312" t="s">
        <v>185</v>
      </c>
      <c r="J312" s="2">
        <v>50</v>
      </c>
      <c r="K312" s="2">
        <v>50</v>
      </c>
      <c r="L312" s="2">
        <v>20</v>
      </c>
      <c r="M312" s="7" t="s">
        <v>26</v>
      </c>
      <c r="N312" s="2" t="s">
        <v>298</v>
      </c>
      <c r="O312" s="3" t="s">
        <v>39</v>
      </c>
      <c r="P312" s="2" t="s">
        <v>298</v>
      </c>
    </row>
    <row r="313" spans="1:16" ht="15.75" thickBot="1" x14ac:dyDescent="0.3">
      <c r="A313" s="97" t="s">
        <v>80</v>
      </c>
      <c r="B313" s="1" t="s">
        <v>508</v>
      </c>
      <c r="C313" s="1" t="s">
        <v>508</v>
      </c>
      <c r="D313" s="2" t="s">
        <v>509</v>
      </c>
      <c r="E313" s="94" t="str">
        <f t="shared" si="16"/>
        <v>SHW-S50-P50-Day20-A:8:2FTS</v>
      </c>
      <c r="F313" s="2" t="str">
        <f>VLOOKUP(C313,'Task 2b Sample List'!I:K,3,FALSE)</f>
        <v>SHW-S50-P50-Day20-A</v>
      </c>
      <c r="G313" s="166" t="str">
        <f t="shared" si="17"/>
        <v>SHW-S50-P50-Day20</v>
      </c>
      <c r="H313" s="2" t="str">
        <f>VLOOKUP(C313,'Task 2b Sample List'!I:L,4,FALSE)</f>
        <v>A</v>
      </c>
      <c r="I313" t="s">
        <v>185</v>
      </c>
      <c r="J313" s="2">
        <v>50</v>
      </c>
      <c r="K313" s="2">
        <v>50</v>
      </c>
      <c r="L313" s="2">
        <v>20</v>
      </c>
      <c r="M313" s="8" t="s">
        <v>27</v>
      </c>
      <c r="N313" s="4" t="s">
        <v>513</v>
      </c>
      <c r="O313" s="5" t="s">
        <v>39</v>
      </c>
      <c r="P313" s="2" t="s">
        <v>513</v>
      </c>
    </row>
    <row r="314" spans="1:16" x14ac:dyDescent="0.25">
      <c r="A314" s="98" t="s">
        <v>81</v>
      </c>
      <c r="B314" s="1" t="s">
        <v>514</v>
      </c>
      <c r="C314" s="1" t="s">
        <v>514</v>
      </c>
      <c r="D314" s="2" t="s">
        <v>515</v>
      </c>
      <c r="E314" s="94" t="str">
        <f t="shared" si="16"/>
        <v>SHW-S50-P50-Day20-B:PFHxA</v>
      </c>
      <c r="F314" s="2" t="str">
        <f>VLOOKUP(C314,'Task 2b Sample List'!I:K,3,FALSE)</f>
        <v>SHW-S50-P50-Day20-B</v>
      </c>
      <c r="G314" s="166" t="str">
        <f t="shared" si="17"/>
        <v>SHW-S50-P50-Day20</v>
      </c>
      <c r="H314" s="2" t="str">
        <f>VLOOKUP(C314,'Task 2b Sample List'!I:L,4,FALSE)</f>
        <v>A</v>
      </c>
      <c r="I314" t="s">
        <v>185</v>
      </c>
      <c r="J314" s="2">
        <v>50</v>
      </c>
      <c r="K314" s="2">
        <v>50</v>
      </c>
      <c r="L314" s="2">
        <v>20</v>
      </c>
      <c r="M314" s="6" t="s">
        <v>22</v>
      </c>
      <c r="N314" s="2" t="s">
        <v>516</v>
      </c>
      <c r="O314" s="3" t="s">
        <v>39</v>
      </c>
      <c r="P314" s="2" t="s">
        <v>516</v>
      </c>
    </row>
    <row r="315" spans="1:16" x14ac:dyDescent="0.25">
      <c r="A315" s="98" t="s">
        <v>81</v>
      </c>
      <c r="B315" s="1" t="s">
        <v>514</v>
      </c>
      <c r="C315" s="1" t="s">
        <v>514</v>
      </c>
      <c r="D315" s="2" t="s">
        <v>515</v>
      </c>
      <c r="E315" s="94" t="str">
        <f t="shared" si="16"/>
        <v>SHW-S50-P50-Day20-B:PFOA</v>
      </c>
      <c r="F315" s="2" t="str">
        <f>VLOOKUP(C315,'Task 2b Sample List'!I:K,3,FALSE)</f>
        <v>SHW-S50-P50-Day20-B</v>
      </c>
      <c r="G315" s="166" t="str">
        <f t="shared" si="17"/>
        <v>SHW-S50-P50-Day20</v>
      </c>
      <c r="H315" s="2" t="str">
        <f>VLOOKUP(C315,'Task 2b Sample List'!I:L,4,FALSE)</f>
        <v>A</v>
      </c>
      <c r="I315" t="s">
        <v>185</v>
      </c>
      <c r="J315" s="2">
        <v>50</v>
      </c>
      <c r="K315" s="2">
        <v>50</v>
      </c>
      <c r="L315" s="2">
        <v>20</v>
      </c>
      <c r="M315" s="7" t="s">
        <v>23</v>
      </c>
      <c r="N315" s="4" t="s">
        <v>517</v>
      </c>
      <c r="O315" s="5" t="s">
        <v>39</v>
      </c>
      <c r="P315" s="2" t="s">
        <v>517</v>
      </c>
    </row>
    <row r="316" spans="1:16" x14ac:dyDescent="0.25">
      <c r="A316" s="98" t="s">
        <v>81</v>
      </c>
      <c r="B316" s="1" t="s">
        <v>514</v>
      </c>
      <c r="C316" s="1" t="s">
        <v>514</v>
      </c>
      <c r="D316" s="2" t="s">
        <v>515</v>
      </c>
      <c r="E316" s="94" t="str">
        <f t="shared" si="16"/>
        <v>SHW-S50-P50-Day20-B:PFNA</v>
      </c>
      <c r="F316" s="2" t="str">
        <f>VLOOKUP(C316,'Task 2b Sample List'!I:K,3,FALSE)</f>
        <v>SHW-S50-P50-Day20-B</v>
      </c>
      <c r="G316" s="166" t="str">
        <f t="shared" si="17"/>
        <v>SHW-S50-P50-Day20</v>
      </c>
      <c r="H316" s="2" t="str">
        <f>VLOOKUP(C316,'Task 2b Sample List'!I:L,4,FALSE)</f>
        <v>A</v>
      </c>
      <c r="I316" t="s">
        <v>185</v>
      </c>
      <c r="J316" s="2">
        <v>50</v>
      </c>
      <c r="K316" s="2">
        <v>50</v>
      </c>
      <c r="L316" s="2">
        <v>20</v>
      </c>
      <c r="M316" s="7" t="s">
        <v>24</v>
      </c>
      <c r="N316" s="2" t="s">
        <v>518</v>
      </c>
      <c r="O316" s="3" t="s">
        <v>39</v>
      </c>
      <c r="P316" s="2" t="s">
        <v>518</v>
      </c>
    </row>
    <row r="317" spans="1:16" x14ac:dyDescent="0.25">
      <c r="A317" s="98" t="s">
        <v>81</v>
      </c>
      <c r="B317" s="1" t="s">
        <v>514</v>
      </c>
      <c r="C317" s="1" t="s">
        <v>514</v>
      </c>
      <c r="D317" s="2" t="s">
        <v>515</v>
      </c>
      <c r="E317" s="94" t="str">
        <f t="shared" si="16"/>
        <v>SHW-S50-P50-Day20-B:PFBS</v>
      </c>
      <c r="F317" s="2" t="str">
        <f>VLOOKUP(C317,'Task 2b Sample List'!I:K,3,FALSE)</f>
        <v>SHW-S50-P50-Day20-B</v>
      </c>
      <c r="G317" s="166" t="str">
        <f t="shared" si="17"/>
        <v>SHW-S50-P50-Day20</v>
      </c>
      <c r="H317" s="2" t="str">
        <f>VLOOKUP(C317,'Task 2b Sample List'!I:L,4,FALSE)</f>
        <v>A</v>
      </c>
      <c r="I317" t="s">
        <v>185</v>
      </c>
      <c r="J317" s="2">
        <v>50</v>
      </c>
      <c r="K317" s="2">
        <v>50</v>
      </c>
      <c r="L317" s="2">
        <v>20</v>
      </c>
      <c r="M317" s="7" t="s">
        <v>25</v>
      </c>
      <c r="N317" s="4" t="s">
        <v>519</v>
      </c>
      <c r="O317" s="5" t="s">
        <v>39</v>
      </c>
      <c r="P317" s="2" t="s">
        <v>519</v>
      </c>
    </row>
    <row r="318" spans="1:16" x14ac:dyDescent="0.25">
      <c r="A318" s="98" t="s">
        <v>81</v>
      </c>
      <c r="B318" s="1" t="s">
        <v>514</v>
      </c>
      <c r="C318" s="1" t="s">
        <v>514</v>
      </c>
      <c r="D318" s="2" t="s">
        <v>515</v>
      </c>
      <c r="E318" s="94" t="str">
        <f t="shared" si="16"/>
        <v>SHW-S50-P50-Day20-B:PFOS</v>
      </c>
      <c r="F318" s="2" t="str">
        <f>VLOOKUP(C318,'Task 2b Sample List'!I:K,3,FALSE)</f>
        <v>SHW-S50-P50-Day20-B</v>
      </c>
      <c r="G318" s="166" t="str">
        <f t="shared" si="17"/>
        <v>SHW-S50-P50-Day20</v>
      </c>
      <c r="H318" s="2" t="str">
        <f>VLOOKUP(C318,'Task 2b Sample List'!I:L,4,FALSE)</f>
        <v>A</v>
      </c>
      <c r="I318" t="s">
        <v>185</v>
      </c>
      <c r="J318" s="2">
        <v>50</v>
      </c>
      <c r="K318" s="2">
        <v>50</v>
      </c>
      <c r="L318" s="2">
        <v>20</v>
      </c>
      <c r="M318" s="7" t="s">
        <v>26</v>
      </c>
      <c r="N318" s="2" t="s">
        <v>520</v>
      </c>
      <c r="O318" s="3" t="s">
        <v>39</v>
      </c>
      <c r="P318" s="2" t="s">
        <v>520</v>
      </c>
    </row>
    <row r="319" spans="1:16" ht="15.75" thickBot="1" x14ac:dyDescent="0.3">
      <c r="A319" s="98" t="s">
        <v>81</v>
      </c>
      <c r="B319" s="1" t="s">
        <v>514</v>
      </c>
      <c r="C319" s="1" t="s">
        <v>514</v>
      </c>
      <c r="D319" s="2" t="s">
        <v>515</v>
      </c>
      <c r="E319" s="94" t="str">
        <f t="shared" si="16"/>
        <v>SHW-S50-P50-Day20-B:8:2FTS</v>
      </c>
      <c r="F319" s="2" t="str">
        <f>VLOOKUP(C319,'Task 2b Sample List'!I:K,3,FALSE)</f>
        <v>SHW-S50-P50-Day20-B</v>
      </c>
      <c r="G319" s="166" t="str">
        <f t="shared" si="17"/>
        <v>SHW-S50-P50-Day20</v>
      </c>
      <c r="H319" s="2" t="str">
        <f>VLOOKUP(C319,'Task 2b Sample List'!I:L,4,FALSE)</f>
        <v>A</v>
      </c>
      <c r="I319" t="s">
        <v>185</v>
      </c>
      <c r="J319" s="2">
        <v>50</v>
      </c>
      <c r="K319" s="2">
        <v>50</v>
      </c>
      <c r="L319" s="2">
        <v>20</v>
      </c>
      <c r="M319" s="8" t="s">
        <v>27</v>
      </c>
      <c r="N319" s="4" t="s">
        <v>420</v>
      </c>
      <c r="O319" s="5" t="s">
        <v>39</v>
      </c>
      <c r="P319" s="2" t="s">
        <v>420</v>
      </c>
    </row>
    <row r="320" spans="1:16" x14ac:dyDescent="0.25">
      <c r="A320" s="98" t="s">
        <v>81</v>
      </c>
      <c r="B320" s="1" t="s">
        <v>521</v>
      </c>
      <c r="C320" s="1" t="s">
        <v>521</v>
      </c>
      <c r="D320" s="2" t="s">
        <v>522</v>
      </c>
      <c r="E320" s="94" t="str">
        <f t="shared" si="16"/>
        <v>SHW-S50-P50-Day20-C:PFHxA</v>
      </c>
      <c r="F320" s="2" t="str">
        <f>VLOOKUP(C320,'Task 2b Sample List'!I:K,3,FALSE)</f>
        <v>SHW-S50-P50-Day20-C</v>
      </c>
      <c r="G320" s="166" t="str">
        <f t="shared" si="17"/>
        <v>SHW-S50-P50-Day20</v>
      </c>
      <c r="H320" s="2" t="str">
        <f>VLOOKUP(C320,'Task 2b Sample List'!I:L,4,FALSE)</f>
        <v>A</v>
      </c>
      <c r="I320" t="s">
        <v>185</v>
      </c>
      <c r="J320" s="2">
        <v>50</v>
      </c>
      <c r="K320" s="2">
        <v>50</v>
      </c>
      <c r="L320" s="2">
        <v>20</v>
      </c>
      <c r="M320" s="6" t="s">
        <v>22</v>
      </c>
      <c r="N320" s="2" t="s">
        <v>523</v>
      </c>
      <c r="O320" s="3" t="s">
        <v>39</v>
      </c>
      <c r="P320" s="2" t="s">
        <v>523</v>
      </c>
    </row>
    <row r="321" spans="1:16" x14ac:dyDescent="0.25">
      <c r="A321" s="98" t="s">
        <v>81</v>
      </c>
      <c r="B321" s="1" t="s">
        <v>521</v>
      </c>
      <c r="C321" s="1" t="s">
        <v>521</v>
      </c>
      <c r="D321" s="2" t="s">
        <v>522</v>
      </c>
      <c r="E321" s="94" t="str">
        <f t="shared" si="16"/>
        <v>SHW-S50-P50-Day20-C:PFOA</v>
      </c>
      <c r="F321" s="2" t="str">
        <f>VLOOKUP(C321,'Task 2b Sample List'!I:K,3,FALSE)</f>
        <v>SHW-S50-P50-Day20-C</v>
      </c>
      <c r="G321" s="166" t="str">
        <f t="shared" si="17"/>
        <v>SHW-S50-P50-Day20</v>
      </c>
      <c r="H321" s="2" t="str">
        <f>VLOOKUP(C321,'Task 2b Sample List'!I:L,4,FALSE)</f>
        <v>A</v>
      </c>
      <c r="I321" t="s">
        <v>185</v>
      </c>
      <c r="J321" s="2">
        <v>50</v>
      </c>
      <c r="K321" s="2">
        <v>50</v>
      </c>
      <c r="L321" s="2">
        <v>20</v>
      </c>
      <c r="M321" s="7" t="s">
        <v>23</v>
      </c>
      <c r="N321" s="4" t="s">
        <v>524</v>
      </c>
      <c r="O321" s="5" t="s">
        <v>39</v>
      </c>
      <c r="P321" s="2" t="s">
        <v>524</v>
      </c>
    </row>
    <row r="322" spans="1:16" x14ac:dyDescent="0.25">
      <c r="A322" s="98" t="s">
        <v>81</v>
      </c>
      <c r="B322" s="1" t="s">
        <v>521</v>
      </c>
      <c r="C322" s="1" t="s">
        <v>521</v>
      </c>
      <c r="D322" s="2" t="s">
        <v>522</v>
      </c>
      <c r="E322" s="94" t="str">
        <f t="shared" si="16"/>
        <v>SHW-S50-P50-Day20-C:PFNA</v>
      </c>
      <c r="F322" s="2" t="str">
        <f>VLOOKUP(C322,'Task 2b Sample List'!I:K,3,FALSE)</f>
        <v>SHW-S50-P50-Day20-C</v>
      </c>
      <c r="G322" s="166" t="str">
        <f t="shared" si="17"/>
        <v>SHW-S50-P50-Day20</v>
      </c>
      <c r="H322" s="2" t="str">
        <f>VLOOKUP(C322,'Task 2b Sample List'!I:L,4,FALSE)</f>
        <v>A</v>
      </c>
      <c r="I322" t="s">
        <v>185</v>
      </c>
      <c r="J322" s="2">
        <v>50</v>
      </c>
      <c r="K322" s="2">
        <v>50</v>
      </c>
      <c r="L322" s="2">
        <v>20</v>
      </c>
      <c r="M322" s="7" t="s">
        <v>24</v>
      </c>
      <c r="N322" s="2" t="s">
        <v>525</v>
      </c>
      <c r="O322" s="3" t="s">
        <v>39</v>
      </c>
      <c r="P322" s="2" t="s">
        <v>525</v>
      </c>
    </row>
    <row r="323" spans="1:16" x14ac:dyDescent="0.25">
      <c r="A323" s="98" t="s">
        <v>81</v>
      </c>
      <c r="B323" s="1" t="s">
        <v>521</v>
      </c>
      <c r="C323" s="1" t="s">
        <v>521</v>
      </c>
      <c r="D323" s="2" t="s">
        <v>522</v>
      </c>
      <c r="E323" s="94" t="str">
        <f t="shared" si="16"/>
        <v>SHW-S50-P50-Day20-C:PFBS</v>
      </c>
      <c r="F323" s="2" t="str">
        <f>VLOOKUP(C323,'Task 2b Sample List'!I:K,3,FALSE)</f>
        <v>SHW-S50-P50-Day20-C</v>
      </c>
      <c r="G323" s="166" t="str">
        <f t="shared" si="17"/>
        <v>SHW-S50-P50-Day20</v>
      </c>
      <c r="H323" s="2" t="str">
        <f>VLOOKUP(C323,'Task 2b Sample List'!I:L,4,FALSE)</f>
        <v>A</v>
      </c>
      <c r="I323" t="s">
        <v>185</v>
      </c>
      <c r="J323" s="2">
        <v>50</v>
      </c>
      <c r="K323" s="2">
        <v>50</v>
      </c>
      <c r="L323" s="2">
        <v>20</v>
      </c>
      <c r="M323" s="7" t="s">
        <v>25</v>
      </c>
      <c r="N323" s="4" t="s">
        <v>526</v>
      </c>
      <c r="O323" s="5" t="s">
        <v>39</v>
      </c>
      <c r="P323" s="2" t="s">
        <v>526</v>
      </c>
    </row>
    <row r="324" spans="1:16" x14ac:dyDescent="0.25">
      <c r="A324" s="98" t="s">
        <v>81</v>
      </c>
      <c r="B324" s="1" t="s">
        <v>521</v>
      </c>
      <c r="C324" s="1" t="s">
        <v>521</v>
      </c>
      <c r="D324" s="2" t="s">
        <v>522</v>
      </c>
      <c r="E324" s="94" t="str">
        <f t="shared" si="16"/>
        <v>SHW-S50-P50-Day20-C:PFOS</v>
      </c>
      <c r="F324" s="2" t="str">
        <f>VLOOKUP(C324,'Task 2b Sample List'!I:K,3,FALSE)</f>
        <v>SHW-S50-P50-Day20-C</v>
      </c>
      <c r="G324" s="166" t="str">
        <f t="shared" si="17"/>
        <v>SHW-S50-P50-Day20</v>
      </c>
      <c r="H324" s="2" t="str">
        <f>VLOOKUP(C324,'Task 2b Sample List'!I:L,4,FALSE)</f>
        <v>A</v>
      </c>
      <c r="I324" t="s">
        <v>185</v>
      </c>
      <c r="J324" s="2">
        <v>50</v>
      </c>
      <c r="K324" s="2">
        <v>50</v>
      </c>
      <c r="L324" s="2">
        <v>20</v>
      </c>
      <c r="M324" s="7" t="s">
        <v>26</v>
      </c>
      <c r="N324" s="2" t="s">
        <v>513</v>
      </c>
      <c r="O324" s="3" t="s">
        <v>39</v>
      </c>
      <c r="P324" s="2" t="s">
        <v>513</v>
      </c>
    </row>
    <row r="325" spans="1:16" ht="15.75" thickBot="1" x14ac:dyDescent="0.3">
      <c r="A325" s="98" t="s">
        <v>81</v>
      </c>
      <c r="B325" s="1" t="s">
        <v>521</v>
      </c>
      <c r="C325" s="1" t="s">
        <v>521</v>
      </c>
      <c r="D325" s="2" t="s">
        <v>522</v>
      </c>
      <c r="E325" s="94" t="str">
        <f t="shared" si="16"/>
        <v>SHW-S50-P50-Day20-C:8:2FTS</v>
      </c>
      <c r="F325" s="2" t="str">
        <f>VLOOKUP(C325,'Task 2b Sample List'!I:K,3,FALSE)</f>
        <v>SHW-S50-P50-Day20-C</v>
      </c>
      <c r="G325" s="166" t="str">
        <f t="shared" si="17"/>
        <v>SHW-S50-P50-Day20</v>
      </c>
      <c r="H325" s="2" t="str">
        <f>VLOOKUP(C325,'Task 2b Sample List'!I:L,4,FALSE)</f>
        <v>A</v>
      </c>
      <c r="I325" t="s">
        <v>185</v>
      </c>
      <c r="J325" s="2">
        <v>50</v>
      </c>
      <c r="K325" s="2">
        <v>50</v>
      </c>
      <c r="L325" s="2">
        <v>20</v>
      </c>
      <c r="M325" s="8" t="s">
        <v>27</v>
      </c>
      <c r="N325" s="4" t="s">
        <v>527</v>
      </c>
      <c r="O325" s="5" t="s">
        <v>39</v>
      </c>
      <c r="P325" s="2" t="s">
        <v>527</v>
      </c>
    </row>
    <row r="326" spans="1:16" x14ac:dyDescent="0.25">
      <c r="A326" s="98" t="s">
        <v>81</v>
      </c>
      <c r="B326" s="102" t="s">
        <v>528</v>
      </c>
      <c r="C326" s="1" t="str">
        <f>SUBSTITUTE(B326,"37","36")</f>
        <v>55469-36-115</v>
      </c>
      <c r="D326" s="2" t="s">
        <v>529</v>
      </c>
      <c r="E326" s="94" t="str">
        <f>F326&amp;":"&amp;M326</f>
        <v>SHW-S50-P100-Day20-A:PFHxA</v>
      </c>
      <c r="F326" s="2" t="str">
        <f>VLOOKUP(C326,'Task 2b Sample List'!I:K,3,FALSE)</f>
        <v>SHW-S50-P100-Day20-A</v>
      </c>
      <c r="G326" s="166" t="str">
        <f t="shared" ref="G326:G337" si="18">LEFT(F326,18)</f>
        <v>SHW-S50-P100-Day20</v>
      </c>
      <c r="H326" s="2" t="str">
        <f>VLOOKUP(C326,'Task 2b Sample List'!I:L,4,FALSE)</f>
        <v>B</v>
      </c>
      <c r="I326" t="s">
        <v>185</v>
      </c>
      <c r="J326" s="2">
        <v>50</v>
      </c>
      <c r="K326" s="2">
        <v>100</v>
      </c>
      <c r="L326" s="2">
        <v>20</v>
      </c>
      <c r="M326" s="6" t="s">
        <v>22</v>
      </c>
      <c r="N326" s="2" t="s">
        <v>530</v>
      </c>
      <c r="O326" s="3" t="s">
        <v>39</v>
      </c>
      <c r="P326" s="2" t="s">
        <v>530</v>
      </c>
    </row>
    <row r="327" spans="1:16" x14ac:dyDescent="0.25">
      <c r="A327" s="98" t="s">
        <v>81</v>
      </c>
      <c r="B327" s="102" t="s">
        <v>528</v>
      </c>
      <c r="C327" s="1" t="str">
        <f t="shared" ref="C327:C361" si="19">SUBSTITUTE(B327,"37","36")</f>
        <v>55469-36-115</v>
      </c>
      <c r="D327" s="2" t="s">
        <v>529</v>
      </c>
      <c r="E327" s="94" t="str">
        <f t="shared" si="16"/>
        <v>SHW-S50-P100-Day20-A:PFOA</v>
      </c>
      <c r="F327" s="2" t="str">
        <f>VLOOKUP(C327,'Task 2b Sample List'!I:K,3,FALSE)</f>
        <v>SHW-S50-P100-Day20-A</v>
      </c>
      <c r="G327" s="166" t="str">
        <f t="shared" si="18"/>
        <v>SHW-S50-P100-Day20</v>
      </c>
      <c r="H327" s="2" t="str">
        <f>VLOOKUP(C327,'Task 2b Sample List'!I:L,4,FALSE)</f>
        <v>B</v>
      </c>
      <c r="I327" t="s">
        <v>185</v>
      </c>
      <c r="J327" s="2">
        <v>50</v>
      </c>
      <c r="K327" s="2">
        <v>100</v>
      </c>
      <c r="L327" s="2">
        <v>20</v>
      </c>
      <c r="M327" s="7" t="s">
        <v>23</v>
      </c>
      <c r="N327" s="4" t="s">
        <v>531</v>
      </c>
      <c r="O327" s="5" t="s">
        <v>39</v>
      </c>
      <c r="P327" s="2" t="s">
        <v>531</v>
      </c>
    </row>
    <row r="328" spans="1:16" x14ac:dyDescent="0.25">
      <c r="A328" s="98" t="s">
        <v>81</v>
      </c>
      <c r="B328" s="102" t="s">
        <v>528</v>
      </c>
      <c r="C328" s="1" t="str">
        <f t="shared" si="19"/>
        <v>55469-36-115</v>
      </c>
      <c r="D328" s="2" t="s">
        <v>529</v>
      </c>
      <c r="E328" s="94" t="str">
        <f t="shared" si="16"/>
        <v>SHW-S50-P100-Day20-A:PFNA</v>
      </c>
      <c r="F328" s="2" t="str">
        <f>VLOOKUP(C328,'Task 2b Sample List'!I:K,3,FALSE)</f>
        <v>SHW-S50-P100-Day20-A</v>
      </c>
      <c r="G328" s="166" t="str">
        <f t="shared" si="18"/>
        <v>SHW-S50-P100-Day20</v>
      </c>
      <c r="H328" s="2" t="str">
        <f>VLOOKUP(C328,'Task 2b Sample List'!I:L,4,FALSE)</f>
        <v>B</v>
      </c>
      <c r="I328" t="s">
        <v>185</v>
      </c>
      <c r="J328" s="2">
        <v>50</v>
      </c>
      <c r="K328" s="2">
        <v>100</v>
      </c>
      <c r="L328" s="2">
        <v>20</v>
      </c>
      <c r="M328" s="7" t="s">
        <v>24</v>
      </c>
      <c r="N328" s="2" t="s">
        <v>435</v>
      </c>
      <c r="O328" s="3" t="s">
        <v>39</v>
      </c>
      <c r="P328" s="2" t="s">
        <v>435</v>
      </c>
    </row>
    <row r="329" spans="1:16" x14ac:dyDescent="0.25">
      <c r="A329" s="98" t="s">
        <v>81</v>
      </c>
      <c r="B329" s="102" t="s">
        <v>528</v>
      </c>
      <c r="C329" s="1" t="str">
        <f t="shared" si="19"/>
        <v>55469-36-115</v>
      </c>
      <c r="D329" s="2" t="s">
        <v>529</v>
      </c>
      <c r="E329" s="94" t="str">
        <f t="shared" si="16"/>
        <v>SHW-S50-P100-Day20-A:PFBS</v>
      </c>
      <c r="F329" s="2" t="str">
        <f>VLOOKUP(C329,'Task 2b Sample List'!I:K,3,FALSE)</f>
        <v>SHW-S50-P100-Day20-A</v>
      </c>
      <c r="G329" s="166" t="str">
        <f t="shared" si="18"/>
        <v>SHW-S50-P100-Day20</v>
      </c>
      <c r="H329" s="2" t="str">
        <f>VLOOKUP(C329,'Task 2b Sample List'!I:L,4,FALSE)</f>
        <v>B</v>
      </c>
      <c r="I329" t="s">
        <v>185</v>
      </c>
      <c r="J329" s="2">
        <v>50</v>
      </c>
      <c r="K329" s="2">
        <v>100</v>
      </c>
      <c r="L329" s="2">
        <v>20</v>
      </c>
      <c r="M329" s="7" t="s">
        <v>25</v>
      </c>
      <c r="N329" s="4" t="s">
        <v>532</v>
      </c>
      <c r="O329" s="5" t="s">
        <v>39</v>
      </c>
      <c r="P329" s="2" t="s">
        <v>532</v>
      </c>
    </row>
    <row r="330" spans="1:16" x14ac:dyDescent="0.25">
      <c r="A330" s="98" t="s">
        <v>81</v>
      </c>
      <c r="B330" s="102" t="s">
        <v>528</v>
      </c>
      <c r="C330" s="1" t="str">
        <f t="shared" si="19"/>
        <v>55469-36-115</v>
      </c>
      <c r="D330" s="2" t="s">
        <v>529</v>
      </c>
      <c r="E330" s="94" t="str">
        <f t="shared" si="16"/>
        <v>SHW-S50-P100-Day20-A:PFOS</v>
      </c>
      <c r="F330" s="2" t="str">
        <f>VLOOKUP(C330,'Task 2b Sample List'!I:K,3,FALSE)</f>
        <v>SHW-S50-P100-Day20-A</v>
      </c>
      <c r="G330" s="166" t="str">
        <f t="shared" si="18"/>
        <v>SHW-S50-P100-Day20</v>
      </c>
      <c r="H330" s="2" t="str">
        <f>VLOOKUP(C330,'Task 2b Sample List'!I:L,4,FALSE)</f>
        <v>B</v>
      </c>
      <c r="I330" t="s">
        <v>185</v>
      </c>
      <c r="J330" s="2">
        <v>50</v>
      </c>
      <c r="K330" s="2">
        <v>100</v>
      </c>
      <c r="L330" s="2">
        <v>20</v>
      </c>
      <c r="M330" s="7" t="s">
        <v>26</v>
      </c>
      <c r="N330" s="2" t="s">
        <v>533</v>
      </c>
      <c r="O330" s="3" t="s">
        <v>39</v>
      </c>
      <c r="P330" s="2" t="s">
        <v>533</v>
      </c>
    </row>
    <row r="331" spans="1:16" ht="15.75" thickBot="1" x14ac:dyDescent="0.3">
      <c r="A331" s="98" t="s">
        <v>81</v>
      </c>
      <c r="B331" s="102" t="s">
        <v>528</v>
      </c>
      <c r="C331" s="1" t="str">
        <f t="shared" si="19"/>
        <v>55469-36-115</v>
      </c>
      <c r="D331" s="2" t="s">
        <v>529</v>
      </c>
      <c r="E331" s="94" t="str">
        <f t="shared" si="16"/>
        <v>SHW-S50-P100-Day20-A:8:2FTS</v>
      </c>
      <c r="F331" s="2" t="str">
        <f>VLOOKUP(C331,'Task 2b Sample List'!I:K,3,FALSE)</f>
        <v>SHW-S50-P100-Day20-A</v>
      </c>
      <c r="G331" s="166" t="str">
        <f t="shared" si="18"/>
        <v>SHW-S50-P100-Day20</v>
      </c>
      <c r="H331" s="2" t="str">
        <f>VLOOKUP(C331,'Task 2b Sample List'!I:L,4,FALSE)</f>
        <v>B</v>
      </c>
      <c r="I331" t="s">
        <v>185</v>
      </c>
      <c r="J331" s="2">
        <v>50</v>
      </c>
      <c r="K331" s="2">
        <v>100</v>
      </c>
      <c r="L331" s="2">
        <v>20</v>
      </c>
      <c r="M331" s="8" t="s">
        <v>27</v>
      </c>
      <c r="N331" s="4" t="s">
        <v>534</v>
      </c>
      <c r="O331" s="5" t="s">
        <v>39</v>
      </c>
      <c r="P331" s="2" t="s">
        <v>534</v>
      </c>
    </row>
    <row r="332" spans="1:16" x14ac:dyDescent="0.25">
      <c r="A332" s="98" t="s">
        <v>81</v>
      </c>
      <c r="B332" s="102" t="s">
        <v>536</v>
      </c>
      <c r="C332" s="1" t="str">
        <f t="shared" si="19"/>
        <v>55469-36-116</v>
      </c>
      <c r="D332" s="2" t="s">
        <v>535</v>
      </c>
      <c r="E332" s="94" t="str">
        <f t="shared" si="16"/>
        <v>SHW-S50-P100-Day20-B:PFHxA</v>
      </c>
      <c r="F332" s="2" t="str">
        <f>VLOOKUP(C332,'Task 2b Sample List'!I:K,3,FALSE)</f>
        <v>SHW-S50-P100-Day20-B</v>
      </c>
      <c r="G332" s="166" t="str">
        <f t="shared" si="18"/>
        <v>SHW-S50-P100-Day20</v>
      </c>
      <c r="H332" s="2" t="str">
        <f>VLOOKUP(C332,'Task 2b Sample List'!I:L,4,FALSE)</f>
        <v>B</v>
      </c>
      <c r="I332" t="s">
        <v>185</v>
      </c>
      <c r="J332" s="2">
        <v>50</v>
      </c>
      <c r="K332" s="2">
        <v>100</v>
      </c>
      <c r="L332" s="2">
        <v>20</v>
      </c>
      <c r="M332" s="6" t="s">
        <v>22</v>
      </c>
      <c r="N332" s="2" t="s">
        <v>537</v>
      </c>
      <c r="O332" s="3" t="s">
        <v>39</v>
      </c>
      <c r="P332" s="2" t="s">
        <v>537</v>
      </c>
    </row>
    <row r="333" spans="1:16" x14ac:dyDescent="0.25">
      <c r="A333" s="98" t="s">
        <v>81</v>
      </c>
      <c r="B333" s="102" t="s">
        <v>536</v>
      </c>
      <c r="C333" s="1" t="str">
        <f t="shared" si="19"/>
        <v>55469-36-116</v>
      </c>
      <c r="D333" s="2" t="s">
        <v>535</v>
      </c>
      <c r="E333" s="94" t="str">
        <f t="shared" si="16"/>
        <v>SHW-S50-P100-Day20-B:PFOA</v>
      </c>
      <c r="F333" s="2" t="str">
        <f>VLOOKUP(C333,'Task 2b Sample List'!I:K,3,FALSE)</f>
        <v>SHW-S50-P100-Day20-B</v>
      </c>
      <c r="G333" s="166" t="str">
        <f t="shared" si="18"/>
        <v>SHW-S50-P100-Day20</v>
      </c>
      <c r="H333" s="2" t="str">
        <f>VLOOKUP(C333,'Task 2b Sample List'!I:L,4,FALSE)</f>
        <v>B</v>
      </c>
      <c r="I333" t="s">
        <v>185</v>
      </c>
      <c r="J333" s="2">
        <v>50</v>
      </c>
      <c r="K333" s="2">
        <v>100</v>
      </c>
      <c r="L333" s="2">
        <v>20</v>
      </c>
      <c r="M333" s="7" t="s">
        <v>23</v>
      </c>
      <c r="N333" s="4" t="s">
        <v>447</v>
      </c>
      <c r="O333" s="5" t="s">
        <v>39</v>
      </c>
      <c r="P333" s="2" t="s">
        <v>447</v>
      </c>
    </row>
    <row r="334" spans="1:16" x14ac:dyDescent="0.25">
      <c r="A334" s="98" t="s">
        <v>81</v>
      </c>
      <c r="B334" s="102" t="s">
        <v>536</v>
      </c>
      <c r="C334" s="1" t="str">
        <f t="shared" si="19"/>
        <v>55469-36-116</v>
      </c>
      <c r="D334" s="2" t="s">
        <v>535</v>
      </c>
      <c r="E334" s="94" t="str">
        <f t="shared" si="16"/>
        <v>SHW-S50-P100-Day20-B:PFNA</v>
      </c>
      <c r="F334" s="2" t="str">
        <f>VLOOKUP(C334,'Task 2b Sample List'!I:K,3,FALSE)</f>
        <v>SHW-S50-P100-Day20-B</v>
      </c>
      <c r="G334" s="166" t="str">
        <f t="shared" si="18"/>
        <v>SHW-S50-P100-Day20</v>
      </c>
      <c r="H334" s="2" t="str">
        <f>VLOOKUP(C334,'Task 2b Sample List'!I:L,4,FALSE)</f>
        <v>B</v>
      </c>
      <c r="I334" t="s">
        <v>185</v>
      </c>
      <c r="J334" s="2">
        <v>50</v>
      </c>
      <c r="K334" s="2">
        <v>100</v>
      </c>
      <c r="L334" s="2">
        <v>20</v>
      </c>
      <c r="M334" s="7" t="s">
        <v>24</v>
      </c>
      <c r="N334" s="2" t="s">
        <v>446</v>
      </c>
      <c r="O334" s="3" t="s">
        <v>39</v>
      </c>
      <c r="P334" s="2" t="s">
        <v>446</v>
      </c>
    </row>
    <row r="335" spans="1:16" x14ac:dyDescent="0.25">
      <c r="A335" s="98" t="s">
        <v>81</v>
      </c>
      <c r="B335" s="102" t="s">
        <v>536</v>
      </c>
      <c r="C335" s="1" t="str">
        <f t="shared" si="19"/>
        <v>55469-36-116</v>
      </c>
      <c r="D335" s="2" t="s">
        <v>535</v>
      </c>
      <c r="E335" s="94" t="str">
        <f t="shared" si="16"/>
        <v>SHW-S50-P100-Day20-B:PFBS</v>
      </c>
      <c r="F335" s="2" t="str">
        <f>VLOOKUP(C335,'Task 2b Sample List'!I:K,3,FALSE)</f>
        <v>SHW-S50-P100-Day20-B</v>
      </c>
      <c r="G335" s="166" t="str">
        <f t="shared" si="18"/>
        <v>SHW-S50-P100-Day20</v>
      </c>
      <c r="H335" s="2" t="str">
        <f>VLOOKUP(C335,'Task 2b Sample List'!I:L,4,FALSE)</f>
        <v>B</v>
      </c>
      <c r="I335" t="s">
        <v>185</v>
      </c>
      <c r="J335" s="2">
        <v>50</v>
      </c>
      <c r="K335" s="2">
        <v>100</v>
      </c>
      <c r="L335" s="2">
        <v>20</v>
      </c>
      <c r="M335" s="7" t="s">
        <v>25</v>
      </c>
      <c r="N335" s="4" t="s">
        <v>538</v>
      </c>
      <c r="O335" s="5" t="s">
        <v>39</v>
      </c>
      <c r="P335" s="2" t="s">
        <v>538</v>
      </c>
    </row>
    <row r="336" spans="1:16" x14ac:dyDescent="0.25">
      <c r="A336" s="98" t="s">
        <v>81</v>
      </c>
      <c r="B336" s="102" t="s">
        <v>536</v>
      </c>
      <c r="C336" s="1" t="str">
        <f t="shared" si="19"/>
        <v>55469-36-116</v>
      </c>
      <c r="D336" s="2" t="s">
        <v>535</v>
      </c>
      <c r="E336" s="94" t="str">
        <f t="shared" si="16"/>
        <v>SHW-S50-P100-Day20-B:PFOS</v>
      </c>
      <c r="F336" s="2" t="str">
        <f>VLOOKUP(C336,'Task 2b Sample List'!I:K,3,FALSE)</f>
        <v>SHW-S50-P100-Day20-B</v>
      </c>
      <c r="G336" s="166" t="str">
        <f t="shared" si="18"/>
        <v>SHW-S50-P100-Day20</v>
      </c>
      <c r="H336" s="2" t="str">
        <f>VLOOKUP(C336,'Task 2b Sample List'!I:L,4,FALSE)</f>
        <v>B</v>
      </c>
      <c r="I336" t="s">
        <v>185</v>
      </c>
      <c r="J336" s="2">
        <v>50</v>
      </c>
      <c r="K336" s="2">
        <v>100</v>
      </c>
      <c r="L336" s="2">
        <v>20</v>
      </c>
      <c r="M336" s="7" t="s">
        <v>26</v>
      </c>
      <c r="N336" s="2" t="s">
        <v>71</v>
      </c>
      <c r="O336" s="3" t="s">
        <v>39</v>
      </c>
      <c r="P336" s="2" t="s">
        <v>71</v>
      </c>
    </row>
    <row r="337" spans="1:16" ht="15.75" thickBot="1" x14ac:dyDescent="0.3">
      <c r="A337" s="98" t="s">
        <v>81</v>
      </c>
      <c r="B337" s="102" t="s">
        <v>536</v>
      </c>
      <c r="C337" s="1" t="str">
        <f t="shared" si="19"/>
        <v>55469-36-116</v>
      </c>
      <c r="D337" s="2" t="s">
        <v>535</v>
      </c>
      <c r="E337" s="94" t="str">
        <f t="shared" si="16"/>
        <v>SHW-S50-P100-Day20-B:8:2FTS</v>
      </c>
      <c r="F337" s="2" t="str">
        <f>VLOOKUP(C337,'Task 2b Sample List'!I:K,3,FALSE)</f>
        <v>SHW-S50-P100-Day20-B</v>
      </c>
      <c r="G337" s="166" t="str">
        <f t="shared" si="18"/>
        <v>SHW-S50-P100-Day20</v>
      </c>
      <c r="H337" s="2" t="str">
        <f>VLOOKUP(C337,'Task 2b Sample List'!I:L,4,FALSE)</f>
        <v>B</v>
      </c>
      <c r="I337" t="s">
        <v>185</v>
      </c>
      <c r="J337" s="2">
        <v>50</v>
      </c>
      <c r="K337" s="2">
        <v>100</v>
      </c>
      <c r="L337" s="2">
        <v>20</v>
      </c>
      <c r="M337" s="8" t="s">
        <v>27</v>
      </c>
      <c r="N337" s="4" t="s">
        <v>539</v>
      </c>
      <c r="O337" s="5" t="s">
        <v>39</v>
      </c>
      <c r="P337" s="2" t="s">
        <v>539</v>
      </c>
    </row>
    <row r="338" spans="1:16" x14ac:dyDescent="0.25">
      <c r="A338" s="98" t="s">
        <v>81</v>
      </c>
      <c r="B338" s="102" t="s">
        <v>540</v>
      </c>
      <c r="C338" s="1" t="str">
        <f t="shared" si="19"/>
        <v>55469-36-117</v>
      </c>
      <c r="D338" s="2" t="s">
        <v>541</v>
      </c>
      <c r="E338" s="94" t="str">
        <f t="shared" si="16"/>
        <v>SHW-S50-P100-Day20-C:PFHxA</v>
      </c>
      <c r="F338" s="2" t="str">
        <f>VLOOKUP(C338,'Task 2b Sample List'!I:K,3,FALSE)</f>
        <v>SHW-S50-P100-Day20-C</v>
      </c>
      <c r="G338" s="166" t="str">
        <f t="shared" ref="G338:G361" si="20">LEFT(F338,18)</f>
        <v>SHW-S50-P100-Day20</v>
      </c>
      <c r="H338" s="2" t="str">
        <f>VLOOKUP(C338,'Task 2b Sample List'!I:L,4,FALSE)</f>
        <v>B</v>
      </c>
      <c r="I338" t="s">
        <v>185</v>
      </c>
      <c r="J338" s="2">
        <v>50</v>
      </c>
      <c r="K338" s="2">
        <v>100</v>
      </c>
      <c r="L338" s="2">
        <v>20</v>
      </c>
      <c r="M338" s="6" t="s">
        <v>22</v>
      </c>
      <c r="N338" s="2" t="s">
        <v>542</v>
      </c>
      <c r="O338" s="3" t="s">
        <v>39</v>
      </c>
      <c r="P338" s="2" t="s">
        <v>542</v>
      </c>
    </row>
    <row r="339" spans="1:16" x14ac:dyDescent="0.25">
      <c r="A339" s="98" t="s">
        <v>81</v>
      </c>
      <c r="B339" s="102" t="s">
        <v>540</v>
      </c>
      <c r="C339" s="1" t="str">
        <f t="shared" si="19"/>
        <v>55469-36-117</v>
      </c>
      <c r="D339" s="2" t="s">
        <v>541</v>
      </c>
      <c r="E339" s="94" t="str">
        <f t="shared" si="16"/>
        <v>SHW-S50-P100-Day20-C:PFOA</v>
      </c>
      <c r="F339" s="2" t="str">
        <f>VLOOKUP(C339,'Task 2b Sample List'!I:K,3,FALSE)</f>
        <v>SHW-S50-P100-Day20-C</v>
      </c>
      <c r="G339" s="166" t="str">
        <f t="shared" si="20"/>
        <v>SHW-S50-P100-Day20</v>
      </c>
      <c r="H339" s="2" t="str">
        <f>VLOOKUP(C339,'Task 2b Sample List'!I:L,4,FALSE)</f>
        <v>B</v>
      </c>
      <c r="I339" t="s">
        <v>185</v>
      </c>
      <c r="J339" s="2">
        <v>50</v>
      </c>
      <c r="K339" s="2">
        <v>100</v>
      </c>
      <c r="L339" s="2">
        <v>20</v>
      </c>
      <c r="M339" s="7" t="s">
        <v>23</v>
      </c>
      <c r="N339" s="4" t="s">
        <v>543</v>
      </c>
      <c r="O339" s="5" t="s">
        <v>39</v>
      </c>
      <c r="P339" s="2" t="s">
        <v>543</v>
      </c>
    </row>
    <row r="340" spans="1:16" x14ac:dyDescent="0.25">
      <c r="A340" s="98" t="s">
        <v>81</v>
      </c>
      <c r="B340" s="102" t="s">
        <v>540</v>
      </c>
      <c r="C340" s="1" t="str">
        <f t="shared" si="19"/>
        <v>55469-36-117</v>
      </c>
      <c r="D340" s="2" t="s">
        <v>541</v>
      </c>
      <c r="E340" s="94" t="str">
        <f t="shared" si="16"/>
        <v>SHW-S50-P100-Day20-C:PFNA</v>
      </c>
      <c r="F340" s="2" t="str">
        <f>VLOOKUP(C340,'Task 2b Sample List'!I:K,3,FALSE)</f>
        <v>SHW-S50-P100-Day20-C</v>
      </c>
      <c r="G340" s="166" t="str">
        <f t="shared" si="20"/>
        <v>SHW-S50-P100-Day20</v>
      </c>
      <c r="H340" s="2" t="str">
        <f>VLOOKUP(C340,'Task 2b Sample List'!I:L,4,FALSE)</f>
        <v>B</v>
      </c>
      <c r="I340" t="s">
        <v>185</v>
      </c>
      <c r="J340" s="2">
        <v>50</v>
      </c>
      <c r="K340" s="2">
        <v>100</v>
      </c>
      <c r="L340" s="2">
        <v>20</v>
      </c>
      <c r="M340" s="7" t="s">
        <v>24</v>
      </c>
      <c r="N340" s="2" t="s">
        <v>544</v>
      </c>
      <c r="O340" s="3" t="s">
        <v>39</v>
      </c>
      <c r="P340" s="2" t="s">
        <v>544</v>
      </c>
    </row>
    <row r="341" spans="1:16" x14ac:dyDescent="0.25">
      <c r="A341" s="98" t="s">
        <v>81</v>
      </c>
      <c r="B341" s="102" t="s">
        <v>540</v>
      </c>
      <c r="C341" s="1" t="str">
        <f t="shared" si="19"/>
        <v>55469-36-117</v>
      </c>
      <c r="D341" s="2" t="s">
        <v>541</v>
      </c>
      <c r="E341" s="94" t="str">
        <f t="shared" si="16"/>
        <v>SHW-S50-P100-Day20-C:PFBS</v>
      </c>
      <c r="F341" s="2" t="str">
        <f>VLOOKUP(C341,'Task 2b Sample List'!I:K,3,FALSE)</f>
        <v>SHW-S50-P100-Day20-C</v>
      </c>
      <c r="G341" s="166" t="str">
        <f t="shared" si="20"/>
        <v>SHW-S50-P100-Day20</v>
      </c>
      <c r="H341" s="2" t="str">
        <f>VLOOKUP(C341,'Task 2b Sample List'!I:L,4,FALSE)</f>
        <v>B</v>
      </c>
      <c r="I341" t="s">
        <v>185</v>
      </c>
      <c r="J341" s="2">
        <v>50</v>
      </c>
      <c r="K341" s="2">
        <v>100</v>
      </c>
      <c r="L341" s="2">
        <v>20</v>
      </c>
      <c r="M341" s="7" t="s">
        <v>25</v>
      </c>
      <c r="N341" s="4" t="s">
        <v>545</v>
      </c>
      <c r="O341" s="5" t="s">
        <v>39</v>
      </c>
      <c r="P341" s="2" t="s">
        <v>545</v>
      </c>
    </row>
    <row r="342" spans="1:16" x14ac:dyDescent="0.25">
      <c r="A342" s="98" t="s">
        <v>81</v>
      </c>
      <c r="B342" s="102" t="s">
        <v>540</v>
      </c>
      <c r="C342" s="1" t="str">
        <f t="shared" si="19"/>
        <v>55469-36-117</v>
      </c>
      <c r="D342" s="2" t="s">
        <v>541</v>
      </c>
      <c r="E342" s="94" t="str">
        <f t="shared" si="16"/>
        <v>SHW-S50-P100-Day20-C:PFOS</v>
      </c>
      <c r="F342" s="2" t="str">
        <f>VLOOKUP(C342,'Task 2b Sample List'!I:K,3,FALSE)</f>
        <v>SHW-S50-P100-Day20-C</v>
      </c>
      <c r="G342" s="166" t="str">
        <f t="shared" si="20"/>
        <v>SHW-S50-P100-Day20</v>
      </c>
      <c r="H342" s="2" t="str">
        <f>VLOOKUP(C342,'Task 2b Sample List'!I:L,4,FALSE)</f>
        <v>B</v>
      </c>
      <c r="I342" t="s">
        <v>185</v>
      </c>
      <c r="J342" s="2">
        <v>50</v>
      </c>
      <c r="K342" s="2">
        <v>100</v>
      </c>
      <c r="L342" s="2">
        <v>20</v>
      </c>
      <c r="M342" s="7" t="s">
        <v>26</v>
      </c>
      <c r="N342" s="2" t="s">
        <v>546</v>
      </c>
      <c r="O342" s="3" t="s">
        <v>39</v>
      </c>
      <c r="P342" s="2" t="s">
        <v>546</v>
      </c>
    </row>
    <row r="343" spans="1:16" ht="15.75" thickBot="1" x14ac:dyDescent="0.3">
      <c r="A343" s="98" t="s">
        <v>81</v>
      </c>
      <c r="B343" s="102" t="s">
        <v>540</v>
      </c>
      <c r="C343" s="1" t="str">
        <f t="shared" si="19"/>
        <v>55469-36-117</v>
      </c>
      <c r="D343" s="2" t="s">
        <v>541</v>
      </c>
      <c r="E343" s="94" t="str">
        <f t="shared" si="16"/>
        <v>SHW-S50-P100-Day20-C:8:2FTS</v>
      </c>
      <c r="F343" s="2" t="str">
        <f>VLOOKUP(C343,'Task 2b Sample List'!I:K,3,FALSE)</f>
        <v>SHW-S50-P100-Day20-C</v>
      </c>
      <c r="G343" s="166" t="str">
        <f t="shared" si="20"/>
        <v>SHW-S50-P100-Day20</v>
      </c>
      <c r="H343" s="2" t="str">
        <f>VLOOKUP(C343,'Task 2b Sample List'!I:L,4,FALSE)</f>
        <v>B</v>
      </c>
      <c r="I343" t="s">
        <v>185</v>
      </c>
      <c r="J343" s="2">
        <v>50</v>
      </c>
      <c r="K343" s="2">
        <v>100</v>
      </c>
      <c r="L343" s="2">
        <v>20</v>
      </c>
      <c r="M343" s="8" t="s">
        <v>27</v>
      </c>
      <c r="N343" s="4" t="s">
        <v>547</v>
      </c>
      <c r="O343" s="5" t="s">
        <v>39</v>
      </c>
      <c r="P343" s="2" t="s">
        <v>547</v>
      </c>
    </row>
    <row r="344" spans="1:16" x14ac:dyDescent="0.25">
      <c r="A344" s="98" t="s">
        <v>81</v>
      </c>
      <c r="B344" s="102" t="s">
        <v>548</v>
      </c>
      <c r="C344" s="1" t="str">
        <f t="shared" si="19"/>
        <v>55469-36-118</v>
      </c>
      <c r="D344" s="2" t="s">
        <v>549</v>
      </c>
      <c r="E344" s="94" t="str">
        <f t="shared" si="16"/>
        <v>SHW-S50-P500-Day20-A:PFHxA</v>
      </c>
      <c r="F344" s="2" t="str">
        <f>VLOOKUP(C344,'Task 2b Sample List'!I:K,3,FALSE)</f>
        <v>SHW-S50-P500-Day20-A</v>
      </c>
      <c r="G344" s="166" t="str">
        <f t="shared" si="20"/>
        <v>SHW-S50-P500-Day20</v>
      </c>
      <c r="H344" s="2" t="str">
        <f>VLOOKUP(C344,'Task 2b Sample List'!I:L,4,FALSE)</f>
        <v>A</v>
      </c>
      <c r="I344" t="s">
        <v>185</v>
      </c>
      <c r="J344" s="2">
        <v>50</v>
      </c>
      <c r="K344" s="2">
        <v>500</v>
      </c>
      <c r="L344" s="2">
        <v>20</v>
      </c>
      <c r="M344" s="6" t="s">
        <v>22</v>
      </c>
      <c r="N344" s="2" t="s">
        <v>550</v>
      </c>
      <c r="O344" s="3" t="s">
        <v>39</v>
      </c>
      <c r="P344" s="2" t="s">
        <v>550</v>
      </c>
    </row>
    <row r="345" spans="1:16" x14ac:dyDescent="0.25">
      <c r="A345" s="98" t="s">
        <v>81</v>
      </c>
      <c r="B345" s="102" t="s">
        <v>548</v>
      </c>
      <c r="C345" s="1" t="str">
        <f t="shared" si="19"/>
        <v>55469-36-118</v>
      </c>
      <c r="D345" s="2" t="s">
        <v>549</v>
      </c>
      <c r="E345" s="94" t="str">
        <f t="shared" si="16"/>
        <v>SHW-S50-P500-Day20-A:PFOA</v>
      </c>
      <c r="F345" s="2" t="str">
        <f>VLOOKUP(C345,'Task 2b Sample List'!I:K,3,FALSE)</f>
        <v>SHW-S50-P500-Day20-A</v>
      </c>
      <c r="G345" s="166" t="str">
        <f t="shared" si="20"/>
        <v>SHW-S50-P500-Day20</v>
      </c>
      <c r="H345" s="2" t="str">
        <f>VLOOKUP(C345,'Task 2b Sample List'!I:L,4,FALSE)</f>
        <v>A</v>
      </c>
      <c r="I345" t="s">
        <v>185</v>
      </c>
      <c r="J345" s="2">
        <v>50</v>
      </c>
      <c r="K345" s="2">
        <v>500</v>
      </c>
      <c r="L345" s="2">
        <v>20</v>
      </c>
      <c r="M345" s="7" t="s">
        <v>23</v>
      </c>
      <c r="N345" s="4" t="s">
        <v>137</v>
      </c>
      <c r="O345" s="5" t="s">
        <v>39</v>
      </c>
      <c r="P345" s="2" t="s">
        <v>137</v>
      </c>
    </row>
    <row r="346" spans="1:16" x14ac:dyDescent="0.25">
      <c r="A346" s="98" t="s">
        <v>81</v>
      </c>
      <c r="B346" s="102" t="s">
        <v>548</v>
      </c>
      <c r="C346" s="1" t="str">
        <f t="shared" si="19"/>
        <v>55469-36-118</v>
      </c>
      <c r="D346" s="2" t="s">
        <v>549</v>
      </c>
      <c r="E346" s="94" t="str">
        <f t="shared" si="16"/>
        <v>SHW-S50-P500-Day20-A:PFNA</v>
      </c>
      <c r="F346" s="2" t="str">
        <f>VLOOKUP(C346,'Task 2b Sample List'!I:K,3,FALSE)</f>
        <v>SHW-S50-P500-Day20-A</v>
      </c>
      <c r="G346" s="166" t="str">
        <f t="shared" si="20"/>
        <v>SHW-S50-P500-Day20</v>
      </c>
      <c r="H346" s="2" t="str">
        <f>VLOOKUP(C346,'Task 2b Sample List'!I:L,4,FALSE)</f>
        <v>A</v>
      </c>
      <c r="I346" t="s">
        <v>185</v>
      </c>
      <c r="J346" s="2">
        <v>50</v>
      </c>
      <c r="K346" s="2">
        <v>500</v>
      </c>
      <c r="L346" s="2">
        <v>20</v>
      </c>
      <c r="M346" s="7" t="s">
        <v>24</v>
      </c>
      <c r="N346" s="2" t="s">
        <v>551</v>
      </c>
      <c r="O346" s="3" t="s">
        <v>39</v>
      </c>
      <c r="P346" s="2" t="s">
        <v>551</v>
      </c>
    </row>
    <row r="347" spans="1:16" x14ac:dyDescent="0.25">
      <c r="A347" s="98" t="s">
        <v>81</v>
      </c>
      <c r="B347" s="102" t="s">
        <v>548</v>
      </c>
      <c r="C347" s="1" t="str">
        <f t="shared" si="19"/>
        <v>55469-36-118</v>
      </c>
      <c r="D347" s="2" t="s">
        <v>549</v>
      </c>
      <c r="E347" s="94" t="str">
        <f t="shared" si="16"/>
        <v>SHW-S50-P500-Day20-A:PFBS</v>
      </c>
      <c r="F347" s="2" t="str">
        <f>VLOOKUP(C347,'Task 2b Sample List'!I:K,3,FALSE)</f>
        <v>SHW-S50-P500-Day20-A</v>
      </c>
      <c r="G347" s="166" t="str">
        <f t="shared" si="20"/>
        <v>SHW-S50-P500-Day20</v>
      </c>
      <c r="H347" s="2" t="str">
        <f>VLOOKUP(C347,'Task 2b Sample List'!I:L,4,FALSE)</f>
        <v>A</v>
      </c>
      <c r="I347" t="s">
        <v>185</v>
      </c>
      <c r="J347" s="2">
        <v>50</v>
      </c>
      <c r="K347" s="2">
        <v>500</v>
      </c>
      <c r="L347" s="2">
        <v>20</v>
      </c>
      <c r="M347" s="7" t="s">
        <v>25</v>
      </c>
      <c r="N347" s="4" t="s">
        <v>552</v>
      </c>
      <c r="O347" s="5" t="s">
        <v>39</v>
      </c>
      <c r="P347" s="2" t="s">
        <v>552</v>
      </c>
    </row>
    <row r="348" spans="1:16" x14ac:dyDescent="0.25">
      <c r="A348" s="98" t="s">
        <v>81</v>
      </c>
      <c r="B348" s="102" t="s">
        <v>548</v>
      </c>
      <c r="C348" s="1" t="str">
        <f t="shared" si="19"/>
        <v>55469-36-118</v>
      </c>
      <c r="D348" s="2" t="s">
        <v>549</v>
      </c>
      <c r="E348" s="94" t="str">
        <f t="shared" si="16"/>
        <v>SHW-S50-P500-Day20-A:PFOS</v>
      </c>
      <c r="F348" s="2" t="str">
        <f>VLOOKUP(C348,'Task 2b Sample List'!I:K,3,FALSE)</f>
        <v>SHW-S50-P500-Day20-A</v>
      </c>
      <c r="G348" s="166" t="str">
        <f t="shared" si="20"/>
        <v>SHW-S50-P500-Day20</v>
      </c>
      <c r="H348" s="2" t="str">
        <f>VLOOKUP(C348,'Task 2b Sample List'!I:L,4,FALSE)</f>
        <v>A</v>
      </c>
      <c r="I348" t="s">
        <v>185</v>
      </c>
      <c r="J348" s="2">
        <v>50</v>
      </c>
      <c r="K348" s="2">
        <v>500</v>
      </c>
      <c r="L348" s="2">
        <v>20</v>
      </c>
      <c r="M348" s="7" t="s">
        <v>26</v>
      </c>
      <c r="N348" s="2" t="s">
        <v>553</v>
      </c>
      <c r="O348" s="3" t="s">
        <v>39</v>
      </c>
      <c r="P348" s="2" t="s">
        <v>553</v>
      </c>
    </row>
    <row r="349" spans="1:16" ht="15.75" thickBot="1" x14ac:dyDescent="0.3">
      <c r="A349" s="98" t="s">
        <v>81</v>
      </c>
      <c r="B349" s="102" t="s">
        <v>548</v>
      </c>
      <c r="C349" s="1" t="str">
        <f t="shared" si="19"/>
        <v>55469-36-118</v>
      </c>
      <c r="D349" s="2" t="s">
        <v>549</v>
      </c>
      <c r="E349" s="94" t="str">
        <f t="shared" si="16"/>
        <v>SHW-S50-P500-Day20-A:8:2FTS</v>
      </c>
      <c r="F349" s="2" t="str">
        <f>VLOOKUP(C349,'Task 2b Sample List'!I:K,3,FALSE)</f>
        <v>SHW-S50-P500-Day20-A</v>
      </c>
      <c r="G349" s="166" t="str">
        <f t="shared" si="20"/>
        <v>SHW-S50-P500-Day20</v>
      </c>
      <c r="H349" s="2" t="str">
        <f>VLOOKUP(C349,'Task 2b Sample List'!I:L,4,FALSE)</f>
        <v>A</v>
      </c>
      <c r="I349" t="s">
        <v>185</v>
      </c>
      <c r="J349" s="2">
        <v>50</v>
      </c>
      <c r="K349" s="2">
        <v>500</v>
      </c>
      <c r="L349" s="2">
        <v>20</v>
      </c>
      <c r="M349" s="8" t="s">
        <v>27</v>
      </c>
      <c r="N349" s="4" t="s">
        <v>554</v>
      </c>
      <c r="O349" s="5" t="s">
        <v>39</v>
      </c>
      <c r="P349" s="2" t="s">
        <v>554</v>
      </c>
    </row>
    <row r="350" spans="1:16" x14ac:dyDescent="0.25">
      <c r="A350" s="98" t="s">
        <v>81</v>
      </c>
      <c r="B350" s="102" t="s">
        <v>555</v>
      </c>
      <c r="C350" s="1" t="str">
        <f t="shared" si="19"/>
        <v>55469-36-119</v>
      </c>
      <c r="D350" s="2" t="s">
        <v>556</v>
      </c>
      <c r="E350" s="94" t="str">
        <f t="shared" si="16"/>
        <v>SHW-S50-P500-Day20-B:PFHxA</v>
      </c>
      <c r="F350" s="2" t="str">
        <f>VLOOKUP(C350,'Task 2b Sample List'!I:K,3,FALSE)</f>
        <v>SHW-S50-P500-Day20-B</v>
      </c>
      <c r="G350" s="166" t="str">
        <f t="shared" si="20"/>
        <v>SHW-S50-P500-Day20</v>
      </c>
      <c r="H350" s="2" t="str">
        <f>VLOOKUP(C350,'Task 2b Sample List'!I:L,4,FALSE)</f>
        <v>A</v>
      </c>
      <c r="I350" t="s">
        <v>185</v>
      </c>
      <c r="J350" s="2">
        <v>50</v>
      </c>
      <c r="K350" s="2">
        <v>500</v>
      </c>
      <c r="L350" s="2">
        <v>20</v>
      </c>
      <c r="M350" s="6" t="s">
        <v>22</v>
      </c>
      <c r="N350" s="2" t="s">
        <v>557</v>
      </c>
      <c r="O350" s="3" t="s">
        <v>39</v>
      </c>
      <c r="P350" s="2" t="s">
        <v>557</v>
      </c>
    </row>
    <row r="351" spans="1:16" x14ac:dyDescent="0.25">
      <c r="A351" s="98" t="s">
        <v>81</v>
      </c>
      <c r="B351" s="102" t="s">
        <v>555</v>
      </c>
      <c r="C351" s="1" t="str">
        <f t="shared" si="19"/>
        <v>55469-36-119</v>
      </c>
      <c r="D351" s="2" t="s">
        <v>556</v>
      </c>
      <c r="E351" s="94" t="str">
        <f t="shared" si="16"/>
        <v>SHW-S50-P500-Day20-B:PFOA</v>
      </c>
      <c r="F351" s="2" t="str">
        <f>VLOOKUP(C351,'Task 2b Sample List'!I:K,3,FALSE)</f>
        <v>SHW-S50-P500-Day20-B</v>
      </c>
      <c r="G351" s="166" t="str">
        <f t="shared" si="20"/>
        <v>SHW-S50-P500-Day20</v>
      </c>
      <c r="H351" s="2" t="str">
        <f>VLOOKUP(C351,'Task 2b Sample List'!I:L,4,FALSE)</f>
        <v>A</v>
      </c>
      <c r="I351" t="s">
        <v>185</v>
      </c>
      <c r="J351" s="2">
        <v>50</v>
      </c>
      <c r="K351" s="2">
        <v>500</v>
      </c>
      <c r="L351" s="2">
        <v>20</v>
      </c>
      <c r="M351" s="7" t="s">
        <v>23</v>
      </c>
      <c r="N351" s="4" t="s">
        <v>558</v>
      </c>
      <c r="O351" s="5" t="s">
        <v>39</v>
      </c>
      <c r="P351" s="2" t="s">
        <v>558</v>
      </c>
    </row>
    <row r="352" spans="1:16" x14ac:dyDescent="0.25">
      <c r="A352" s="98" t="s">
        <v>81</v>
      </c>
      <c r="B352" s="102" t="s">
        <v>555</v>
      </c>
      <c r="C352" s="1" t="str">
        <f t="shared" si="19"/>
        <v>55469-36-119</v>
      </c>
      <c r="D352" s="2" t="s">
        <v>556</v>
      </c>
      <c r="E352" s="94" t="str">
        <f t="shared" si="16"/>
        <v>SHW-S50-P500-Day20-B:PFNA</v>
      </c>
      <c r="F352" s="2" t="str">
        <f>VLOOKUP(C352,'Task 2b Sample List'!I:K,3,FALSE)</f>
        <v>SHW-S50-P500-Day20-B</v>
      </c>
      <c r="G352" s="166" t="str">
        <f t="shared" si="20"/>
        <v>SHW-S50-P500-Day20</v>
      </c>
      <c r="H352" s="2" t="str">
        <f>VLOOKUP(C352,'Task 2b Sample List'!I:L,4,FALSE)</f>
        <v>A</v>
      </c>
      <c r="I352" t="s">
        <v>185</v>
      </c>
      <c r="J352" s="2">
        <v>50</v>
      </c>
      <c r="K352" s="2">
        <v>500</v>
      </c>
      <c r="L352" s="2">
        <v>20</v>
      </c>
      <c r="M352" s="7" t="s">
        <v>24</v>
      </c>
      <c r="N352" s="2" t="s">
        <v>119</v>
      </c>
      <c r="O352" s="3" t="s">
        <v>39</v>
      </c>
      <c r="P352" s="2" t="s">
        <v>119</v>
      </c>
    </row>
    <row r="353" spans="1:16" x14ac:dyDescent="0.25">
      <c r="A353" s="98" t="s">
        <v>81</v>
      </c>
      <c r="B353" s="102" t="s">
        <v>555</v>
      </c>
      <c r="C353" s="1" t="str">
        <f t="shared" si="19"/>
        <v>55469-36-119</v>
      </c>
      <c r="D353" s="2" t="s">
        <v>556</v>
      </c>
      <c r="E353" s="94" t="str">
        <f t="shared" si="16"/>
        <v>SHW-S50-P500-Day20-B:PFBS</v>
      </c>
      <c r="F353" s="2" t="str">
        <f>VLOOKUP(C353,'Task 2b Sample List'!I:K,3,FALSE)</f>
        <v>SHW-S50-P500-Day20-B</v>
      </c>
      <c r="G353" s="166" t="str">
        <f t="shared" si="20"/>
        <v>SHW-S50-P500-Day20</v>
      </c>
      <c r="H353" s="2" t="str">
        <f>VLOOKUP(C353,'Task 2b Sample List'!I:L,4,FALSE)</f>
        <v>A</v>
      </c>
      <c r="I353" t="s">
        <v>185</v>
      </c>
      <c r="J353" s="2">
        <v>50</v>
      </c>
      <c r="K353" s="2">
        <v>500</v>
      </c>
      <c r="L353" s="2">
        <v>20</v>
      </c>
      <c r="M353" s="7" t="s">
        <v>25</v>
      </c>
      <c r="N353" s="4" t="s">
        <v>559</v>
      </c>
      <c r="O353" s="5" t="s">
        <v>39</v>
      </c>
      <c r="P353" s="2" t="s">
        <v>559</v>
      </c>
    </row>
    <row r="354" spans="1:16" x14ac:dyDescent="0.25">
      <c r="A354" s="98" t="s">
        <v>81</v>
      </c>
      <c r="B354" s="102" t="s">
        <v>555</v>
      </c>
      <c r="C354" s="1" t="str">
        <f t="shared" si="19"/>
        <v>55469-36-119</v>
      </c>
      <c r="D354" s="2" t="s">
        <v>556</v>
      </c>
      <c r="E354" s="94" t="str">
        <f t="shared" si="16"/>
        <v>SHW-S50-P500-Day20-B:PFOS</v>
      </c>
      <c r="F354" s="2" t="str">
        <f>VLOOKUP(C354,'Task 2b Sample List'!I:K,3,FALSE)</f>
        <v>SHW-S50-P500-Day20-B</v>
      </c>
      <c r="G354" s="166" t="str">
        <f t="shared" si="20"/>
        <v>SHW-S50-P500-Day20</v>
      </c>
      <c r="H354" s="2" t="str">
        <f>VLOOKUP(C354,'Task 2b Sample List'!I:L,4,FALSE)</f>
        <v>A</v>
      </c>
      <c r="I354" t="s">
        <v>185</v>
      </c>
      <c r="J354" s="2">
        <v>50</v>
      </c>
      <c r="K354" s="2">
        <v>500</v>
      </c>
      <c r="L354" s="2">
        <v>20</v>
      </c>
      <c r="M354" s="7" t="s">
        <v>26</v>
      </c>
      <c r="N354" s="2" t="s">
        <v>337</v>
      </c>
      <c r="O354" s="3" t="s">
        <v>39</v>
      </c>
      <c r="P354" s="2" t="s">
        <v>337</v>
      </c>
    </row>
    <row r="355" spans="1:16" ht="15.75" thickBot="1" x14ac:dyDescent="0.3">
      <c r="A355" s="98" t="s">
        <v>81</v>
      </c>
      <c r="B355" s="102" t="s">
        <v>555</v>
      </c>
      <c r="C355" s="1" t="str">
        <f t="shared" si="19"/>
        <v>55469-36-119</v>
      </c>
      <c r="D355" s="2" t="s">
        <v>556</v>
      </c>
      <c r="E355" s="94" t="str">
        <f t="shared" si="16"/>
        <v>SHW-S50-P500-Day20-B:8:2FTS</v>
      </c>
      <c r="F355" s="2" t="str">
        <f>VLOOKUP(C355,'Task 2b Sample List'!I:K,3,FALSE)</f>
        <v>SHW-S50-P500-Day20-B</v>
      </c>
      <c r="G355" s="166" t="str">
        <f t="shared" si="20"/>
        <v>SHW-S50-P500-Day20</v>
      </c>
      <c r="H355" s="2" t="str">
        <f>VLOOKUP(C355,'Task 2b Sample List'!I:L,4,FALSE)</f>
        <v>A</v>
      </c>
      <c r="I355" t="s">
        <v>185</v>
      </c>
      <c r="J355" s="2">
        <v>50</v>
      </c>
      <c r="K355" s="2">
        <v>500</v>
      </c>
      <c r="L355" s="2">
        <v>20</v>
      </c>
      <c r="M355" s="8" t="s">
        <v>27</v>
      </c>
      <c r="N355" s="4" t="s">
        <v>560</v>
      </c>
      <c r="O355" s="5" t="s">
        <v>39</v>
      </c>
      <c r="P355" s="2" t="s">
        <v>560</v>
      </c>
    </row>
    <row r="356" spans="1:16" x14ac:dyDescent="0.25">
      <c r="A356" s="98" t="s">
        <v>81</v>
      </c>
      <c r="B356" s="102" t="s">
        <v>561</v>
      </c>
      <c r="C356" s="1" t="str">
        <f t="shared" si="19"/>
        <v>55469-36-120</v>
      </c>
      <c r="D356" s="2" t="s">
        <v>562</v>
      </c>
      <c r="E356" s="94" t="str">
        <f t="shared" si="16"/>
        <v>SHW-S50-P500-Day20-C:PFHxA</v>
      </c>
      <c r="F356" s="2" t="str">
        <f>VLOOKUP(C356,'Task 2b Sample List'!I:K,3,FALSE)</f>
        <v>SHW-S50-P500-Day20-C</v>
      </c>
      <c r="G356" s="166" t="str">
        <f t="shared" si="20"/>
        <v>SHW-S50-P500-Day20</v>
      </c>
      <c r="H356" s="2" t="str">
        <f>VLOOKUP(C356,'Task 2b Sample List'!I:L,4,FALSE)</f>
        <v>A</v>
      </c>
      <c r="I356" t="s">
        <v>185</v>
      </c>
      <c r="J356" s="2">
        <v>50</v>
      </c>
      <c r="K356" s="2">
        <v>500</v>
      </c>
      <c r="L356" s="2">
        <v>20</v>
      </c>
      <c r="M356" s="6" t="s">
        <v>22</v>
      </c>
      <c r="N356" s="2" t="s">
        <v>563</v>
      </c>
      <c r="O356" s="3" t="s">
        <v>39</v>
      </c>
      <c r="P356" s="2" t="s">
        <v>563</v>
      </c>
    </row>
    <row r="357" spans="1:16" x14ac:dyDescent="0.25">
      <c r="A357" s="98" t="s">
        <v>81</v>
      </c>
      <c r="B357" s="102" t="s">
        <v>561</v>
      </c>
      <c r="C357" s="1" t="str">
        <f t="shared" si="19"/>
        <v>55469-36-120</v>
      </c>
      <c r="D357" s="2" t="s">
        <v>562</v>
      </c>
      <c r="E357" s="94" t="str">
        <f t="shared" si="16"/>
        <v>SHW-S50-P500-Day20-C:PFOA</v>
      </c>
      <c r="F357" s="2" t="str">
        <f>VLOOKUP(C357,'Task 2b Sample List'!I:K,3,FALSE)</f>
        <v>SHW-S50-P500-Day20-C</v>
      </c>
      <c r="G357" s="166" t="str">
        <f t="shared" si="20"/>
        <v>SHW-S50-P500-Day20</v>
      </c>
      <c r="H357" s="2" t="str">
        <f>VLOOKUP(C357,'Task 2b Sample List'!I:L,4,FALSE)</f>
        <v>A</v>
      </c>
      <c r="I357" t="s">
        <v>185</v>
      </c>
      <c r="J357" s="2">
        <v>50</v>
      </c>
      <c r="K357" s="2">
        <v>500</v>
      </c>
      <c r="L357" s="2">
        <v>20</v>
      </c>
      <c r="M357" s="7" t="s">
        <v>23</v>
      </c>
      <c r="N357" s="4" t="s">
        <v>564</v>
      </c>
      <c r="O357" s="5" t="s">
        <v>39</v>
      </c>
      <c r="P357" s="2" t="s">
        <v>564</v>
      </c>
    </row>
    <row r="358" spans="1:16" x14ac:dyDescent="0.25">
      <c r="A358" s="98" t="s">
        <v>81</v>
      </c>
      <c r="B358" s="102" t="s">
        <v>561</v>
      </c>
      <c r="C358" s="1" t="str">
        <f t="shared" si="19"/>
        <v>55469-36-120</v>
      </c>
      <c r="D358" s="2" t="s">
        <v>562</v>
      </c>
      <c r="E358" s="94" t="str">
        <f t="shared" si="16"/>
        <v>SHW-S50-P500-Day20-C:PFNA</v>
      </c>
      <c r="F358" s="2" t="str">
        <f>VLOOKUP(C358,'Task 2b Sample List'!I:K,3,FALSE)</f>
        <v>SHW-S50-P500-Day20-C</v>
      </c>
      <c r="G358" s="166" t="str">
        <f t="shared" si="20"/>
        <v>SHW-S50-P500-Day20</v>
      </c>
      <c r="H358" s="2" t="str">
        <f>VLOOKUP(C358,'Task 2b Sample List'!I:L,4,FALSE)</f>
        <v>A</v>
      </c>
      <c r="I358" t="s">
        <v>185</v>
      </c>
      <c r="J358" s="2">
        <v>50</v>
      </c>
      <c r="K358" s="2">
        <v>500</v>
      </c>
      <c r="L358" s="2">
        <v>20</v>
      </c>
      <c r="M358" s="7" t="s">
        <v>24</v>
      </c>
      <c r="N358" s="2" t="s">
        <v>565</v>
      </c>
      <c r="O358" s="3" t="s">
        <v>39</v>
      </c>
      <c r="P358" s="2" t="s">
        <v>565</v>
      </c>
    </row>
    <row r="359" spans="1:16" x14ac:dyDescent="0.25">
      <c r="A359" s="98" t="s">
        <v>81</v>
      </c>
      <c r="B359" s="102" t="s">
        <v>561</v>
      </c>
      <c r="C359" s="1" t="str">
        <f t="shared" si="19"/>
        <v>55469-36-120</v>
      </c>
      <c r="D359" s="2" t="s">
        <v>562</v>
      </c>
      <c r="E359" s="94" t="str">
        <f t="shared" si="16"/>
        <v>SHW-S50-P500-Day20-C:PFBS</v>
      </c>
      <c r="F359" s="2" t="str">
        <f>VLOOKUP(C359,'Task 2b Sample List'!I:K,3,FALSE)</f>
        <v>SHW-S50-P500-Day20-C</v>
      </c>
      <c r="G359" s="166" t="str">
        <f t="shared" si="20"/>
        <v>SHW-S50-P500-Day20</v>
      </c>
      <c r="H359" s="2" t="str">
        <f>VLOOKUP(C359,'Task 2b Sample List'!I:L,4,FALSE)</f>
        <v>A</v>
      </c>
      <c r="I359" t="s">
        <v>185</v>
      </c>
      <c r="J359" s="2">
        <v>50</v>
      </c>
      <c r="K359" s="2">
        <v>500</v>
      </c>
      <c r="L359" s="2">
        <v>20</v>
      </c>
      <c r="M359" s="7" t="s">
        <v>25</v>
      </c>
      <c r="N359" s="4" t="s">
        <v>566</v>
      </c>
      <c r="O359" s="5" t="s">
        <v>39</v>
      </c>
      <c r="P359" s="2" t="s">
        <v>566</v>
      </c>
    </row>
    <row r="360" spans="1:16" x14ac:dyDescent="0.25">
      <c r="A360" s="98" t="s">
        <v>81</v>
      </c>
      <c r="B360" s="102" t="s">
        <v>561</v>
      </c>
      <c r="C360" s="1" t="str">
        <f t="shared" si="19"/>
        <v>55469-36-120</v>
      </c>
      <c r="D360" s="2" t="s">
        <v>562</v>
      </c>
      <c r="E360" s="94" t="str">
        <f t="shared" si="16"/>
        <v>SHW-S50-P500-Day20-C:PFOS</v>
      </c>
      <c r="F360" s="2" t="str">
        <f>VLOOKUP(C360,'Task 2b Sample List'!I:K,3,FALSE)</f>
        <v>SHW-S50-P500-Day20-C</v>
      </c>
      <c r="G360" s="166" t="str">
        <f t="shared" si="20"/>
        <v>SHW-S50-P500-Day20</v>
      </c>
      <c r="H360" s="2" t="str">
        <f>VLOOKUP(C360,'Task 2b Sample List'!I:L,4,FALSE)</f>
        <v>A</v>
      </c>
      <c r="I360" t="s">
        <v>185</v>
      </c>
      <c r="J360" s="2">
        <v>50</v>
      </c>
      <c r="K360" s="2">
        <v>500</v>
      </c>
      <c r="L360" s="2">
        <v>20</v>
      </c>
      <c r="M360" s="7" t="s">
        <v>26</v>
      </c>
      <c r="N360" s="2" t="s">
        <v>567</v>
      </c>
      <c r="O360" s="3" t="s">
        <v>39</v>
      </c>
      <c r="P360" s="2" t="s">
        <v>567</v>
      </c>
    </row>
    <row r="361" spans="1:16" ht="15.75" thickBot="1" x14ac:dyDescent="0.3">
      <c r="A361" s="98" t="s">
        <v>81</v>
      </c>
      <c r="B361" s="102" t="s">
        <v>561</v>
      </c>
      <c r="C361" s="1" t="str">
        <f t="shared" si="19"/>
        <v>55469-36-120</v>
      </c>
      <c r="D361" s="2" t="s">
        <v>562</v>
      </c>
      <c r="E361" s="94" t="str">
        <f t="shared" si="16"/>
        <v>SHW-S50-P500-Day20-C:8:2FTS</v>
      </c>
      <c r="F361" s="2" t="str">
        <f>VLOOKUP(C361,'Task 2b Sample List'!I:K,3,FALSE)</f>
        <v>SHW-S50-P500-Day20-C</v>
      </c>
      <c r="G361" s="166" t="str">
        <f t="shared" si="20"/>
        <v>SHW-S50-P500-Day20</v>
      </c>
      <c r="H361" s="2" t="str">
        <f>VLOOKUP(C361,'Task 2b Sample List'!I:L,4,FALSE)</f>
        <v>A</v>
      </c>
      <c r="I361" t="s">
        <v>185</v>
      </c>
      <c r="J361" s="2">
        <v>50</v>
      </c>
      <c r="K361" s="2">
        <v>500</v>
      </c>
      <c r="L361" s="2">
        <v>20</v>
      </c>
      <c r="M361" s="8" t="s">
        <v>27</v>
      </c>
      <c r="N361" s="4" t="s">
        <v>568</v>
      </c>
      <c r="O361" s="5" t="s">
        <v>39</v>
      </c>
      <c r="P361" s="2" t="s">
        <v>568</v>
      </c>
    </row>
    <row r="362" spans="1:16" x14ac:dyDescent="0.25">
      <c r="A362" s="98" t="s">
        <v>81</v>
      </c>
      <c r="B362" s="1" t="s">
        <v>569</v>
      </c>
      <c r="C362" s="1" t="s">
        <v>569</v>
      </c>
      <c r="D362" s="2" t="s">
        <v>570</v>
      </c>
      <c r="E362" s="94" t="str">
        <f t="shared" si="16"/>
        <v>HSM+BM1(1:1)-S50-P0-Day20-A:PFHxA</v>
      </c>
      <c r="F362" s="2" t="str">
        <f>VLOOKUP(C362,'Task 2b Sample List'!I:K,3,FALSE)</f>
        <v>HSM+BM1(1:1)-S50-P0-Day20-A</v>
      </c>
      <c r="G362" s="166" t="str">
        <f>LEFT(F362,25)</f>
        <v>HSM+BM1(1:1)-S50-P0-Day20</v>
      </c>
      <c r="H362" s="2" t="str">
        <f>VLOOKUP(C362,'Task 2b Sample List'!I:L,4,FALSE)</f>
        <v>B</v>
      </c>
      <c r="I362" s="2" t="s">
        <v>189</v>
      </c>
      <c r="J362" s="2">
        <v>50</v>
      </c>
      <c r="K362" s="2">
        <v>0</v>
      </c>
      <c r="L362" s="2">
        <v>20</v>
      </c>
      <c r="M362" s="6" t="s">
        <v>22</v>
      </c>
      <c r="N362" s="2" t="s">
        <v>571</v>
      </c>
      <c r="O362" s="3" t="s">
        <v>14</v>
      </c>
      <c r="P362" s="2" t="s">
        <v>571</v>
      </c>
    </row>
    <row r="363" spans="1:16" x14ac:dyDescent="0.25">
      <c r="A363" s="98" t="s">
        <v>81</v>
      </c>
      <c r="B363" s="1" t="s">
        <v>569</v>
      </c>
      <c r="C363" s="1" t="s">
        <v>569</v>
      </c>
      <c r="D363" s="2" t="s">
        <v>570</v>
      </c>
      <c r="E363" s="94" t="str">
        <f t="shared" si="16"/>
        <v>HSM+BM1(1:1)-S50-P0-Day20-A:PFOA</v>
      </c>
      <c r="F363" s="2" t="str">
        <f>VLOOKUP(C363,'Task 2b Sample List'!I:K,3,FALSE)</f>
        <v>HSM+BM1(1:1)-S50-P0-Day20-A</v>
      </c>
      <c r="G363" s="166" t="str">
        <f t="shared" ref="G363:G379" si="21">LEFT(F363,25)</f>
        <v>HSM+BM1(1:1)-S50-P0-Day20</v>
      </c>
      <c r="H363" s="2" t="str">
        <f>VLOOKUP(C363,'Task 2b Sample List'!I:L,4,FALSE)</f>
        <v>B</v>
      </c>
      <c r="I363" s="2" t="s">
        <v>189</v>
      </c>
      <c r="J363" s="2">
        <v>50</v>
      </c>
      <c r="K363" s="2">
        <v>0</v>
      </c>
      <c r="L363" s="2">
        <v>20</v>
      </c>
      <c r="M363" s="7" t="s">
        <v>23</v>
      </c>
      <c r="N363" s="4" t="s">
        <v>572</v>
      </c>
      <c r="O363" s="5" t="s">
        <v>7</v>
      </c>
      <c r="P363" s="2">
        <v>0</v>
      </c>
    </row>
    <row r="364" spans="1:16" x14ac:dyDescent="0.25">
      <c r="A364" s="98" t="s">
        <v>81</v>
      </c>
      <c r="B364" s="1" t="s">
        <v>569</v>
      </c>
      <c r="C364" s="1" t="s">
        <v>569</v>
      </c>
      <c r="D364" s="2" t="s">
        <v>570</v>
      </c>
      <c r="E364" s="94" t="str">
        <f t="shared" si="16"/>
        <v>HSM+BM1(1:1)-S50-P0-Day20-A:PFNA</v>
      </c>
      <c r="F364" s="2" t="str">
        <f>VLOOKUP(C364,'Task 2b Sample List'!I:K,3,FALSE)</f>
        <v>HSM+BM1(1:1)-S50-P0-Day20-A</v>
      </c>
      <c r="G364" s="166" t="str">
        <f t="shared" si="21"/>
        <v>HSM+BM1(1:1)-S50-P0-Day20</v>
      </c>
      <c r="H364" s="2" t="str">
        <f>VLOOKUP(C364,'Task 2b Sample List'!I:L,4,FALSE)</f>
        <v>B</v>
      </c>
      <c r="I364" s="2" t="s">
        <v>189</v>
      </c>
      <c r="J364" s="2">
        <v>50</v>
      </c>
      <c r="K364" s="2">
        <v>0</v>
      </c>
      <c r="L364" s="2">
        <v>20</v>
      </c>
      <c r="M364" s="7" t="s">
        <v>24</v>
      </c>
      <c r="N364" s="2" t="s">
        <v>573</v>
      </c>
      <c r="O364" s="3" t="s">
        <v>7</v>
      </c>
      <c r="P364" s="2">
        <v>0</v>
      </c>
    </row>
    <row r="365" spans="1:16" x14ac:dyDescent="0.25">
      <c r="A365" s="98" t="s">
        <v>81</v>
      </c>
      <c r="B365" s="1" t="s">
        <v>569</v>
      </c>
      <c r="C365" s="1" t="s">
        <v>569</v>
      </c>
      <c r="D365" s="2" t="s">
        <v>570</v>
      </c>
      <c r="E365" s="94" t="str">
        <f t="shared" ref="E365:E428" si="22">F365&amp;":"&amp;M365</f>
        <v>HSM+BM1(1:1)-S50-P0-Day20-A:PFBS</v>
      </c>
      <c r="F365" s="2" t="str">
        <f>VLOOKUP(C365,'Task 2b Sample List'!I:K,3,FALSE)</f>
        <v>HSM+BM1(1:1)-S50-P0-Day20-A</v>
      </c>
      <c r="G365" s="166" t="str">
        <f t="shared" si="21"/>
        <v>HSM+BM1(1:1)-S50-P0-Day20</v>
      </c>
      <c r="H365" s="2" t="str">
        <f>VLOOKUP(C365,'Task 2b Sample List'!I:L,4,FALSE)</f>
        <v>B</v>
      </c>
      <c r="I365" s="2" t="s">
        <v>189</v>
      </c>
      <c r="J365" s="2">
        <v>50</v>
      </c>
      <c r="K365" s="2">
        <v>0</v>
      </c>
      <c r="L365" s="2">
        <v>20</v>
      </c>
      <c r="M365" s="7" t="s">
        <v>25</v>
      </c>
      <c r="N365" s="4" t="s">
        <v>574</v>
      </c>
      <c r="O365" s="5" t="s">
        <v>14</v>
      </c>
      <c r="P365" s="2" t="s">
        <v>574</v>
      </c>
    </row>
    <row r="366" spans="1:16" x14ac:dyDescent="0.25">
      <c r="A366" s="98" t="s">
        <v>81</v>
      </c>
      <c r="B366" s="1" t="s">
        <v>569</v>
      </c>
      <c r="C366" s="1" t="s">
        <v>569</v>
      </c>
      <c r="D366" s="2" t="s">
        <v>570</v>
      </c>
      <c r="E366" s="94" t="str">
        <f t="shared" si="22"/>
        <v>HSM+BM1(1:1)-S50-P0-Day20-A:PFOS</v>
      </c>
      <c r="F366" s="2" t="str">
        <f>VLOOKUP(C366,'Task 2b Sample List'!I:K,3,FALSE)</f>
        <v>HSM+BM1(1:1)-S50-P0-Day20-A</v>
      </c>
      <c r="G366" s="166" t="str">
        <f t="shared" si="21"/>
        <v>HSM+BM1(1:1)-S50-P0-Day20</v>
      </c>
      <c r="H366" s="2" t="str">
        <f>VLOOKUP(C366,'Task 2b Sample List'!I:L,4,FALSE)</f>
        <v>B</v>
      </c>
      <c r="I366" s="2" t="s">
        <v>189</v>
      </c>
      <c r="J366" s="2">
        <v>50</v>
      </c>
      <c r="K366" s="2">
        <v>0</v>
      </c>
      <c r="L366" s="2">
        <v>20</v>
      </c>
      <c r="M366" s="7" t="s">
        <v>26</v>
      </c>
      <c r="N366" s="2" t="s">
        <v>575</v>
      </c>
      <c r="O366" s="3" t="s">
        <v>7</v>
      </c>
      <c r="P366" s="2">
        <v>0</v>
      </c>
    </row>
    <row r="367" spans="1:16" ht="15.75" thickBot="1" x14ac:dyDescent="0.3">
      <c r="A367" s="98" t="s">
        <v>81</v>
      </c>
      <c r="B367" s="1" t="s">
        <v>569</v>
      </c>
      <c r="C367" s="1" t="s">
        <v>569</v>
      </c>
      <c r="D367" s="2" t="s">
        <v>570</v>
      </c>
      <c r="E367" s="94" t="str">
        <f t="shared" si="22"/>
        <v>HSM+BM1(1:1)-S50-P0-Day20-A:8:2FTS</v>
      </c>
      <c r="F367" s="2" t="str">
        <f>VLOOKUP(C367,'Task 2b Sample List'!I:K,3,FALSE)</f>
        <v>HSM+BM1(1:1)-S50-P0-Day20-A</v>
      </c>
      <c r="G367" s="166" t="str">
        <f t="shared" si="21"/>
        <v>HSM+BM1(1:1)-S50-P0-Day20</v>
      </c>
      <c r="H367" s="2" t="str">
        <f>VLOOKUP(C367,'Task 2b Sample List'!I:L,4,FALSE)</f>
        <v>B</v>
      </c>
      <c r="I367" s="2" t="s">
        <v>189</v>
      </c>
      <c r="J367" s="2">
        <v>50</v>
      </c>
      <c r="K367" s="2">
        <v>0</v>
      </c>
      <c r="L367" s="2">
        <v>20</v>
      </c>
      <c r="M367" s="8" t="s">
        <v>27</v>
      </c>
      <c r="N367" s="4" t="s">
        <v>576</v>
      </c>
      <c r="O367" s="5" t="s">
        <v>7</v>
      </c>
      <c r="P367" s="2">
        <v>0</v>
      </c>
    </row>
    <row r="368" spans="1:16" x14ac:dyDescent="0.25">
      <c r="A368" s="98" t="s">
        <v>81</v>
      </c>
      <c r="B368" s="1" t="s">
        <v>577</v>
      </c>
      <c r="C368" s="1" t="s">
        <v>577</v>
      </c>
      <c r="D368" s="2" t="s">
        <v>578</v>
      </c>
      <c r="E368" s="94" t="str">
        <f t="shared" si="22"/>
        <v>HSM+BM1(1:1)-S50-P0-Day20-B:PFHxA</v>
      </c>
      <c r="F368" s="2" t="str">
        <f>VLOOKUP(C368,'Task 2b Sample List'!I:K,3,FALSE)</f>
        <v>HSM+BM1(1:1)-S50-P0-Day20-B</v>
      </c>
      <c r="G368" s="166" t="str">
        <f t="shared" si="21"/>
        <v>HSM+BM1(1:1)-S50-P0-Day20</v>
      </c>
      <c r="H368" s="2" t="str">
        <f>VLOOKUP(C368,'Task 2b Sample List'!I:L,4,FALSE)</f>
        <v>B</v>
      </c>
      <c r="I368" s="2" t="s">
        <v>189</v>
      </c>
      <c r="J368" s="2">
        <v>50</v>
      </c>
      <c r="K368" s="2">
        <v>0</v>
      </c>
      <c r="L368" s="2">
        <v>20</v>
      </c>
      <c r="M368" s="6" t="s">
        <v>22</v>
      </c>
      <c r="N368" s="2" t="s">
        <v>579</v>
      </c>
      <c r="O368" s="3" t="s">
        <v>14</v>
      </c>
      <c r="P368" s="2" t="s">
        <v>579</v>
      </c>
    </row>
    <row r="369" spans="1:16" x14ac:dyDescent="0.25">
      <c r="A369" s="98" t="s">
        <v>81</v>
      </c>
      <c r="B369" s="1" t="s">
        <v>577</v>
      </c>
      <c r="C369" s="1" t="s">
        <v>577</v>
      </c>
      <c r="D369" s="2" t="s">
        <v>578</v>
      </c>
      <c r="E369" s="94" t="str">
        <f t="shared" si="22"/>
        <v>HSM+BM1(1:1)-S50-P0-Day20-B:PFOA</v>
      </c>
      <c r="F369" s="2" t="str">
        <f>VLOOKUP(C369,'Task 2b Sample List'!I:K,3,FALSE)</f>
        <v>HSM+BM1(1:1)-S50-P0-Day20-B</v>
      </c>
      <c r="G369" s="166" t="str">
        <f t="shared" si="21"/>
        <v>HSM+BM1(1:1)-S50-P0-Day20</v>
      </c>
      <c r="H369" s="2" t="str">
        <f>VLOOKUP(C369,'Task 2b Sample List'!I:L,4,FALSE)</f>
        <v>B</v>
      </c>
      <c r="I369" s="2" t="s">
        <v>189</v>
      </c>
      <c r="J369" s="2">
        <v>50</v>
      </c>
      <c r="K369" s="2">
        <v>0</v>
      </c>
      <c r="L369" s="2">
        <v>20</v>
      </c>
      <c r="M369" s="7" t="s">
        <v>23</v>
      </c>
      <c r="N369" s="4" t="s">
        <v>580</v>
      </c>
      <c r="O369" s="5" t="s">
        <v>7</v>
      </c>
      <c r="P369" s="2">
        <v>0</v>
      </c>
    </row>
    <row r="370" spans="1:16" x14ac:dyDescent="0.25">
      <c r="A370" s="98" t="s">
        <v>81</v>
      </c>
      <c r="B370" s="1" t="s">
        <v>577</v>
      </c>
      <c r="C370" s="1" t="s">
        <v>577</v>
      </c>
      <c r="D370" s="2" t="s">
        <v>578</v>
      </c>
      <c r="E370" s="94" t="str">
        <f t="shared" si="22"/>
        <v>HSM+BM1(1:1)-S50-P0-Day20-B:PFNA</v>
      </c>
      <c r="F370" s="2" t="str">
        <f>VLOOKUP(C370,'Task 2b Sample List'!I:K,3,FALSE)</f>
        <v>HSM+BM1(1:1)-S50-P0-Day20-B</v>
      </c>
      <c r="G370" s="166" t="str">
        <f t="shared" si="21"/>
        <v>HSM+BM1(1:1)-S50-P0-Day20</v>
      </c>
      <c r="H370" s="2" t="str">
        <f>VLOOKUP(C370,'Task 2b Sample List'!I:L,4,FALSE)</f>
        <v>B</v>
      </c>
      <c r="I370" s="2" t="s">
        <v>189</v>
      </c>
      <c r="J370" s="2">
        <v>50</v>
      </c>
      <c r="K370" s="2">
        <v>0</v>
      </c>
      <c r="L370" s="2">
        <v>20</v>
      </c>
      <c r="M370" s="7" t="s">
        <v>24</v>
      </c>
      <c r="N370" s="2" t="s">
        <v>581</v>
      </c>
      <c r="O370" s="3" t="s">
        <v>7</v>
      </c>
      <c r="P370" s="2">
        <v>0</v>
      </c>
    </row>
    <row r="371" spans="1:16" x14ac:dyDescent="0.25">
      <c r="A371" s="98" t="s">
        <v>81</v>
      </c>
      <c r="B371" s="1" t="s">
        <v>577</v>
      </c>
      <c r="C371" s="1" t="s">
        <v>577</v>
      </c>
      <c r="D371" s="2" t="s">
        <v>578</v>
      </c>
      <c r="E371" s="94" t="str">
        <f t="shared" si="22"/>
        <v>HSM+BM1(1:1)-S50-P0-Day20-B:PFBS</v>
      </c>
      <c r="F371" s="2" t="str">
        <f>VLOOKUP(C371,'Task 2b Sample List'!I:K,3,FALSE)</f>
        <v>HSM+BM1(1:1)-S50-P0-Day20-B</v>
      </c>
      <c r="G371" s="166" t="str">
        <f t="shared" si="21"/>
        <v>HSM+BM1(1:1)-S50-P0-Day20</v>
      </c>
      <c r="H371" s="2" t="str">
        <f>VLOOKUP(C371,'Task 2b Sample List'!I:L,4,FALSE)</f>
        <v>B</v>
      </c>
      <c r="I371" s="2" t="s">
        <v>189</v>
      </c>
      <c r="J371" s="2">
        <v>50</v>
      </c>
      <c r="K371" s="2">
        <v>0</v>
      </c>
      <c r="L371" s="2">
        <v>20</v>
      </c>
      <c r="M371" s="7" t="s">
        <v>25</v>
      </c>
      <c r="N371" s="4" t="s">
        <v>582</v>
      </c>
      <c r="O371" s="5" t="s">
        <v>14</v>
      </c>
      <c r="P371" s="2" t="s">
        <v>582</v>
      </c>
    </row>
    <row r="372" spans="1:16" x14ac:dyDescent="0.25">
      <c r="A372" s="98" t="s">
        <v>81</v>
      </c>
      <c r="B372" s="1" t="s">
        <v>577</v>
      </c>
      <c r="C372" s="1" t="s">
        <v>577</v>
      </c>
      <c r="D372" s="2" t="s">
        <v>578</v>
      </c>
      <c r="E372" s="94" t="str">
        <f t="shared" si="22"/>
        <v>HSM+BM1(1:1)-S50-P0-Day20-B:PFOS</v>
      </c>
      <c r="F372" s="2" t="str">
        <f>VLOOKUP(C372,'Task 2b Sample List'!I:K,3,FALSE)</f>
        <v>HSM+BM1(1:1)-S50-P0-Day20-B</v>
      </c>
      <c r="G372" s="166" t="str">
        <f t="shared" si="21"/>
        <v>HSM+BM1(1:1)-S50-P0-Day20</v>
      </c>
      <c r="H372" s="2" t="str">
        <f>VLOOKUP(C372,'Task 2b Sample List'!I:L,4,FALSE)</f>
        <v>B</v>
      </c>
      <c r="I372" s="2" t="s">
        <v>189</v>
      </c>
      <c r="J372" s="2">
        <v>50</v>
      </c>
      <c r="K372" s="2">
        <v>0</v>
      </c>
      <c r="L372" s="2">
        <v>20</v>
      </c>
      <c r="M372" s="7" t="s">
        <v>26</v>
      </c>
      <c r="N372" s="2" t="s">
        <v>583</v>
      </c>
      <c r="O372" s="3" t="s">
        <v>14</v>
      </c>
      <c r="P372" s="2" t="s">
        <v>583</v>
      </c>
    </row>
    <row r="373" spans="1:16" ht="15.75" thickBot="1" x14ac:dyDescent="0.3">
      <c r="A373" s="98" t="s">
        <v>81</v>
      </c>
      <c r="B373" s="1" t="s">
        <v>577</v>
      </c>
      <c r="C373" s="1" t="s">
        <v>577</v>
      </c>
      <c r="D373" s="2" t="s">
        <v>578</v>
      </c>
      <c r="E373" s="94" t="str">
        <f t="shared" si="22"/>
        <v>HSM+BM1(1:1)-S50-P0-Day20-B:8:2FTS</v>
      </c>
      <c r="F373" s="2" t="str">
        <f>VLOOKUP(C373,'Task 2b Sample List'!I:K,3,FALSE)</f>
        <v>HSM+BM1(1:1)-S50-P0-Day20-B</v>
      </c>
      <c r="G373" s="166" t="str">
        <f t="shared" si="21"/>
        <v>HSM+BM1(1:1)-S50-P0-Day20</v>
      </c>
      <c r="H373" s="2" t="str">
        <f>VLOOKUP(C373,'Task 2b Sample List'!I:L,4,FALSE)</f>
        <v>B</v>
      </c>
      <c r="I373" s="2" t="s">
        <v>189</v>
      </c>
      <c r="J373" s="2">
        <v>50</v>
      </c>
      <c r="K373" s="2">
        <v>0</v>
      </c>
      <c r="L373" s="2">
        <v>20</v>
      </c>
      <c r="M373" s="8" t="s">
        <v>27</v>
      </c>
      <c r="N373" s="4" t="s">
        <v>584</v>
      </c>
      <c r="O373" s="5" t="s">
        <v>7</v>
      </c>
      <c r="P373" s="2">
        <v>0</v>
      </c>
    </row>
    <row r="374" spans="1:16" x14ac:dyDescent="0.25">
      <c r="A374" s="98" t="s">
        <v>81</v>
      </c>
      <c r="B374" s="1" t="s">
        <v>585</v>
      </c>
      <c r="C374" s="1" t="s">
        <v>585</v>
      </c>
      <c r="D374" s="2" t="s">
        <v>586</v>
      </c>
      <c r="E374" s="94" t="str">
        <f t="shared" si="22"/>
        <v>HSM+BM1(1:1)-S50-P0-Day20-C:PFHxA</v>
      </c>
      <c r="F374" s="2" t="str">
        <f>VLOOKUP(C374,'Task 2b Sample List'!I:K,3,FALSE)</f>
        <v>HSM+BM1(1:1)-S50-P0-Day20-C</v>
      </c>
      <c r="G374" s="166" t="str">
        <f t="shared" si="21"/>
        <v>HSM+BM1(1:1)-S50-P0-Day20</v>
      </c>
      <c r="H374" s="2" t="str">
        <f>VLOOKUP(C374,'Task 2b Sample List'!I:L,4,FALSE)</f>
        <v>B</v>
      </c>
      <c r="I374" s="2" t="s">
        <v>189</v>
      </c>
      <c r="J374" s="2">
        <v>50</v>
      </c>
      <c r="K374" s="2">
        <v>0</v>
      </c>
      <c r="L374" s="2">
        <v>20</v>
      </c>
      <c r="M374" s="6" t="s">
        <v>22</v>
      </c>
      <c r="N374" s="2" t="s">
        <v>587</v>
      </c>
      <c r="O374" s="3" t="s">
        <v>14</v>
      </c>
      <c r="P374" s="2" t="s">
        <v>587</v>
      </c>
    </row>
    <row r="375" spans="1:16" x14ac:dyDescent="0.25">
      <c r="A375" s="98" t="s">
        <v>81</v>
      </c>
      <c r="B375" s="1" t="s">
        <v>585</v>
      </c>
      <c r="C375" s="1" t="s">
        <v>585</v>
      </c>
      <c r="D375" s="2" t="s">
        <v>586</v>
      </c>
      <c r="E375" s="94" t="str">
        <f t="shared" si="22"/>
        <v>HSM+BM1(1:1)-S50-P0-Day20-C:PFOA</v>
      </c>
      <c r="F375" s="2" t="str">
        <f>VLOOKUP(C375,'Task 2b Sample List'!I:K,3,FALSE)</f>
        <v>HSM+BM1(1:1)-S50-P0-Day20-C</v>
      </c>
      <c r="G375" s="166" t="str">
        <f t="shared" si="21"/>
        <v>HSM+BM1(1:1)-S50-P0-Day20</v>
      </c>
      <c r="H375" s="2" t="str">
        <f>VLOOKUP(C375,'Task 2b Sample List'!I:L,4,FALSE)</f>
        <v>B</v>
      </c>
      <c r="I375" s="2" t="s">
        <v>189</v>
      </c>
      <c r="J375" s="2">
        <v>50</v>
      </c>
      <c r="K375" s="2">
        <v>0</v>
      </c>
      <c r="L375" s="2">
        <v>20</v>
      </c>
      <c r="M375" s="7" t="s">
        <v>23</v>
      </c>
      <c r="N375" s="4" t="s">
        <v>588</v>
      </c>
      <c r="O375" s="5" t="s">
        <v>7</v>
      </c>
      <c r="P375" s="2">
        <v>0</v>
      </c>
    </row>
    <row r="376" spans="1:16" x14ac:dyDescent="0.25">
      <c r="A376" s="98" t="s">
        <v>81</v>
      </c>
      <c r="B376" s="1" t="s">
        <v>585</v>
      </c>
      <c r="C376" s="1" t="s">
        <v>585</v>
      </c>
      <c r="D376" s="2" t="s">
        <v>586</v>
      </c>
      <c r="E376" s="94" t="str">
        <f t="shared" si="22"/>
        <v>HSM+BM1(1:1)-S50-P0-Day20-C:PFNA</v>
      </c>
      <c r="F376" s="2" t="str">
        <f>VLOOKUP(C376,'Task 2b Sample List'!I:K,3,FALSE)</f>
        <v>HSM+BM1(1:1)-S50-P0-Day20-C</v>
      </c>
      <c r="G376" s="166" t="str">
        <f t="shared" si="21"/>
        <v>HSM+BM1(1:1)-S50-P0-Day20</v>
      </c>
      <c r="H376" s="2" t="str">
        <f>VLOOKUP(C376,'Task 2b Sample List'!I:L,4,FALSE)</f>
        <v>B</v>
      </c>
      <c r="I376" s="2" t="s">
        <v>189</v>
      </c>
      <c r="J376" s="2">
        <v>50</v>
      </c>
      <c r="K376" s="2">
        <v>0</v>
      </c>
      <c r="L376" s="2">
        <v>20</v>
      </c>
      <c r="M376" s="7" t="s">
        <v>24</v>
      </c>
      <c r="N376" s="2" t="s">
        <v>352</v>
      </c>
      <c r="O376" s="3" t="s">
        <v>7</v>
      </c>
      <c r="P376" s="2">
        <v>0</v>
      </c>
    </row>
    <row r="377" spans="1:16" x14ac:dyDescent="0.25">
      <c r="A377" s="98" t="s">
        <v>81</v>
      </c>
      <c r="B377" s="1" t="s">
        <v>585</v>
      </c>
      <c r="C377" s="1" t="s">
        <v>585</v>
      </c>
      <c r="D377" s="2" t="s">
        <v>586</v>
      </c>
      <c r="E377" s="94" t="str">
        <f t="shared" si="22"/>
        <v>HSM+BM1(1:1)-S50-P0-Day20-C:PFBS</v>
      </c>
      <c r="F377" s="2" t="str">
        <f>VLOOKUP(C377,'Task 2b Sample List'!I:K,3,FALSE)</f>
        <v>HSM+BM1(1:1)-S50-P0-Day20-C</v>
      </c>
      <c r="G377" s="166" t="str">
        <f t="shared" si="21"/>
        <v>HSM+BM1(1:1)-S50-P0-Day20</v>
      </c>
      <c r="H377" s="2" t="str">
        <f>VLOOKUP(C377,'Task 2b Sample List'!I:L,4,FALSE)</f>
        <v>B</v>
      </c>
      <c r="I377" s="2" t="s">
        <v>189</v>
      </c>
      <c r="J377" s="2">
        <v>50</v>
      </c>
      <c r="K377" s="2">
        <v>0</v>
      </c>
      <c r="L377" s="2">
        <v>20</v>
      </c>
      <c r="M377" s="7" t="s">
        <v>25</v>
      </c>
      <c r="N377" s="4" t="s">
        <v>589</v>
      </c>
      <c r="O377" s="5" t="s">
        <v>14</v>
      </c>
      <c r="P377" s="2" t="s">
        <v>589</v>
      </c>
    </row>
    <row r="378" spans="1:16" x14ac:dyDescent="0.25">
      <c r="A378" s="98" t="s">
        <v>81</v>
      </c>
      <c r="B378" s="1" t="s">
        <v>585</v>
      </c>
      <c r="C378" s="1" t="s">
        <v>585</v>
      </c>
      <c r="D378" s="2" t="s">
        <v>586</v>
      </c>
      <c r="E378" s="94" t="str">
        <f t="shared" si="22"/>
        <v>HSM+BM1(1:1)-S50-P0-Day20-C:PFOS</v>
      </c>
      <c r="F378" s="2" t="str">
        <f>VLOOKUP(C378,'Task 2b Sample List'!I:K,3,FALSE)</f>
        <v>HSM+BM1(1:1)-S50-P0-Day20-C</v>
      </c>
      <c r="G378" s="166" t="str">
        <f t="shared" si="21"/>
        <v>HSM+BM1(1:1)-S50-P0-Day20</v>
      </c>
      <c r="H378" s="2" t="str">
        <f>VLOOKUP(C378,'Task 2b Sample List'!I:L,4,FALSE)</f>
        <v>B</v>
      </c>
      <c r="I378" s="2" t="s">
        <v>189</v>
      </c>
      <c r="J378" s="2">
        <v>50</v>
      </c>
      <c r="K378" s="2">
        <v>0</v>
      </c>
      <c r="L378" s="2">
        <v>20</v>
      </c>
      <c r="M378" s="7" t="s">
        <v>26</v>
      </c>
      <c r="N378" s="2" t="s">
        <v>590</v>
      </c>
      <c r="O378" s="3" t="s">
        <v>7</v>
      </c>
      <c r="P378" s="2">
        <v>0</v>
      </c>
    </row>
    <row r="379" spans="1:16" ht="15.75" thickBot="1" x14ac:dyDescent="0.3">
      <c r="A379" s="98" t="s">
        <v>81</v>
      </c>
      <c r="B379" s="1" t="s">
        <v>585</v>
      </c>
      <c r="C379" s="1" t="s">
        <v>585</v>
      </c>
      <c r="D379" s="2" t="s">
        <v>586</v>
      </c>
      <c r="E379" s="94" t="str">
        <f t="shared" si="22"/>
        <v>HSM+BM1(1:1)-S50-P0-Day20-C:8:2FTS</v>
      </c>
      <c r="F379" s="2" t="str">
        <f>VLOOKUP(C379,'Task 2b Sample List'!I:K,3,FALSE)</f>
        <v>HSM+BM1(1:1)-S50-P0-Day20-C</v>
      </c>
      <c r="G379" s="166" t="str">
        <f t="shared" si="21"/>
        <v>HSM+BM1(1:1)-S50-P0-Day20</v>
      </c>
      <c r="H379" s="2" t="str">
        <f>VLOOKUP(C379,'Task 2b Sample List'!I:L,4,FALSE)</f>
        <v>B</v>
      </c>
      <c r="I379" s="2" t="s">
        <v>189</v>
      </c>
      <c r="J379" s="2">
        <v>50</v>
      </c>
      <c r="K379" s="2">
        <v>0</v>
      </c>
      <c r="L379" s="2">
        <v>20</v>
      </c>
      <c r="M379" s="8" t="s">
        <v>27</v>
      </c>
      <c r="N379" s="4" t="s">
        <v>353</v>
      </c>
      <c r="O379" s="5" t="s">
        <v>7</v>
      </c>
      <c r="P379" s="2">
        <v>0</v>
      </c>
    </row>
    <row r="380" spans="1:16" x14ac:dyDescent="0.25">
      <c r="A380" s="98" t="s">
        <v>81</v>
      </c>
      <c r="B380" s="1" t="s">
        <v>591</v>
      </c>
      <c r="C380" s="1" t="s">
        <v>591</v>
      </c>
      <c r="D380" s="2" t="s">
        <v>592</v>
      </c>
      <c r="E380" s="94" t="str">
        <f t="shared" si="22"/>
        <v>HSM+BM1(1:1)-S50-P10-Day20-A:PFHxA</v>
      </c>
      <c r="F380" s="2" t="str">
        <f>VLOOKUP(C380,'Task 2b Sample List'!I:K,3,FALSE)</f>
        <v>HSM+BM1(1:1)-S50-P10-Day20-A</v>
      </c>
      <c r="G380" s="166" t="str">
        <f>LEFT(F380,26)</f>
        <v>HSM+BM1(1:1)-S50-P10-Day20</v>
      </c>
      <c r="H380" s="2" t="str">
        <f>VLOOKUP(C380,'Task 2b Sample List'!I:L,4,FALSE)</f>
        <v>A</v>
      </c>
      <c r="I380" s="2" t="s">
        <v>189</v>
      </c>
      <c r="J380" s="2">
        <v>50</v>
      </c>
      <c r="K380" s="2">
        <v>10</v>
      </c>
      <c r="L380" s="2">
        <v>20</v>
      </c>
      <c r="M380" s="6" t="s">
        <v>22</v>
      </c>
      <c r="N380" s="2" t="s">
        <v>593</v>
      </c>
      <c r="O380" s="3" t="s">
        <v>39</v>
      </c>
      <c r="P380" s="2" t="s">
        <v>593</v>
      </c>
    </row>
    <row r="381" spans="1:16" x14ac:dyDescent="0.25">
      <c r="A381" s="98" t="s">
        <v>81</v>
      </c>
      <c r="B381" s="1" t="s">
        <v>591</v>
      </c>
      <c r="C381" s="1" t="s">
        <v>591</v>
      </c>
      <c r="D381" s="2" t="s">
        <v>592</v>
      </c>
      <c r="E381" s="94" t="str">
        <f t="shared" si="22"/>
        <v>HSM+BM1(1:1)-S50-P10-Day20-A:PFOA</v>
      </c>
      <c r="F381" s="2" t="str">
        <f>VLOOKUP(C381,'Task 2b Sample List'!I:K,3,FALSE)</f>
        <v>HSM+BM1(1:1)-S50-P10-Day20-A</v>
      </c>
      <c r="G381" s="166" t="str">
        <f t="shared" ref="G381:G415" si="23">LEFT(F381,26)</f>
        <v>HSM+BM1(1:1)-S50-P10-Day20</v>
      </c>
      <c r="H381" s="2" t="str">
        <f>VLOOKUP(C381,'Task 2b Sample List'!I:L,4,FALSE)</f>
        <v>A</v>
      </c>
      <c r="I381" s="2" t="s">
        <v>189</v>
      </c>
      <c r="J381" s="2">
        <v>50</v>
      </c>
      <c r="K381" s="2">
        <v>10</v>
      </c>
      <c r="L381" s="2">
        <v>20</v>
      </c>
      <c r="M381" s="7" t="s">
        <v>23</v>
      </c>
      <c r="N381" s="4" t="s">
        <v>594</v>
      </c>
      <c r="O381" s="5" t="s">
        <v>39</v>
      </c>
      <c r="P381" s="2" t="s">
        <v>594</v>
      </c>
    </row>
    <row r="382" spans="1:16" x14ac:dyDescent="0.25">
      <c r="A382" s="98" t="s">
        <v>81</v>
      </c>
      <c r="B382" s="1" t="s">
        <v>591</v>
      </c>
      <c r="C382" s="1" t="s">
        <v>591</v>
      </c>
      <c r="D382" s="2" t="s">
        <v>592</v>
      </c>
      <c r="E382" s="94" t="str">
        <f t="shared" si="22"/>
        <v>HSM+BM1(1:1)-S50-P10-Day20-A:PFNA</v>
      </c>
      <c r="F382" s="2" t="str">
        <f>VLOOKUP(C382,'Task 2b Sample List'!I:K,3,FALSE)</f>
        <v>HSM+BM1(1:1)-S50-P10-Day20-A</v>
      </c>
      <c r="G382" s="166" t="str">
        <f t="shared" si="23"/>
        <v>HSM+BM1(1:1)-S50-P10-Day20</v>
      </c>
      <c r="H382" s="2" t="str">
        <f>VLOOKUP(C382,'Task 2b Sample List'!I:L,4,FALSE)</f>
        <v>A</v>
      </c>
      <c r="I382" s="2" t="s">
        <v>189</v>
      </c>
      <c r="J382" s="2">
        <v>50</v>
      </c>
      <c r="K382" s="2">
        <v>10</v>
      </c>
      <c r="L382" s="2">
        <v>20</v>
      </c>
      <c r="M382" s="7" t="s">
        <v>24</v>
      </c>
      <c r="N382" s="2" t="s">
        <v>595</v>
      </c>
      <c r="O382" s="3" t="s">
        <v>39</v>
      </c>
      <c r="P382" s="2" t="s">
        <v>595</v>
      </c>
    </row>
    <row r="383" spans="1:16" x14ac:dyDescent="0.25">
      <c r="A383" s="98" t="s">
        <v>81</v>
      </c>
      <c r="B383" s="1" t="s">
        <v>591</v>
      </c>
      <c r="C383" s="1" t="s">
        <v>591</v>
      </c>
      <c r="D383" s="2" t="s">
        <v>592</v>
      </c>
      <c r="E383" s="94" t="str">
        <f t="shared" si="22"/>
        <v>HSM+BM1(1:1)-S50-P10-Day20-A:PFBS</v>
      </c>
      <c r="F383" s="2" t="str">
        <f>VLOOKUP(C383,'Task 2b Sample List'!I:K,3,FALSE)</f>
        <v>HSM+BM1(1:1)-S50-P10-Day20-A</v>
      </c>
      <c r="G383" s="166" t="str">
        <f t="shared" si="23"/>
        <v>HSM+BM1(1:1)-S50-P10-Day20</v>
      </c>
      <c r="H383" s="2" t="str">
        <f>VLOOKUP(C383,'Task 2b Sample List'!I:L,4,FALSE)</f>
        <v>A</v>
      </c>
      <c r="I383" s="2" t="s">
        <v>189</v>
      </c>
      <c r="J383" s="2">
        <v>50</v>
      </c>
      <c r="K383" s="2">
        <v>10</v>
      </c>
      <c r="L383" s="2">
        <v>20</v>
      </c>
      <c r="M383" s="7" t="s">
        <v>25</v>
      </c>
      <c r="N383" s="4" t="s">
        <v>42</v>
      </c>
      <c r="O383" s="5" t="s">
        <v>39</v>
      </c>
      <c r="P383" s="2" t="s">
        <v>42</v>
      </c>
    </row>
    <row r="384" spans="1:16" x14ac:dyDescent="0.25">
      <c r="A384" s="98" t="s">
        <v>81</v>
      </c>
      <c r="B384" s="1" t="s">
        <v>591</v>
      </c>
      <c r="C384" s="1" t="s">
        <v>591</v>
      </c>
      <c r="D384" s="2" t="s">
        <v>592</v>
      </c>
      <c r="E384" s="94" t="str">
        <f t="shared" si="22"/>
        <v>HSM+BM1(1:1)-S50-P10-Day20-A:PFOS</v>
      </c>
      <c r="F384" s="2" t="str">
        <f>VLOOKUP(C384,'Task 2b Sample List'!I:K,3,FALSE)</f>
        <v>HSM+BM1(1:1)-S50-P10-Day20-A</v>
      </c>
      <c r="G384" s="166" t="str">
        <f t="shared" si="23"/>
        <v>HSM+BM1(1:1)-S50-P10-Day20</v>
      </c>
      <c r="H384" s="2" t="str">
        <f>VLOOKUP(C384,'Task 2b Sample List'!I:L,4,FALSE)</f>
        <v>A</v>
      </c>
      <c r="I384" s="2" t="s">
        <v>189</v>
      </c>
      <c r="J384" s="2">
        <v>50</v>
      </c>
      <c r="K384" s="2">
        <v>10</v>
      </c>
      <c r="L384" s="2">
        <v>20</v>
      </c>
      <c r="M384" s="7" t="s">
        <v>26</v>
      </c>
      <c r="N384" s="2" t="s">
        <v>596</v>
      </c>
      <c r="O384" s="3" t="s">
        <v>39</v>
      </c>
      <c r="P384" s="2" t="s">
        <v>596</v>
      </c>
    </row>
    <row r="385" spans="1:16" ht="15.75" thickBot="1" x14ac:dyDescent="0.3">
      <c r="A385" s="98" t="s">
        <v>81</v>
      </c>
      <c r="B385" s="1" t="s">
        <v>591</v>
      </c>
      <c r="C385" s="1" t="s">
        <v>591</v>
      </c>
      <c r="D385" s="2" t="s">
        <v>592</v>
      </c>
      <c r="E385" s="94" t="str">
        <f t="shared" si="22"/>
        <v>HSM+BM1(1:1)-S50-P10-Day20-A:8:2FTS</v>
      </c>
      <c r="F385" s="2" t="str">
        <f>VLOOKUP(C385,'Task 2b Sample List'!I:K,3,FALSE)</f>
        <v>HSM+BM1(1:1)-S50-P10-Day20-A</v>
      </c>
      <c r="G385" s="166" t="str">
        <f t="shared" si="23"/>
        <v>HSM+BM1(1:1)-S50-P10-Day20</v>
      </c>
      <c r="H385" s="2" t="str">
        <f>VLOOKUP(C385,'Task 2b Sample List'!I:L,4,FALSE)</f>
        <v>A</v>
      </c>
      <c r="I385" s="2" t="s">
        <v>189</v>
      </c>
      <c r="J385" s="2">
        <v>50</v>
      </c>
      <c r="K385" s="2">
        <v>10</v>
      </c>
      <c r="L385" s="2">
        <v>20</v>
      </c>
      <c r="M385" s="8" t="s">
        <v>27</v>
      </c>
      <c r="N385" s="4" t="s">
        <v>597</v>
      </c>
      <c r="O385" s="5" t="s">
        <v>39</v>
      </c>
      <c r="P385" s="2" t="s">
        <v>597</v>
      </c>
    </row>
    <row r="386" spans="1:16" x14ac:dyDescent="0.25">
      <c r="A386" s="98" t="s">
        <v>81</v>
      </c>
      <c r="B386" s="1" t="s">
        <v>598</v>
      </c>
      <c r="C386" s="1" t="s">
        <v>598</v>
      </c>
      <c r="D386" s="2" t="s">
        <v>599</v>
      </c>
      <c r="E386" s="94" t="str">
        <f t="shared" si="22"/>
        <v>HSM+BM1(1:1)-S50-P10-Day20-B:PFHxA</v>
      </c>
      <c r="F386" s="2" t="str">
        <f>VLOOKUP(C386,'Task 2b Sample List'!I:K,3,FALSE)</f>
        <v>HSM+BM1(1:1)-S50-P10-Day20-B</v>
      </c>
      <c r="G386" s="166" t="str">
        <f t="shared" si="23"/>
        <v>HSM+BM1(1:1)-S50-P10-Day20</v>
      </c>
      <c r="H386" s="2" t="str">
        <f>VLOOKUP(C386,'Task 2b Sample List'!I:L,4,FALSE)</f>
        <v>A</v>
      </c>
      <c r="I386" s="2" t="s">
        <v>189</v>
      </c>
      <c r="J386" s="2">
        <v>50</v>
      </c>
      <c r="K386" s="2">
        <v>10</v>
      </c>
      <c r="L386" s="2">
        <v>20</v>
      </c>
      <c r="M386" s="6" t="s">
        <v>22</v>
      </c>
      <c r="N386" s="2" t="s">
        <v>600</v>
      </c>
      <c r="O386" s="3" t="s">
        <v>39</v>
      </c>
      <c r="P386" s="2" t="s">
        <v>600</v>
      </c>
    </row>
    <row r="387" spans="1:16" x14ac:dyDescent="0.25">
      <c r="A387" s="98" t="s">
        <v>81</v>
      </c>
      <c r="B387" s="1" t="s">
        <v>598</v>
      </c>
      <c r="C387" s="1" t="s">
        <v>598</v>
      </c>
      <c r="D387" s="2" t="s">
        <v>599</v>
      </c>
      <c r="E387" s="94" t="str">
        <f t="shared" si="22"/>
        <v>HSM+BM1(1:1)-S50-P10-Day20-B:PFOA</v>
      </c>
      <c r="F387" s="2" t="str">
        <f>VLOOKUP(C387,'Task 2b Sample List'!I:K,3,FALSE)</f>
        <v>HSM+BM1(1:1)-S50-P10-Day20-B</v>
      </c>
      <c r="G387" s="166" t="str">
        <f t="shared" si="23"/>
        <v>HSM+BM1(1:1)-S50-P10-Day20</v>
      </c>
      <c r="H387" s="2" t="str">
        <f>VLOOKUP(C387,'Task 2b Sample List'!I:L,4,FALSE)</f>
        <v>A</v>
      </c>
      <c r="I387" s="2" t="s">
        <v>189</v>
      </c>
      <c r="J387" s="2">
        <v>50</v>
      </c>
      <c r="K387" s="2">
        <v>10</v>
      </c>
      <c r="L387" s="2">
        <v>20</v>
      </c>
      <c r="M387" s="7" t="s">
        <v>23</v>
      </c>
      <c r="N387" s="4" t="s">
        <v>601</v>
      </c>
      <c r="O387" s="5" t="s">
        <v>39</v>
      </c>
      <c r="P387" s="2" t="s">
        <v>601</v>
      </c>
    </row>
    <row r="388" spans="1:16" x14ac:dyDescent="0.25">
      <c r="A388" s="98" t="s">
        <v>81</v>
      </c>
      <c r="B388" s="1" t="s">
        <v>598</v>
      </c>
      <c r="C388" s="1" t="s">
        <v>598</v>
      </c>
      <c r="D388" s="2" t="s">
        <v>599</v>
      </c>
      <c r="E388" s="94" t="str">
        <f t="shared" si="22"/>
        <v>HSM+BM1(1:1)-S50-P10-Day20-B:PFNA</v>
      </c>
      <c r="F388" s="2" t="str">
        <f>VLOOKUP(C388,'Task 2b Sample List'!I:K,3,FALSE)</f>
        <v>HSM+BM1(1:1)-S50-P10-Day20-B</v>
      </c>
      <c r="G388" s="166" t="str">
        <f t="shared" si="23"/>
        <v>HSM+BM1(1:1)-S50-P10-Day20</v>
      </c>
      <c r="H388" s="2" t="str">
        <f>VLOOKUP(C388,'Task 2b Sample List'!I:L,4,FALSE)</f>
        <v>A</v>
      </c>
      <c r="I388" s="2" t="s">
        <v>189</v>
      </c>
      <c r="J388" s="2">
        <v>50</v>
      </c>
      <c r="K388" s="2">
        <v>10</v>
      </c>
      <c r="L388" s="2">
        <v>20</v>
      </c>
      <c r="M388" s="7" t="s">
        <v>24</v>
      </c>
      <c r="N388" s="2" t="s">
        <v>487</v>
      </c>
      <c r="O388" s="3" t="s">
        <v>39</v>
      </c>
      <c r="P388" s="2" t="s">
        <v>487</v>
      </c>
    </row>
    <row r="389" spans="1:16" x14ac:dyDescent="0.25">
      <c r="A389" s="98" t="s">
        <v>81</v>
      </c>
      <c r="B389" s="1" t="s">
        <v>598</v>
      </c>
      <c r="C389" s="1" t="s">
        <v>598</v>
      </c>
      <c r="D389" s="2" t="s">
        <v>599</v>
      </c>
      <c r="E389" s="94" t="str">
        <f t="shared" si="22"/>
        <v>HSM+BM1(1:1)-S50-P10-Day20-B:PFBS</v>
      </c>
      <c r="F389" s="2" t="str">
        <f>VLOOKUP(C389,'Task 2b Sample List'!I:K,3,FALSE)</f>
        <v>HSM+BM1(1:1)-S50-P10-Day20-B</v>
      </c>
      <c r="G389" s="166" t="str">
        <f t="shared" si="23"/>
        <v>HSM+BM1(1:1)-S50-P10-Day20</v>
      </c>
      <c r="H389" s="2" t="str">
        <f>VLOOKUP(C389,'Task 2b Sample List'!I:L,4,FALSE)</f>
        <v>A</v>
      </c>
      <c r="I389" s="2" t="s">
        <v>189</v>
      </c>
      <c r="J389" s="2">
        <v>50</v>
      </c>
      <c r="K389" s="2">
        <v>10</v>
      </c>
      <c r="L389" s="2">
        <v>20</v>
      </c>
      <c r="M389" s="7" t="s">
        <v>25</v>
      </c>
      <c r="N389" s="4" t="s">
        <v>602</v>
      </c>
      <c r="O389" s="5" t="s">
        <v>39</v>
      </c>
      <c r="P389" s="2" t="s">
        <v>602</v>
      </c>
    </row>
    <row r="390" spans="1:16" x14ac:dyDescent="0.25">
      <c r="A390" s="98" t="s">
        <v>81</v>
      </c>
      <c r="B390" s="1" t="s">
        <v>598</v>
      </c>
      <c r="C390" s="1" t="s">
        <v>598</v>
      </c>
      <c r="D390" s="2" t="s">
        <v>599</v>
      </c>
      <c r="E390" s="94" t="str">
        <f t="shared" si="22"/>
        <v>HSM+BM1(1:1)-S50-P10-Day20-B:PFOS</v>
      </c>
      <c r="F390" s="2" t="str">
        <f>VLOOKUP(C390,'Task 2b Sample List'!I:K,3,FALSE)</f>
        <v>HSM+BM1(1:1)-S50-P10-Day20-B</v>
      </c>
      <c r="G390" s="166" t="str">
        <f t="shared" si="23"/>
        <v>HSM+BM1(1:1)-S50-P10-Day20</v>
      </c>
      <c r="H390" s="2" t="str">
        <f>VLOOKUP(C390,'Task 2b Sample List'!I:L,4,FALSE)</f>
        <v>A</v>
      </c>
      <c r="I390" s="2" t="s">
        <v>189</v>
      </c>
      <c r="J390" s="2">
        <v>50</v>
      </c>
      <c r="K390" s="2">
        <v>10</v>
      </c>
      <c r="L390" s="2">
        <v>20</v>
      </c>
      <c r="M390" s="7" t="s">
        <v>26</v>
      </c>
      <c r="N390" s="2" t="s">
        <v>603</v>
      </c>
      <c r="O390" s="3" t="s">
        <v>39</v>
      </c>
      <c r="P390" s="2" t="s">
        <v>603</v>
      </c>
    </row>
    <row r="391" spans="1:16" ht="15.75" thickBot="1" x14ac:dyDescent="0.3">
      <c r="A391" s="98" t="s">
        <v>81</v>
      </c>
      <c r="B391" s="1" t="s">
        <v>598</v>
      </c>
      <c r="C391" s="1" t="s">
        <v>598</v>
      </c>
      <c r="D391" s="2" t="s">
        <v>599</v>
      </c>
      <c r="E391" s="94" t="str">
        <f t="shared" si="22"/>
        <v>HSM+BM1(1:1)-S50-P10-Day20-B:8:2FTS</v>
      </c>
      <c r="F391" s="2" t="str">
        <f>VLOOKUP(C391,'Task 2b Sample List'!I:K,3,FALSE)</f>
        <v>HSM+BM1(1:1)-S50-P10-Day20-B</v>
      </c>
      <c r="G391" s="166" t="str">
        <f t="shared" si="23"/>
        <v>HSM+BM1(1:1)-S50-P10-Day20</v>
      </c>
      <c r="H391" s="2" t="str">
        <f>VLOOKUP(C391,'Task 2b Sample List'!I:L,4,FALSE)</f>
        <v>A</v>
      </c>
      <c r="I391" s="2" t="s">
        <v>189</v>
      </c>
      <c r="J391" s="2">
        <v>50</v>
      </c>
      <c r="K391" s="2">
        <v>10</v>
      </c>
      <c r="L391" s="2">
        <v>20</v>
      </c>
      <c r="M391" s="8" t="s">
        <v>27</v>
      </c>
      <c r="N391" s="4" t="s">
        <v>604</v>
      </c>
      <c r="O391" s="5" t="s">
        <v>39</v>
      </c>
      <c r="P391" s="2" t="s">
        <v>604</v>
      </c>
    </row>
    <row r="392" spans="1:16" x14ac:dyDescent="0.25">
      <c r="A392" s="98" t="s">
        <v>81</v>
      </c>
      <c r="B392" s="1" t="s">
        <v>605</v>
      </c>
      <c r="C392" s="1" t="s">
        <v>605</v>
      </c>
      <c r="D392" s="2" t="s">
        <v>606</v>
      </c>
      <c r="E392" s="94" t="str">
        <f t="shared" si="22"/>
        <v>HSM+BM1(1:1)-S50-P10-Day20-C:PFHxA</v>
      </c>
      <c r="F392" s="2" t="str">
        <f>VLOOKUP(C392,'Task 2b Sample List'!I:K,3,FALSE)</f>
        <v>HSM+BM1(1:1)-S50-P10-Day20-C</v>
      </c>
      <c r="G392" s="166" t="str">
        <f t="shared" si="23"/>
        <v>HSM+BM1(1:1)-S50-P10-Day20</v>
      </c>
      <c r="H392" s="2" t="str">
        <f>VLOOKUP(C392,'Task 2b Sample List'!I:L,4,FALSE)</f>
        <v>A</v>
      </c>
      <c r="I392" s="2" t="s">
        <v>189</v>
      </c>
      <c r="J392" s="2">
        <v>50</v>
      </c>
      <c r="K392" s="2">
        <v>10</v>
      </c>
      <c r="L392" s="2">
        <v>20</v>
      </c>
      <c r="M392" s="6" t="s">
        <v>22</v>
      </c>
      <c r="N392" s="2" t="s">
        <v>607</v>
      </c>
      <c r="O392" s="3" t="s">
        <v>39</v>
      </c>
      <c r="P392" s="2" t="s">
        <v>607</v>
      </c>
    </row>
    <row r="393" spans="1:16" x14ac:dyDescent="0.25">
      <c r="A393" s="98" t="s">
        <v>81</v>
      </c>
      <c r="B393" s="1" t="s">
        <v>605</v>
      </c>
      <c r="C393" s="1" t="s">
        <v>605</v>
      </c>
      <c r="D393" s="2" t="s">
        <v>606</v>
      </c>
      <c r="E393" s="94" t="str">
        <f t="shared" si="22"/>
        <v>HSM+BM1(1:1)-S50-P10-Day20-C:PFOA</v>
      </c>
      <c r="F393" s="2" t="str">
        <f>VLOOKUP(C393,'Task 2b Sample List'!I:K,3,FALSE)</f>
        <v>HSM+BM1(1:1)-S50-P10-Day20-C</v>
      </c>
      <c r="G393" s="166" t="str">
        <f t="shared" si="23"/>
        <v>HSM+BM1(1:1)-S50-P10-Day20</v>
      </c>
      <c r="H393" s="2" t="str">
        <f>VLOOKUP(C393,'Task 2b Sample List'!I:L,4,FALSE)</f>
        <v>A</v>
      </c>
      <c r="I393" s="2" t="s">
        <v>189</v>
      </c>
      <c r="J393" s="2">
        <v>50</v>
      </c>
      <c r="K393" s="2">
        <v>10</v>
      </c>
      <c r="L393" s="2">
        <v>20</v>
      </c>
      <c r="M393" s="7" t="s">
        <v>23</v>
      </c>
      <c r="N393" s="4" t="s">
        <v>397</v>
      </c>
      <c r="O393" s="5" t="s">
        <v>39</v>
      </c>
      <c r="P393" s="2" t="s">
        <v>397</v>
      </c>
    </row>
    <row r="394" spans="1:16" x14ac:dyDescent="0.25">
      <c r="A394" s="98" t="s">
        <v>81</v>
      </c>
      <c r="B394" s="1" t="s">
        <v>605</v>
      </c>
      <c r="C394" s="1" t="s">
        <v>605</v>
      </c>
      <c r="D394" s="2" t="s">
        <v>606</v>
      </c>
      <c r="E394" s="94" t="str">
        <f t="shared" si="22"/>
        <v>HSM+BM1(1:1)-S50-P10-Day20-C:PFNA</v>
      </c>
      <c r="F394" s="2" t="str">
        <f>VLOOKUP(C394,'Task 2b Sample List'!I:K,3,FALSE)</f>
        <v>HSM+BM1(1:1)-S50-P10-Day20-C</v>
      </c>
      <c r="G394" s="166" t="str">
        <f t="shared" si="23"/>
        <v>HSM+BM1(1:1)-S50-P10-Day20</v>
      </c>
      <c r="H394" s="2" t="str">
        <f>VLOOKUP(C394,'Task 2b Sample List'!I:L,4,FALSE)</f>
        <v>A</v>
      </c>
      <c r="I394" s="2" t="s">
        <v>189</v>
      </c>
      <c r="J394" s="2">
        <v>50</v>
      </c>
      <c r="K394" s="2">
        <v>10</v>
      </c>
      <c r="L394" s="2">
        <v>20</v>
      </c>
      <c r="M394" s="7" t="s">
        <v>24</v>
      </c>
      <c r="N394" s="2" t="s">
        <v>488</v>
      </c>
      <c r="O394" s="3" t="s">
        <v>39</v>
      </c>
      <c r="P394" s="2" t="s">
        <v>488</v>
      </c>
    </row>
    <row r="395" spans="1:16" x14ac:dyDescent="0.25">
      <c r="A395" s="98" t="s">
        <v>81</v>
      </c>
      <c r="B395" s="1" t="s">
        <v>605</v>
      </c>
      <c r="C395" s="1" t="s">
        <v>605</v>
      </c>
      <c r="D395" s="2" t="s">
        <v>606</v>
      </c>
      <c r="E395" s="94" t="str">
        <f t="shared" si="22"/>
        <v>HSM+BM1(1:1)-S50-P10-Day20-C:PFBS</v>
      </c>
      <c r="F395" s="2" t="str">
        <f>VLOOKUP(C395,'Task 2b Sample List'!I:K,3,FALSE)</f>
        <v>HSM+BM1(1:1)-S50-P10-Day20-C</v>
      </c>
      <c r="G395" s="166" t="str">
        <f t="shared" si="23"/>
        <v>HSM+BM1(1:1)-S50-P10-Day20</v>
      </c>
      <c r="H395" s="2" t="str">
        <f>VLOOKUP(C395,'Task 2b Sample List'!I:L,4,FALSE)</f>
        <v>A</v>
      </c>
      <c r="I395" s="2" t="s">
        <v>189</v>
      </c>
      <c r="J395" s="2">
        <v>50</v>
      </c>
      <c r="K395" s="2">
        <v>10</v>
      </c>
      <c r="L395" s="2">
        <v>20</v>
      </c>
      <c r="M395" s="7" t="s">
        <v>25</v>
      </c>
      <c r="N395" s="4" t="s">
        <v>608</v>
      </c>
      <c r="O395" s="5" t="s">
        <v>39</v>
      </c>
      <c r="P395" s="2" t="s">
        <v>608</v>
      </c>
    </row>
    <row r="396" spans="1:16" x14ac:dyDescent="0.25">
      <c r="A396" s="98" t="s">
        <v>81</v>
      </c>
      <c r="B396" s="1" t="s">
        <v>605</v>
      </c>
      <c r="C396" s="1" t="s">
        <v>605</v>
      </c>
      <c r="D396" s="2" t="s">
        <v>606</v>
      </c>
      <c r="E396" s="94" t="str">
        <f t="shared" si="22"/>
        <v>HSM+BM1(1:1)-S50-P10-Day20-C:PFOS</v>
      </c>
      <c r="F396" s="2" t="str">
        <f>VLOOKUP(C396,'Task 2b Sample List'!I:K,3,FALSE)</f>
        <v>HSM+BM1(1:1)-S50-P10-Day20-C</v>
      </c>
      <c r="G396" s="166" t="str">
        <f t="shared" si="23"/>
        <v>HSM+BM1(1:1)-S50-P10-Day20</v>
      </c>
      <c r="H396" s="2" t="str">
        <f>VLOOKUP(C396,'Task 2b Sample List'!I:L,4,FALSE)</f>
        <v>A</v>
      </c>
      <c r="I396" s="2" t="s">
        <v>189</v>
      </c>
      <c r="J396" s="2">
        <v>50</v>
      </c>
      <c r="K396" s="2">
        <v>10</v>
      </c>
      <c r="L396" s="2">
        <v>20</v>
      </c>
      <c r="M396" s="7" t="s">
        <v>26</v>
      </c>
      <c r="N396" s="2" t="s">
        <v>609</v>
      </c>
      <c r="O396" s="3" t="s">
        <v>39</v>
      </c>
      <c r="P396" s="2" t="s">
        <v>609</v>
      </c>
    </row>
    <row r="397" spans="1:16" ht="15.75" thickBot="1" x14ac:dyDescent="0.3">
      <c r="A397" s="98" t="s">
        <v>81</v>
      </c>
      <c r="B397" s="1" t="s">
        <v>605</v>
      </c>
      <c r="C397" s="1" t="s">
        <v>605</v>
      </c>
      <c r="D397" s="2" t="s">
        <v>606</v>
      </c>
      <c r="E397" s="94" t="str">
        <f t="shared" si="22"/>
        <v>HSM+BM1(1:1)-S50-P10-Day20-C:8:2FTS</v>
      </c>
      <c r="F397" s="2" t="str">
        <f>VLOOKUP(C397,'Task 2b Sample List'!I:K,3,FALSE)</f>
        <v>HSM+BM1(1:1)-S50-P10-Day20-C</v>
      </c>
      <c r="G397" s="166" t="str">
        <f t="shared" si="23"/>
        <v>HSM+BM1(1:1)-S50-P10-Day20</v>
      </c>
      <c r="H397" s="2" t="str">
        <f>VLOOKUP(C397,'Task 2b Sample List'!I:L,4,FALSE)</f>
        <v>A</v>
      </c>
      <c r="I397" s="2" t="s">
        <v>189</v>
      </c>
      <c r="J397" s="2">
        <v>50</v>
      </c>
      <c r="K397" s="2">
        <v>10</v>
      </c>
      <c r="L397" s="2">
        <v>20</v>
      </c>
      <c r="M397" s="8" t="s">
        <v>27</v>
      </c>
      <c r="N397" s="4" t="s">
        <v>610</v>
      </c>
      <c r="O397" s="5" t="s">
        <v>39</v>
      </c>
      <c r="P397" s="2" t="s">
        <v>610</v>
      </c>
    </row>
    <row r="398" spans="1:16" x14ac:dyDescent="0.25">
      <c r="A398" s="98" t="s">
        <v>81</v>
      </c>
      <c r="B398" s="1" t="s">
        <v>611</v>
      </c>
      <c r="C398" s="1" t="s">
        <v>611</v>
      </c>
      <c r="D398" s="2" t="s">
        <v>612</v>
      </c>
      <c r="E398" s="94" t="str">
        <f t="shared" si="22"/>
        <v>HSM+BM1(1:1)-S50-P50-Day20-A:PFHxA</v>
      </c>
      <c r="F398" s="2" t="str">
        <f>VLOOKUP(C398,'Task 2b Sample List'!I:K,3,FALSE)</f>
        <v>HSM+BM1(1:1)-S50-P50-Day20-A</v>
      </c>
      <c r="G398" s="166" t="str">
        <f t="shared" si="23"/>
        <v>HSM+BM1(1:1)-S50-P50-Day20</v>
      </c>
      <c r="H398" s="2" t="str">
        <f>VLOOKUP(C398,'Task 2b Sample List'!I:L,4,FALSE)</f>
        <v>A</v>
      </c>
      <c r="I398" s="2" t="s">
        <v>189</v>
      </c>
      <c r="J398" s="2">
        <v>50</v>
      </c>
      <c r="K398" s="2">
        <v>50</v>
      </c>
      <c r="L398" s="2">
        <v>20</v>
      </c>
      <c r="M398" s="6" t="s">
        <v>22</v>
      </c>
      <c r="N398" s="2" t="s">
        <v>284</v>
      </c>
      <c r="O398" s="3" t="s">
        <v>39</v>
      </c>
      <c r="P398" s="2" t="s">
        <v>284</v>
      </c>
    </row>
    <row r="399" spans="1:16" x14ac:dyDescent="0.25">
      <c r="A399" s="98" t="s">
        <v>81</v>
      </c>
      <c r="B399" s="1" t="s">
        <v>611</v>
      </c>
      <c r="C399" s="1" t="s">
        <v>611</v>
      </c>
      <c r="D399" s="2" t="s">
        <v>612</v>
      </c>
      <c r="E399" s="94" t="str">
        <f t="shared" si="22"/>
        <v>HSM+BM1(1:1)-S50-P50-Day20-A:PFOA</v>
      </c>
      <c r="F399" s="2" t="str">
        <f>VLOOKUP(C399,'Task 2b Sample List'!I:K,3,FALSE)</f>
        <v>HSM+BM1(1:1)-S50-P50-Day20-A</v>
      </c>
      <c r="G399" s="166" t="str">
        <f t="shared" si="23"/>
        <v>HSM+BM1(1:1)-S50-P50-Day20</v>
      </c>
      <c r="H399" s="2" t="str">
        <f>VLOOKUP(C399,'Task 2b Sample List'!I:L,4,FALSE)</f>
        <v>A</v>
      </c>
      <c r="I399" s="2" t="s">
        <v>189</v>
      </c>
      <c r="J399" s="2">
        <v>50</v>
      </c>
      <c r="K399" s="2">
        <v>50</v>
      </c>
      <c r="L399" s="2">
        <v>20</v>
      </c>
      <c r="M399" s="7" t="s">
        <v>23</v>
      </c>
      <c r="N399" s="4" t="s">
        <v>613</v>
      </c>
      <c r="O399" s="5" t="s">
        <v>39</v>
      </c>
      <c r="P399" s="2" t="s">
        <v>613</v>
      </c>
    </row>
    <row r="400" spans="1:16" x14ac:dyDescent="0.25">
      <c r="A400" s="98" t="s">
        <v>81</v>
      </c>
      <c r="B400" s="1" t="s">
        <v>611</v>
      </c>
      <c r="C400" s="1" t="s">
        <v>611</v>
      </c>
      <c r="D400" s="2" t="s">
        <v>612</v>
      </c>
      <c r="E400" s="94" t="str">
        <f t="shared" si="22"/>
        <v>HSM+BM1(1:1)-S50-P50-Day20-A:PFNA</v>
      </c>
      <c r="F400" s="2" t="str">
        <f>VLOOKUP(C400,'Task 2b Sample List'!I:K,3,FALSE)</f>
        <v>HSM+BM1(1:1)-S50-P50-Day20-A</v>
      </c>
      <c r="G400" s="166" t="str">
        <f t="shared" si="23"/>
        <v>HSM+BM1(1:1)-S50-P50-Day20</v>
      </c>
      <c r="H400" s="2" t="str">
        <f>VLOOKUP(C400,'Task 2b Sample List'!I:L,4,FALSE)</f>
        <v>A</v>
      </c>
      <c r="I400" s="2" t="s">
        <v>189</v>
      </c>
      <c r="J400" s="2">
        <v>50</v>
      </c>
      <c r="K400" s="2">
        <v>50</v>
      </c>
      <c r="L400" s="2">
        <v>20</v>
      </c>
      <c r="M400" s="7" t="s">
        <v>24</v>
      </c>
      <c r="N400" s="2" t="s">
        <v>58</v>
      </c>
      <c r="O400" s="3" t="s">
        <v>39</v>
      </c>
      <c r="P400" s="2" t="s">
        <v>58</v>
      </c>
    </row>
    <row r="401" spans="1:16" x14ac:dyDescent="0.25">
      <c r="A401" s="98" t="s">
        <v>81</v>
      </c>
      <c r="B401" s="1" t="s">
        <v>611</v>
      </c>
      <c r="C401" s="1" t="s">
        <v>611</v>
      </c>
      <c r="D401" s="2" t="s">
        <v>612</v>
      </c>
      <c r="E401" s="94" t="str">
        <f t="shared" si="22"/>
        <v>HSM+BM1(1:1)-S50-P50-Day20-A:PFBS</v>
      </c>
      <c r="F401" s="2" t="str">
        <f>VLOOKUP(C401,'Task 2b Sample List'!I:K,3,FALSE)</f>
        <v>HSM+BM1(1:1)-S50-P50-Day20-A</v>
      </c>
      <c r="G401" s="166" t="str">
        <f t="shared" si="23"/>
        <v>HSM+BM1(1:1)-S50-P50-Day20</v>
      </c>
      <c r="H401" s="2" t="str">
        <f>VLOOKUP(C401,'Task 2b Sample List'!I:L,4,FALSE)</f>
        <v>A</v>
      </c>
      <c r="I401" s="2" t="s">
        <v>189</v>
      </c>
      <c r="J401" s="2">
        <v>50</v>
      </c>
      <c r="K401" s="2">
        <v>50</v>
      </c>
      <c r="L401" s="2">
        <v>20</v>
      </c>
      <c r="M401" s="7" t="s">
        <v>25</v>
      </c>
      <c r="N401" s="4" t="s">
        <v>614</v>
      </c>
      <c r="O401" s="5" t="s">
        <v>39</v>
      </c>
      <c r="P401" s="2" t="s">
        <v>614</v>
      </c>
    </row>
    <row r="402" spans="1:16" x14ac:dyDescent="0.25">
      <c r="A402" s="98" t="s">
        <v>81</v>
      </c>
      <c r="B402" s="1" t="s">
        <v>611</v>
      </c>
      <c r="C402" s="1" t="s">
        <v>611</v>
      </c>
      <c r="D402" s="2" t="s">
        <v>612</v>
      </c>
      <c r="E402" s="94" t="str">
        <f t="shared" si="22"/>
        <v>HSM+BM1(1:1)-S50-P50-Day20-A:PFOS</v>
      </c>
      <c r="F402" s="2" t="str">
        <f>VLOOKUP(C402,'Task 2b Sample List'!I:K,3,FALSE)</f>
        <v>HSM+BM1(1:1)-S50-P50-Day20-A</v>
      </c>
      <c r="G402" s="166" t="str">
        <f t="shared" si="23"/>
        <v>HSM+BM1(1:1)-S50-P50-Day20</v>
      </c>
      <c r="H402" s="2" t="str">
        <f>VLOOKUP(C402,'Task 2b Sample List'!I:L,4,FALSE)</f>
        <v>A</v>
      </c>
      <c r="I402" s="2" t="s">
        <v>189</v>
      </c>
      <c r="J402" s="2">
        <v>50</v>
      </c>
      <c r="K402" s="2">
        <v>50</v>
      </c>
      <c r="L402" s="2">
        <v>20</v>
      </c>
      <c r="M402" s="7" t="s">
        <v>26</v>
      </c>
      <c r="N402" s="2" t="s">
        <v>257</v>
      </c>
      <c r="O402" s="3" t="s">
        <v>39</v>
      </c>
      <c r="P402" s="2" t="s">
        <v>257</v>
      </c>
    </row>
    <row r="403" spans="1:16" ht="15.75" thickBot="1" x14ac:dyDescent="0.3">
      <c r="A403" s="98" t="s">
        <v>81</v>
      </c>
      <c r="B403" s="1" t="s">
        <v>611</v>
      </c>
      <c r="C403" s="1" t="s">
        <v>611</v>
      </c>
      <c r="D403" s="2" t="s">
        <v>612</v>
      </c>
      <c r="E403" s="94" t="str">
        <f t="shared" si="22"/>
        <v>HSM+BM1(1:1)-S50-P50-Day20-A:8:2FTS</v>
      </c>
      <c r="F403" s="2" t="str">
        <f>VLOOKUP(C403,'Task 2b Sample List'!I:K,3,FALSE)</f>
        <v>HSM+BM1(1:1)-S50-P50-Day20-A</v>
      </c>
      <c r="G403" s="166" t="str">
        <f t="shared" si="23"/>
        <v>HSM+BM1(1:1)-S50-P50-Day20</v>
      </c>
      <c r="H403" s="2" t="str">
        <f>VLOOKUP(C403,'Task 2b Sample List'!I:L,4,FALSE)</f>
        <v>A</v>
      </c>
      <c r="I403" s="2" t="s">
        <v>189</v>
      </c>
      <c r="J403" s="2">
        <v>50</v>
      </c>
      <c r="K403" s="2">
        <v>50</v>
      </c>
      <c r="L403" s="2">
        <v>20</v>
      </c>
      <c r="M403" s="8" t="s">
        <v>27</v>
      </c>
      <c r="N403" s="4" t="s">
        <v>607</v>
      </c>
      <c r="O403" s="5" t="s">
        <v>39</v>
      </c>
      <c r="P403" s="2" t="s">
        <v>607</v>
      </c>
    </row>
    <row r="404" spans="1:16" x14ac:dyDescent="0.25">
      <c r="A404" s="98" t="s">
        <v>81</v>
      </c>
      <c r="B404" s="1" t="s">
        <v>615</v>
      </c>
      <c r="C404" s="1" t="s">
        <v>615</v>
      </c>
      <c r="D404" s="2" t="s">
        <v>616</v>
      </c>
      <c r="E404" s="94" t="str">
        <f t="shared" si="22"/>
        <v>HSM+BM1(1:1)-S50-P50-Day20-B:PFHxA</v>
      </c>
      <c r="F404" s="2" t="str">
        <f>VLOOKUP(C404,'Task 2b Sample List'!I:K,3,FALSE)</f>
        <v>HSM+BM1(1:1)-S50-P50-Day20-B</v>
      </c>
      <c r="G404" s="166" t="str">
        <f t="shared" si="23"/>
        <v>HSM+BM1(1:1)-S50-P50-Day20</v>
      </c>
      <c r="H404" s="2" t="str">
        <f>VLOOKUP(C404,'Task 2b Sample List'!I:L,4,FALSE)</f>
        <v>A</v>
      </c>
      <c r="I404" s="2" t="s">
        <v>189</v>
      </c>
      <c r="J404" s="2">
        <v>50</v>
      </c>
      <c r="K404" s="2">
        <v>50</v>
      </c>
      <c r="L404" s="2">
        <v>20</v>
      </c>
      <c r="M404" s="6" t="s">
        <v>22</v>
      </c>
      <c r="N404" s="2" t="s">
        <v>617</v>
      </c>
      <c r="O404" s="3" t="s">
        <v>39</v>
      </c>
      <c r="P404" s="2" t="s">
        <v>617</v>
      </c>
    </row>
    <row r="405" spans="1:16" x14ac:dyDescent="0.25">
      <c r="A405" s="98" t="s">
        <v>81</v>
      </c>
      <c r="B405" s="1" t="s">
        <v>615</v>
      </c>
      <c r="C405" s="1" t="s">
        <v>615</v>
      </c>
      <c r="D405" s="2" t="s">
        <v>616</v>
      </c>
      <c r="E405" s="94" t="str">
        <f t="shared" si="22"/>
        <v>HSM+BM1(1:1)-S50-P50-Day20-B:PFOA</v>
      </c>
      <c r="F405" s="2" t="str">
        <f>VLOOKUP(C405,'Task 2b Sample List'!I:K,3,FALSE)</f>
        <v>HSM+BM1(1:1)-S50-P50-Day20-B</v>
      </c>
      <c r="G405" s="166" t="str">
        <f t="shared" si="23"/>
        <v>HSM+BM1(1:1)-S50-P50-Day20</v>
      </c>
      <c r="H405" s="2" t="str">
        <f>VLOOKUP(C405,'Task 2b Sample List'!I:L,4,FALSE)</f>
        <v>A</v>
      </c>
      <c r="I405" s="2" t="s">
        <v>189</v>
      </c>
      <c r="J405" s="2">
        <v>50</v>
      </c>
      <c r="K405" s="2">
        <v>50</v>
      </c>
      <c r="L405" s="2">
        <v>20</v>
      </c>
      <c r="M405" s="7" t="s">
        <v>23</v>
      </c>
      <c r="N405" s="4" t="s">
        <v>618</v>
      </c>
      <c r="O405" s="5" t="s">
        <v>39</v>
      </c>
      <c r="P405" s="2" t="s">
        <v>618</v>
      </c>
    </row>
    <row r="406" spans="1:16" x14ac:dyDescent="0.25">
      <c r="A406" s="98" t="s">
        <v>81</v>
      </c>
      <c r="B406" s="1" t="s">
        <v>615</v>
      </c>
      <c r="C406" s="1" t="s">
        <v>615</v>
      </c>
      <c r="D406" s="2" t="s">
        <v>616</v>
      </c>
      <c r="E406" s="94" t="str">
        <f t="shared" si="22"/>
        <v>HSM+BM1(1:1)-S50-P50-Day20-B:PFNA</v>
      </c>
      <c r="F406" s="2" t="str">
        <f>VLOOKUP(C406,'Task 2b Sample List'!I:K,3,FALSE)</f>
        <v>HSM+BM1(1:1)-S50-P50-Day20-B</v>
      </c>
      <c r="G406" s="166" t="str">
        <f t="shared" si="23"/>
        <v>HSM+BM1(1:1)-S50-P50-Day20</v>
      </c>
      <c r="H406" s="2" t="str">
        <f>VLOOKUP(C406,'Task 2b Sample List'!I:L,4,FALSE)</f>
        <v>A</v>
      </c>
      <c r="I406" s="2" t="s">
        <v>189</v>
      </c>
      <c r="J406" s="2">
        <v>50</v>
      </c>
      <c r="K406" s="2">
        <v>50</v>
      </c>
      <c r="L406" s="2">
        <v>20</v>
      </c>
      <c r="M406" s="7" t="s">
        <v>24</v>
      </c>
      <c r="N406" s="2" t="s">
        <v>47</v>
      </c>
      <c r="O406" s="3" t="s">
        <v>39</v>
      </c>
      <c r="P406" s="2" t="s">
        <v>47</v>
      </c>
    </row>
    <row r="407" spans="1:16" x14ac:dyDescent="0.25">
      <c r="A407" s="98" t="s">
        <v>81</v>
      </c>
      <c r="B407" s="1" t="s">
        <v>615</v>
      </c>
      <c r="C407" s="1" t="s">
        <v>615</v>
      </c>
      <c r="D407" s="2" t="s">
        <v>616</v>
      </c>
      <c r="E407" s="94" t="str">
        <f t="shared" si="22"/>
        <v>HSM+BM1(1:1)-S50-P50-Day20-B:PFBS</v>
      </c>
      <c r="F407" s="2" t="str">
        <f>VLOOKUP(C407,'Task 2b Sample List'!I:K,3,FALSE)</f>
        <v>HSM+BM1(1:1)-S50-P50-Day20-B</v>
      </c>
      <c r="G407" s="166" t="str">
        <f t="shared" si="23"/>
        <v>HSM+BM1(1:1)-S50-P50-Day20</v>
      </c>
      <c r="H407" s="2" t="str">
        <f>VLOOKUP(C407,'Task 2b Sample List'!I:L,4,FALSE)</f>
        <v>A</v>
      </c>
      <c r="I407" s="2" t="s">
        <v>189</v>
      </c>
      <c r="J407" s="2">
        <v>50</v>
      </c>
      <c r="K407" s="2">
        <v>50</v>
      </c>
      <c r="L407" s="2">
        <v>20</v>
      </c>
      <c r="M407" s="7" t="s">
        <v>25</v>
      </c>
      <c r="N407" s="4" t="s">
        <v>619</v>
      </c>
      <c r="O407" s="5" t="s">
        <v>39</v>
      </c>
      <c r="P407" s="2" t="s">
        <v>619</v>
      </c>
    </row>
    <row r="408" spans="1:16" x14ac:dyDescent="0.25">
      <c r="A408" s="98" t="s">
        <v>81</v>
      </c>
      <c r="B408" s="1" t="s">
        <v>615</v>
      </c>
      <c r="C408" s="1" t="s">
        <v>615</v>
      </c>
      <c r="D408" s="2" t="s">
        <v>616</v>
      </c>
      <c r="E408" s="94" t="str">
        <f t="shared" si="22"/>
        <v>HSM+BM1(1:1)-S50-P50-Day20-B:PFOS</v>
      </c>
      <c r="F408" s="2" t="str">
        <f>VLOOKUP(C408,'Task 2b Sample List'!I:K,3,FALSE)</f>
        <v>HSM+BM1(1:1)-S50-P50-Day20-B</v>
      </c>
      <c r="G408" s="166" t="str">
        <f t="shared" si="23"/>
        <v>HSM+BM1(1:1)-S50-P50-Day20</v>
      </c>
      <c r="H408" s="2" t="str">
        <f>VLOOKUP(C408,'Task 2b Sample List'!I:L,4,FALSE)</f>
        <v>A</v>
      </c>
      <c r="I408" s="2" t="s">
        <v>189</v>
      </c>
      <c r="J408" s="2">
        <v>50</v>
      </c>
      <c r="K408" s="2">
        <v>50</v>
      </c>
      <c r="L408" s="2">
        <v>20</v>
      </c>
      <c r="M408" s="7" t="s">
        <v>26</v>
      </c>
      <c r="N408" s="2" t="s">
        <v>424</v>
      </c>
      <c r="O408" s="3" t="s">
        <v>39</v>
      </c>
      <c r="P408" s="2" t="s">
        <v>424</v>
      </c>
    </row>
    <row r="409" spans="1:16" ht="15.75" thickBot="1" x14ac:dyDescent="0.3">
      <c r="A409" s="98" t="s">
        <v>81</v>
      </c>
      <c r="B409" s="1" t="s">
        <v>615</v>
      </c>
      <c r="C409" s="1" t="s">
        <v>615</v>
      </c>
      <c r="D409" s="2" t="s">
        <v>616</v>
      </c>
      <c r="E409" s="94" t="str">
        <f t="shared" si="22"/>
        <v>HSM+BM1(1:1)-S50-P50-Day20-B:8:2FTS</v>
      </c>
      <c r="F409" s="2" t="str">
        <f>VLOOKUP(C409,'Task 2b Sample List'!I:K,3,FALSE)</f>
        <v>HSM+BM1(1:1)-S50-P50-Day20-B</v>
      </c>
      <c r="G409" s="166" t="str">
        <f t="shared" si="23"/>
        <v>HSM+BM1(1:1)-S50-P50-Day20</v>
      </c>
      <c r="H409" s="2" t="str">
        <f>VLOOKUP(C409,'Task 2b Sample List'!I:L,4,FALSE)</f>
        <v>A</v>
      </c>
      <c r="I409" s="2" t="s">
        <v>189</v>
      </c>
      <c r="J409" s="2">
        <v>50</v>
      </c>
      <c r="K409" s="2">
        <v>50</v>
      </c>
      <c r="L409" s="2">
        <v>20</v>
      </c>
      <c r="M409" s="8" t="s">
        <v>27</v>
      </c>
      <c r="N409" s="4" t="s">
        <v>291</v>
      </c>
      <c r="O409" s="5" t="s">
        <v>39</v>
      </c>
      <c r="P409" s="2" t="s">
        <v>291</v>
      </c>
    </row>
    <row r="410" spans="1:16" x14ac:dyDescent="0.25">
      <c r="A410" s="98" t="s">
        <v>81</v>
      </c>
      <c r="B410" s="1" t="s">
        <v>620</v>
      </c>
      <c r="C410" s="1" t="s">
        <v>620</v>
      </c>
      <c r="D410" s="2" t="s">
        <v>621</v>
      </c>
      <c r="E410" s="94" t="str">
        <f t="shared" si="22"/>
        <v>HSM+BM1(1:1)-S50-P50-Day20-C:PFHxA</v>
      </c>
      <c r="F410" s="2" t="str">
        <f>VLOOKUP(C410,'Task 2b Sample List'!I:K,3,FALSE)</f>
        <v>HSM+BM1(1:1)-S50-P50-Day20-C</v>
      </c>
      <c r="G410" s="166" t="str">
        <f t="shared" si="23"/>
        <v>HSM+BM1(1:1)-S50-P50-Day20</v>
      </c>
      <c r="H410" s="2" t="str">
        <f>VLOOKUP(C410,'Task 2b Sample List'!I:L,4,FALSE)</f>
        <v>A</v>
      </c>
      <c r="I410" s="2" t="s">
        <v>189</v>
      </c>
      <c r="J410" s="2">
        <v>50</v>
      </c>
      <c r="K410" s="2">
        <v>50</v>
      </c>
      <c r="L410" s="2">
        <v>20</v>
      </c>
      <c r="M410" s="6" t="s">
        <v>22</v>
      </c>
      <c r="N410" s="2" t="s">
        <v>622</v>
      </c>
      <c r="O410" s="3" t="s">
        <v>39</v>
      </c>
      <c r="P410" s="2" t="s">
        <v>622</v>
      </c>
    </row>
    <row r="411" spans="1:16" x14ac:dyDescent="0.25">
      <c r="A411" s="98" t="s">
        <v>81</v>
      </c>
      <c r="B411" s="1" t="s">
        <v>620</v>
      </c>
      <c r="C411" s="1" t="s">
        <v>620</v>
      </c>
      <c r="D411" s="2" t="s">
        <v>621</v>
      </c>
      <c r="E411" s="94" t="str">
        <f t="shared" si="22"/>
        <v>HSM+BM1(1:1)-S50-P50-Day20-C:PFOA</v>
      </c>
      <c r="F411" s="2" t="str">
        <f>VLOOKUP(C411,'Task 2b Sample List'!I:K,3,FALSE)</f>
        <v>HSM+BM1(1:1)-S50-P50-Day20-C</v>
      </c>
      <c r="G411" s="166" t="str">
        <f t="shared" si="23"/>
        <v>HSM+BM1(1:1)-S50-P50-Day20</v>
      </c>
      <c r="H411" s="2" t="str">
        <f>VLOOKUP(C411,'Task 2b Sample List'!I:L,4,FALSE)</f>
        <v>A</v>
      </c>
      <c r="I411" s="2" t="s">
        <v>189</v>
      </c>
      <c r="J411" s="2">
        <v>50</v>
      </c>
      <c r="K411" s="2">
        <v>50</v>
      </c>
      <c r="L411" s="2">
        <v>20</v>
      </c>
      <c r="M411" s="7" t="s">
        <v>23</v>
      </c>
      <c r="N411" s="4" t="s">
        <v>623</v>
      </c>
      <c r="O411" s="5" t="s">
        <v>39</v>
      </c>
      <c r="P411" s="2" t="s">
        <v>623</v>
      </c>
    </row>
    <row r="412" spans="1:16" x14ac:dyDescent="0.25">
      <c r="A412" s="98" t="s">
        <v>81</v>
      </c>
      <c r="B412" s="1" t="s">
        <v>620</v>
      </c>
      <c r="C412" s="1" t="s">
        <v>620</v>
      </c>
      <c r="D412" s="2" t="s">
        <v>621</v>
      </c>
      <c r="E412" s="94" t="str">
        <f t="shared" si="22"/>
        <v>HSM+BM1(1:1)-S50-P50-Day20-C:PFNA</v>
      </c>
      <c r="F412" s="2" t="str">
        <f>VLOOKUP(C412,'Task 2b Sample List'!I:K,3,FALSE)</f>
        <v>HSM+BM1(1:1)-S50-P50-Day20-C</v>
      </c>
      <c r="G412" s="166" t="str">
        <f t="shared" si="23"/>
        <v>HSM+BM1(1:1)-S50-P50-Day20</v>
      </c>
      <c r="H412" s="2" t="str">
        <f>VLOOKUP(C412,'Task 2b Sample List'!I:L,4,FALSE)</f>
        <v>A</v>
      </c>
      <c r="I412" s="2" t="s">
        <v>189</v>
      </c>
      <c r="J412" s="2">
        <v>50</v>
      </c>
      <c r="K412" s="2">
        <v>50</v>
      </c>
      <c r="L412" s="2">
        <v>20</v>
      </c>
      <c r="M412" s="7" t="s">
        <v>24</v>
      </c>
      <c r="N412" s="2" t="s">
        <v>624</v>
      </c>
      <c r="O412" s="3" t="s">
        <v>39</v>
      </c>
      <c r="P412" s="2" t="s">
        <v>624</v>
      </c>
    </row>
    <row r="413" spans="1:16" x14ac:dyDescent="0.25">
      <c r="A413" s="98" t="s">
        <v>81</v>
      </c>
      <c r="B413" s="1" t="s">
        <v>620</v>
      </c>
      <c r="C413" s="1" t="s">
        <v>620</v>
      </c>
      <c r="D413" s="2" t="s">
        <v>621</v>
      </c>
      <c r="E413" s="94" t="str">
        <f t="shared" si="22"/>
        <v>HSM+BM1(1:1)-S50-P50-Day20-C:PFBS</v>
      </c>
      <c r="F413" s="2" t="str">
        <f>VLOOKUP(C413,'Task 2b Sample List'!I:K,3,FALSE)</f>
        <v>HSM+BM1(1:1)-S50-P50-Day20-C</v>
      </c>
      <c r="G413" s="166" t="str">
        <f t="shared" si="23"/>
        <v>HSM+BM1(1:1)-S50-P50-Day20</v>
      </c>
      <c r="H413" s="2" t="str">
        <f>VLOOKUP(C413,'Task 2b Sample List'!I:L,4,FALSE)</f>
        <v>A</v>
      </c>
      <c r="I413" s="2" t="s">
        <v>189</v>
      </c>
      <c r="J413" s="2">
        <v>50</v>
      </c>
      <c r="K413" s="2">
        <v>50</v>
      </c>
      <c r="L413" s="2">
        <v>20</v>
      </c>
      <c r="M413" s="7" t="s">
        <v>25</v>
      </c>
      <c r="N413" s="4" t="s">
        <v>625</v>
      </c>
      <c r="O413" s="5" t="s">
        <v>39</v>
      </c>
      <c r="P413" s="2" t="s">
        <v>625</v>
      </c>
    </row>
    <row r="414" spans="1:16" x14ac:dyDescent="0.25">
      <c r="A414" s="98" t="s">
        <v>81</v>
      </c>
      <c r="B414" s="1" t="s">
        <v>620</v>
      </c>
      <c r="C414" s="1" t="s">
        <v>620</v>
      </c>
      <c r="D414" s="2" t="s">
        <v>621</v>
      </c>
      <c r="E414" s="94" t="str">
        <f t="shared" si="22"/>
        <v>HSM+BM1(1:1)-S50-P50-Day20-C:PFOS</v>
      </c>
      <c r="F414" s="2" t="str">
        <f>VLOOKUP(C414,'Task 2b Sample List'!I:K,3,FALSE)</f>
        <v>HSM+BM1(1:1)-S50-P50-Day20-C</v>
      </c>
      <c r="G414" s="166" t="str">
        <f t="shared" si="23"/>
        <v>HSM+BM1(1:1)-S50-P50-Day20</v>
      </c>
      <c r="H414" s="2" t="str">
        <f>VLOOKUP(C414,'Task 2b Sample List'!I:L,4,FALSE)</f>
        <v>A</v>
      </c>
      <c r="I414" s="2" t="s">
        <v>189</v>
      </c>
      <c r="J414" s="2">
        <v>50</v>
      </c>
      <c r="K414" s="2">
        <v>50</v>
      </c>
      <c r="L414" s="2">
        <v>20</v>
      </c>
      <c r="M414" s="7" t="s">
        <v>26</v>
      </c>
      <c r="N414" s="2" t="s">
        <v>626</v>
      </c>
      <c r="O414" s="3" t="s">
        <v>39</v>
      </c>
      <c r="P414" s="2" t="s">
        <v>626</v>
      </c>
    </row>
    <row r="415" spans="1:16" ht="15.75" thickBot="1" x14ac:dyDescent="0.3">
      <c r="A415" s="98" t="s">
        <v>81</v>
      </c>
      <c r="B415" s="1" t="s">
        <v>620</v>
      </c>
      <c r="C415" s="1" t="s">
        <v>620</v>
      </c>
      <c r="D415" s="2" t="s">
        <v>621</v>
      </c>
      <c r="E415" s="94" t="str">
        <f t="shared" si="22"/>
        <v>HSM+BM1(1:1)-S50-P50-Day20-C:8:2FTS</v>
      </c>
      <c r="F415" s="2" t="str">
        <f>VLOOKUP(C415,'Task 2b Sample List'!I:K,3,FALSE)</f>
        <v>HSM+BM1(1:1)-S50-P50-Day20-C</v>
      </c>
      <c r="G415" s="166" t="str">
        <f t="shared" si="23"/>
        <v>HSM+BM1(1:1)-S50-P50-Day20</v>
      </c>
      <c r="H415" s="2" t="str">
        <f>VLOOKUP(C415,'Task 2b Sample List'!I:L,4,FALSE)</f>
        <v>A</v>
      </c>
      <c r="I415" s="2" t="s">
        <v>189</v>
      </c>
      <c r="J415" s="2">
        <v>50</v>
      </c>
      <c r="K415" s="2">
        <v>50</v>
      </c>
      <c r="L415" s="2">
        <v>20</v>
      </c>
      <c r="M415" s="8" t="s">
        <v>27</v>
      </c>
      <c r="N415" s="4" t="s">
        <v>437</v>
      </c>
      <c r="O415" s="5" t="s">
        <v>39</v>
      </c>
      <c r="P415" s="2" t="s">
        <v>437</v>
      </c>
    </row>
    <row r="416" spans="1:16" x14ac:dyDescent="0.25">
      <c r="A416" s="99" t="s">
        <v>82</v>
      </c>
      <c r="B416" s="1" t="s">
        <v>627</v>
      </c>
      <c r="C416" s="1" t="s">
        <v>627</v>
      </c>
      <c r="D416" s="2" t="s">
        <v>628</v>
      </c>
      <c r="E416" s="94" t="str">
        <f t="shared" si="22"/>
        <v>HSM+BM1(1:1)-S50-P100-Day20-A:PFHxA</v>
      </c>
      <c r="F416" s="2" t="str">
        <f>VLOOKUP(C416,'Task 2b Sample List'!I:K,3,FALSE)</f>
        <v>HSM+BM1(1:1)-S50-P100-Day20-A</v>
      </c>
      <c r="G416" s="166" t="str">
        <f>LEFT(F416,27)</f>
        <v>HSM+BM1(1:1)-S50-P100-Day20</v>
      </c>
      <c r="H416" s="2" t="str">
        <f>VLOOKUP(C416,'Task 2b Sample List'!I:L,4,FALSE)</f>
        <v>B</v>
      </c>
      <c r="I416" s="2" t="s">
        <v>189</v>
      </c>
      <c r="J416" s="2">
        <v>50</v>
      </c>
      <c r="K416" s="2">
        <v>100</v>
      </c>
      <c r="L416" s="2">
        <v>20</v>
      </c>
      <c r="M416" s="6" t="s">
        <v>22</v>
      </c>
      <c r="N416" s="2" t="s">
        <v>629</v>
      </c>
      <c r="O416" s="3" t="s">
        <v>39</v>
      </c>
      <c r="P416" s="2" t="s">
        <v>629</v>
      </c>
    </row>
    <row r="417" spans="1:16" x14ac:dyDescent="0.25">
      <c r="A417" s="99" t="s">
        <v>82</v>
      </c>
      <c r="B417" s="1" t="s">
        <v>627</v>
      </c>
      <c r="C417" s="1" t="s">
        <v>627</v>
      </c>
      <c r="D417" s="2" t="s">
        <v>628</v>
      </c>
      <c r="E417" s="94" t="str">
        <f t="shared" si="22"/>
        <v>HSM+BM1(1:1)-S50-P100-Day20-A:PFOA</v>
      </c>
      <c r="F417" s="2" t="str">
        <f>VLOOKUP(C417,'Task 2b Sample List'!I:K,3,FALSE)</f>
        <v>HSM+BM1(1:1)-S50-P100-Day20-A</v>
      </c>
      <c r="G417" s="166" t="str">
        <f t="shared" ref="G417:G451" si="24">LEFT(F417,27)</f>
        <v>HSM+BM1(1:1)-S50-P100-Day20</v>
      </c>
      <c r="H417" s="2" t="str">
        <f>VLOOKUP(C417,'Task 2b Sample List'!I:L,4,FALSE)</f>
        <v>B</v>
      </c>
      <c r="I417" s="2" t="s">
        <v>189</v>
      </c>
      <c r="J417" s="2">
        <v>50</v>
      </c>
      <c r="K417" s="2">
        <v>100</v>
      </c>
      <c r="L417" s="2">
        <v>20</v>
      </c>
      <c r="M417" s="7" t="s">
        <v>23</v>
      </c>
      <c r="N417" s="4" t="s">
        <v>630</v>
      </c>
      <c r="O417" s="5" t="s">
        <v>39</v>
      </c>
      <c r="P417" s="2" t="s">
        <v>630</v>
      </c>
    </row>
    <row r="418" spans="1:16" x14ac:dyDescent="0.25">
      <c r="A418" s="99" t="s">
        <v>82</v>
      </c>
      <c r="B418" s="1" t="s">
        <v>627</v>
      </c>
      <c r="C418" s="1" t="s">
        <v>627</v>
      </c>
      <c r="D418" s="2" t="s">
        <v>628</v>
      </c>
      <c r="E418" s="94" t="str">
        <f t="shared" si="22"/>
        <v>HSM+BM1(1:1)-S50-P100-Day20-A:PFNA</v>
      </c>
      <c r="F418" s="2" t="str">
        <f>VLOOKUP(C418,'Task 2b Sample List'!I:K,3,FALSE)</f>
        <v>HSM+BM1(1:1)-S50-P100-Day20-A</v>
      </c>
      <c r="G418" s="166" t="str">
        <f t="shared" si="24"/>
        <v>HSM+BM1(1:1)-S50-P100-Day20</v>
      </c>
      <c r="H418" s="2" t="str">
        <f>VLOOKUP(C418,'Task 2b Sample List'!I:L,4,FALSE)</f>
        <v>B</v>
      </c>
      <c r="I418" s="2" t="s">
        <v>189</v>
      </c>
      <c r="J418" s="2">
        <v>50</v>
      </c>
      <c r="K418" s="2">
        <v>100</v>
      </c>
      <c r="L418" s="2">
        <v>20</v>
      </c>
      <c r="M418" s="7" t="s">
        <v>24</v>
      </c>
      <c r="N418" s="2" t="s">
        <v>631</v>
      </c>
      <c r="O418" s="3" t="s">
        <v>39</v>
      </c>
      <c r="P418" s="2" t="s">
        <v>631</v>
      </c>
    </row>
    <row r="419" spans="1:16" x14ac:dyDescent="0.25">
      <c r="A419" s="99" t="s">
        <v>82</v>
      </c>
      <c r="B419" s="1" t="s">
        <v>627</v>
      </c>
      <c r="C419" s="1" t="s">
        <v>627</v>
      </c>
      <c r="D419" s="2" t="s">
        <v>628</v>
      </c>
      <c r="E419" s="94" t="str">
        <f t="shared" si="22"/>
        <v>HSM+BM1(1:1)-S50-P100-Day20-A:PFBS</v>
      </c>
      <c r="F419" s="2" t="str">
        <f>VLOOKUP(C419,'Task 2b Sample List'!I:K,3,FALSE)</f>
        <v>HSM+BM1(1:1)-S50-P100-Day20-A</v>
      </c>
      <c r="G419" s="166" t="str">
        <f t="shared" si="24"/>
        <v>HSM+BM1(1:1)-S50-P100-Day20</v>
      </c>
      <c r="H419" s="2" t="str">
        <f>VLOOKUP(C419,'Task 2b Sample List'!I:L,4,FALSE)</f>
        <v>B</v>
      </c>
      <c r="I419" s="2" t="s">
        <v>189</v>
      </c>
      <c r="J419" s="2">
        <v>50</v>
      </c>
      <c r="K419" s="2">
        <v>100</v>
      </c>
      <c r="L419" s="2">
        <v>20</v>
      </c>
      <c r="M419" s="7" t="s">
        <v>25</v>
      </c>
      <c r="N419" s="4" t="s">
        <v>632</v>
      </c>
      <c r="O419" s="5" t="s">
        <v>39</v>
      </c>
      <c r="P419" s="2" t="s">
        <v>632</v>
      </c>
    </row>
    <row r="420" spans="1:16" x14ac:dyDescent="0.25">
      <c r="A420" s="99" t="s">
        <v>82</v>
      </c>
      <c r="B420" s="1" t="s">
        <v>627</v>
      </c>
      <c r="C420" s="1" t="s">
        <v>627</v>
      </c>
      <c r="D420" s="2" t="s">
        <v>628</v>
      </c>
      <c r="E420" s="94" t="str">
        <f t="shared" si="22"/>
        <v>HSM+BM1(1:1)-S50-P100-Day20-A:PFOS</v>
      </c>
      <c r="F420" s="2" t="str">
        <f>VLOOKUP(C420,'Task 2b Sample List'!I:K,3,FALSE)</f>
        <v>HSM+BM1(1:1)-S50-P100-Day20-A</v>
      </c>
      <c r="G420" s="166" t="str">
        <f t="shared" si="24"/>
        <v>HSM+BM1(1:1)-S50-P100-Day20</v>
      </c>
      <c r="H420" s="2" t="str">
        <f>VLOOKUP(C420,'Task 2b Sample List'!I:L,4,FALSE)</f>
        <v>B</v>
      </c>
      <c r="I420" s="2" t="s">
        <v>189</v>
      </c>
      <c r="J420" s="2">
        <v>50</v>
      </c>
      <c r="K420" s="2">
        <v>100</v>
      </c>
      <c r="L420" s="2">
        <v>20</v>
      </c>
      <c r="M420" s="7" t="s">
        <v>26</v>
      </c>
      <c r="N420" s="2" t="s">
        <v>633</v>
      </c>
      <c r="O420" s="3" t="s">
        <v>39</v>
      </c>
      <c r="P420" s="2" t="s">
        <v>633</v>
      </c>
    </row>
    <row r="421" spans="1:16" ht="15.75" thickBot="1" x14ac:dyDescent="0.3">
      <c r="A421" s="99" t="s">
        <v>82</v>
      </c>
      <c r="B421" s="1" t="s">
        <v>627</v>
      </c>
      <c r="C421" s="1" t="s">
        <v>627</v>
      </c>
      <c r="D421" s="2" t="s">
        <v>628</v>
      </c>
      <c r="E421" s="94" t="str">
        <f t="shared" si="22"/>
        <v>HSM+BM1(1:1)-S50-P100-Day20-A:8:2FTS</v>
      </c>
      <c r="F421" s="2" t="str">
        <f>VLOOKUP(C421,'Task 2b Sample List'!I:K,3,FALSE)</f>
        <v>HSM+BM1(1:1)-S50-P100-Day20-A</v>
      </c>
      <c r="G421" s="166" t="str">
        <f t="shared" si="24"/>
        <v>HSM+BM1(1:1)-S50-P100-Day20</v>
      </c>
      <c r="H421" s="2" t="str">
        <f>VLOOKUP(C421,'Task 2b Sample List'!I:L,4,FALSE)</f>
        <v>B</v>
      </c>
      <c r="I421" s="2" t="s">
        <v>189</v>
      </c>
      <c r="J421" s="2">
        <v>50</v>
      </c>
      <c r="K421" s="2">
        <v>100</v>
      </c>
      <c r="L421" s="2">
        <v>20</v>
      </c>
      <c r="M421" s="8" t="s">
        <v>27</v>
      </c>
      <c r="N421" s="4" t="s">
        <v>634</v>
      </c>
      <c r="O421" s="5" t="s">
        <v>39</v>
      </c>
      <c r="P421" s="2" t="s">
        <v>634</v>
      </c>
    </row>
    <row r="422" spans="1:16" x14ac:dyDescent="0.25">
      <c r="A422" s="99" t="s">
        <v>82</v>
      </c>
      <c r="B422" s="1" t="s">
        <v>635</v>
      </c>
      <c r="C422" s="1" t="s">
        <v>635</v>
      </c>
      <c r="D422" s="2" t="s">
        <v>636</v>
      </c>
      <c r="E422" s="94" t="str">
        <f t="shared" si="22"/>
        <v>HSM+BM1(1:1)-S50-P100-Day20-B:PFHxA</v>
      </c>
      <c r="F422" s="2" t="str">
        <f>VLOOKUP(C422,'Task 2b Sample List'!I:K,3,FALSE)</f>
        <v>HSM+BM1(1:1)-S50-P100-Day20-B</v>
      </c>
      <c r="G422" s="166" t="str">
        <f t="shared" si="24"/>
        <v>HSM+BM1(1:1)-S50-P100-Day20</v>
      </c>
      <c r="H422" s="2" t="str">
        <f>VLOOKUP(C422,'Task 2b Sample List'!I:L,4,FALSE)</f>
        <v>B</v>
      </c>
      <c r="I422" s="2" t="s">
        <v>189</v>
      </c>
      <c r="J422" s="2">
        <v>50</v>
      </c>
      <c r="K422" s="2">
        <v>100</v>
      </c>
      <c r="L422" s="2">
        <v>20</v>
      </c>
      <c r="M422" s="6" t="s">
        <v>22</v>
      </c>
      <c r="N422" s="2" t="s">
        <v>637</v>
      </c>
      <c r="O422" s="3" t="s">
        <v>39</v>
      </c>
      <c r="P422" s="2" t="s">
        <v>637</v>
      </c>
    </row>
    <row r="423" spans="1:16" x14ac:dyDescent="0.25">
      <c r="A423" s="99" t="s">
        <v>82</v>
      </c>
      <c r="B423" s="1" t="s">
        <v>635</v>
      </c>
      <c r="C423" s="1" t="s">
        <v>635</v>
      </c>
      <c r="D423" s="2" t="s">
        <v>636</v>
      </c>
      <c r="E423" s="94" t="str">
        <f t="shared" si="22"/>
        <v>HSM+BM1(1:1)-S50-P100-Day20-B:PFOA</v>
      </c>
      <c r="F423" s="2" t="str">
        <f>VLOOKUP(C423,'Task 2b Sample List'!I:K,3,FALSE)</f>
        <v>HSM+BM1(1:1)-S50-P100-Day20-B</v>
      </c>
      <c r="G423" s="166" t="str">
        <f t="shared" si="24"/>
        <v>HSM+BM1(1:1)-S50-P100-Day20</v>
      </c>
      <c r="H423" s="2" t="str">
        <f>VLOOKUP(C423,'Task 2b Sample List'!I:L,4,FALSE)</f>
        <v>B</v>
      </c>
      <c r="I423" s="2" t="s">
        <v>189</v>
      </c>
      <c r="J423" s="2">
        <v>50</v>
      </c>
      <c r="K423" s="2">
        <v>100</v>
      </c>
      <c r="L423" s="2">
        <v>20</v>
      </c>
      <c r="M423" s="7" t="s">
        <v>23</v>
      </c>
      <c r="N423" s="4" t="s">
        <v>447</v>
      </c>
      <c r="O423" s="5" t="s">
        <v>39</v>
      </c>
      <c r="P423" s="2" t="s">
        <v>447</v>
      </c>
    </row>
    <row r="424" spans="1:16" x14ac:dyDescent="0.25">
      <c r="A424" s="99" t="s">
        <v>82</v>
      </c>
      <c r="B424" s="1" t="s">
        <v>635</v>
      </c>
      <c r="C424" s="1" t="s">
        <v>635</v>
      </c>
      <c r="D424" s="2" t="s">
        <v>636</v>
      </c>
      <c r="E424" s="94" t="str">
        <f t="shared" si="22"/>
        <v>HSM+BM1(1:1)-S50-P100-Day20-B:PFNA</v>
      </c>
      <c r="F424" s="2" t="str">
        <f>VLOOKUP(C424,'Task 2b Sample List'!I:K,3,FALSE)</f>
        <v>HSM+BM1(1:1)-S50-P100-Day20-B</v>
      </c>
      <c r="G424" s="166" t="str">
        <f t="shared" si="24"/>
        <v>HSM+BM1(1:1)-S50-P100-Day20</v>
      </c>
      <c r="H424" s="2" t="str">
        <f>VLOOKUP(C424,'Task 2b Sample List'!I:L,4,FALSE)</f>
        <v>B</v>
      </c>
      <c r="I424" s="2" t="s">
        <v>189</v>
      </c>
      <c r="J424" s="2">
        <v>50</v>
      </c>
      <c r="K424" s="2">
        <v>100</v>
      </c>
      <c r="L424" s="2">
        <v>20</v>
      </c>
      <c r="M424" s="7" t="s">
        <v>24</v>
      </c>
      <c r="N424" s="2" t="s">
        <v>638</v>
      </c>
      <c r="O424" s="3" t="s">
        <v>39</v>
      </c>
      <c r="P424" s="2" t="s">
        <v>638</v>
      </c>
    </row>
    <row r="425" spans="1:16" x14ac:dyDescent="0.25">
      <c r="A425" s="99" t="s">
        <v>82</v>
      </c>
      <c r="B425" s="1" t="s">
        <v>635</v>
      </c>
      <c r="C425" s="1" t="s">
        <v>635</v>
      </c>
      <c r="D425" s="2" t="s">
        <v>636</v>
      </c>
      <c r="E425" s="94" t="str">
        <f t="shared" si="22"/>
        <v>HSM+BM1(1:1)-S50-P100-Day20-B:PFBS</v>
      </c>
      <c r="F425" s="2" t="str">
        <f>VLOOKUP(C425,'Task 2b Sample List'!I:K,3,FALSE)</f>
        <v>HSM+BM1(1:1)-S50-P100-Day20-B</v>
      </c>
      <c r="G425" s="166" t="str">
        <f t="shared" si="24"/>
        <v>HSM+BM1(1:1)-S50-P100-Day20</v>
      </c>
      <c r="H425" s="2" t="str">
        <f>VLOOKUP(C425,'Task 2b Sample List'!I:L,4,FALSE)</f>
        <v>B</v>
      </c>
      <c r="I425" s="2" t="s">
        <v>189</v>
      </c>
      <c r="J425" s="2">
        <v>50</v>
      </c>
      <c r="K425" s="2">
        <v>100</v>
      </c>
      <c r="L425" s="2">
        <v>20</v>
      </c>
      <c r="M425" s="7" t="s">
        <v>25</v>
      </c>
      <c r="N425" s="4" t="s">
        <v>639</v>
      </c>
      <c r="O425" s="5" t="s">
        <v>39</v>
      </c>
      <c r="P425" s="2" t="s">
        <v>639</v>
      </c>
    </row>
    <row r="426" spans="1:16" x14ac:dyDescent="0.25">
      <c r="A426" s="99" t="s">
        <v>82</v>
      </c>
      <c r="B426" s="1" t="s">
        <v>635</v>
      </c>
      <c r="C426" s="1" t="s">
        <v>635</v>
      </c>
      <c r="D426" s="2" t="s">
        <v>636</v>
      </c>
      <c r="E426" s="94" t="str">
        <f t="shared" si="22"/>
        <v>HSM+BM1(1:1)-S50-P100-Day20-B:PFOS</v>
      </c>
      <c r="F426" s="2" t="str">
        <f>VLOOKUP(C426,'Task 2b Sample List'!I:K,3,FALSE)</f>
        <v>HSM+BM1(1:1)-S50-P100-Day20-B</v>
      </c>
      <c r="G426" s="166" t="str">
        <f t="shared" si="24"/>
        <v>HSM+BM1(1:1)-S50-P100-Day20</v>
      </c>
      <c r="H426" s="2" t="str">
        <f>VLOOKUP(C426,'Task 2b Sample List'!I:L,4,FALSE)</f>
        <v>B</v>
      </c>
      <c r="I426" s="2" t="s">
        <v>189</v>
      </c>
      <c r="J426" s="2">
        <v>50</v>
      </c>
      <c r="K426" s="2">
        <v>100</v>
      </c>
      <c r="L426" s="2">
        <v>20</v>
      </c>
      <c r="M426" s="7" t="s">
        <v>26</v>
      </c>
      <c r="N426" s="2" t="s">
        <v>640</v>
      </c>
      <c r="O426" s="3" t="s">
        <v>39</v>
      </c>
      <c r="P426" s="2" t="s">
        <v>640</v>
      </c>
    </row>
    <row r="427" spans="1:16" ht="15.75" thickBot="1" x14ac:dyDescent="0.3">
      <c r="A427" s="99" t="s">
        <v>82</v>
      </c>
      <c r="B427" s="1" t="s">
        <v>635</v>
      </c>
      <c r="C427" s="1" t="s">
        <v>635</v>
      </c>
      <c r="D427" s="2" t="s">
        <v>636</v>
      </c>
      <c r="E427" s="94" t="str">
        <f t="shared" si="22"/>
        <v>HSM+BM1(1:1)-S50-P100-Day20-B:8:2FTS</v>
      </c>
      <c r="F427" s="2" t="str">
        <f>VLOOKUP(C427,'Task 2b Sample List'!I:K,3,FALSE)</f>
        <v>HSM+BM1(1:1)-S50-P100-Day20-B</v>
      </c>
      <c r="G427" s="166" t="str">
        <f t="shared" si="24"/>
        <v>HSM+BM1(1:1)-S50-P100-Day20</v>
      </c>
      <c r="H427" s="2" t="str">
        <f>VLOOKUP(C427,'Task 2b Sample List'!I:L,4,FALSE)</f>
        <v>B</v>
      </c>
      <c r="I427" s="2" t="s">
        <v>189</v>
      </c>
      <c r="J427" s="2">
        <v>50</v>
      </c>
      <c r="K427" s="2">
        <v>100</v>
      </c>
      <c r="L427" s="2">
        <v>20</v>
      </c>
      <c r="M427" s="8" t="s">
        <v>27</v>
      </c>
      <c r="N427" s="4" t="s">
        <v>641</v>
      </c>
      <c r="O427" s="5" t="s">
        <v>39</v>
      </c>
      <c r="P427" s="2" t="s">
        <v>641</v>
      </c>
    </row>
    <row r="428" spans="1:16" x14ac:dyDescent="0.25">
      <c r="A428" s="99" t="s">
        <v>82</v>
      </c>
      <c r="B428" s="1" t="s">
        <v>642</v>
      </c>
      <c r="C428" s="1" t="s">
        <v>642</v>
      </c>
      <c r="D428" s="2" t="s">
        <v>643</v>
      </c>
      <c r="E428" s="94" t="str">
        <f t="shared" si="22"/>
        <v>HSM+BM1(1:1)-S50-P100-Day20-C:PFHxA</v>
      </c>
      <c r="F428" s="2" t="str">
        <f>VLOOKUP(C428,'Task 2b Sample List'!I:K,3,FALSE)</f>
        <v>HSM+BM1(1:1)-S50-P100-Day20-C</v>
      </c>
      <c r="G428" s="166" t="str">
        <f t="shared" si="24"/>
        <v>HSM+BM1(1:1)-S50-P100-Day20</v>
      </c>
      <c r="H428" s="2" t="str">
        <f>VLOOKUP(C428,'Task 2b Sample List'!I:L,4,FALSE)</f>
        <v>B</v>
      </c>
      <c r="I428" s="2" t="s">
        <v>189</v>
      </c>
      <c r="J428" s="2">
        <v>50</v>
      </c>
      <c r="K428" s="2">
        <v>100</v>
      </c>
      <c r="L428" s="2">
        <v>20</v>
      </c>
      <c r="M428" s="6" t="s">
        <v>22</v>
      </c>
      <c r="N428" s="2" t="s">
        <v>567</v>
      </c>
      <c r="O428" s="3" t="s">
        <v>39</v>
      </c>
      <c r="P428" s="2" t="s">
        <v>567</v>
      </c>
    </row>
    <row r="429" spans="1:16" x14ac:dyDescent="0.25">
      <c r="A429" s="99" t="s">
        <v>82</v>
      </c>
      <c r="B429" s="1" t="s">
        <v>642</v>
      </c>
      <c r="C429" s="1" t="s">
        <v>642</v>
      </c>
      <c r="D429" s="2" t="s">
        <v>643</v>
      </c>
      <c r="E429" s="94" t="str">
        <f t="shared" ref="E429:E492" si="25">F429&amp;":"&amp;M429</f>
        <v>HSM+BM1(1:1)-S50-P100-Day20-C:PFOA</v>
      </c>
      <c r="F429" s="2" t="str">
        <f>VLOOKUP(C429,'Task 2b Sample List'!I:K,3,FALSE)</f>
        <v>HSM+BM1(1:1)-S50-P100-Day20-C</v>
      </c>
      <c r="G429" s="166" t="str">
        <f t="shared" si="24"/>
        <v>HSM+BM1(1:1)-S50-P100-Day20</v>
      </c>
      <c r="H429" s="2" t="str">
        <f>VLOOKUP(C429,'Task 2b Sample List'!I:L,4,FALSE)</f>
        <v>B</v>
      </c>
      <c r="I429" s="2" t="s">
        <v>189</v>
      </c>
      <c r="J429" s="2">
        <v>50</v>
      </c>
      <c r="K429" s="2">
        <v>100</v>
      </c>
      <c r="L429" s="2">
        <v>20</v>
      </c>
      <c r="M429" s="7" t="s">
        <v>23</v>
      </c>
      <c r="N429" s="4" t="s">
        <v>644</v>
      </c>
      <c r="O429" s="5" t="s">
        <v>39</v>
      </c>
      <c r="P429" s="2" t="s">
        <v>644</v>
      </c>
    </row>
    <row r="430" spans="1:16" x14ac:dyDescent="0.25">
      <c r="A430" s="99" t="s">
        <v>82</v>
      </c>
      <c r="B430" s="1" t="s">
        <v>642</v>
      </c>
      <c r="C430" s="1" t="s">
        <v>642</v>
      </c>
      <c r="D430" s="2" t="s">
        <v>643</v>
      </c>
      <c r="E430" s="94" t="str">
        <f t="shared" si="25"/>
        <v>HSM+BM1(1:1)-S50-P100-Day20-C:PFNA</v>
      </c>
      <c r="F430" s="2" t="str">
        <f>VLOOKUP(C430,'Task 2b Sample List'!I:K,3,FALSE)</f>
        <v>HSM+BM1(1:1)-S50-P100-Day20-C</v>
      </c>
      <c r="G430" s="166" t="str">
        <f t="shared" si="24"/>
        <v>HSM+BM1(1:1)-S50-P100-Day20</v>
      </c>
      <c r="H430" s="2" t="str">
        <f>VLOOKUP(C430,'Task 2b Sample List'!I:L,4,FALSE)</f>
        <v>B</v>
      </c>
      <c r="I430" s="2" t="s">
        <v>189</v>
      </c>
      <c r="J430" s="2">
        <v>50</v>
      </c>
      <c r="K430" s="2">
        <v>100</v>
      </c>
      <c r="L430" s="2">
        <v>20</v>
      </c>
      <c r="M430" s="7" t="s">
        <v>24</v>
      </c>
      <c r="N430" s="2" t="s">
        <v>645</v>
      </c>
      <c r="O430" s="3" t="s">
        <v>39</v>
      </c>
      <c r="P430" s="2" t="s">
        <v>645</v>
      </c>
    </row>
    <row r="431" spans="1:16" x14ac:dyDescent="0.25">
      <c r="A431" s="99" t="s">
        <v>82</v>
      </c>
      <c r="B431" s="1" t="s">
        <v>642</v>
      </c>
      <c r="C431" s="1" t="s">
        <v>642</v>
      </c>
      <c r="D431" s="2" t="s">
        <v>643</v>
      </c>
      <c r="E431" s="94" t="str">
        <f t="shared" si="25"/>
        <v>HSM+BM1(1:1)-S50-P100-Day20-C:PFBS</v>
      </c>
      <c r="F431" s="2" t="str">
        <f>VLOOKUP(C431,'Task 2b Sample List'!I:K,3,FALSE)</f>
        <v>HSM+BM1(1:1)-S50-P100-Day20-C</v>
      </c>
      <c r="G431" s="166" t="str">
        <f t="shared" si="24"/>
        <v>HSM+BM1(1:1)-S50-P100-Day20</v>
      </c>
      <c r="H431" s="2" t="str">
        <f>VLOOKUP(C431,'Task 2b Sample List'!I:L,4,FALSE)</f>
        <v>B</v>
      </c>
      <c r="I431" s="2" t="s">
        <v>189</v>
      </c>
      <c r="J431" s="2">
        <v>50</v>
      </c>
      <c r="K431" s="2">
        <v>100</v>
      </c>
      <c r="L431" s="2">
        <v>20</v>
      </c>
      <c r="M431" s="7" t="s">
        <v>25</v>
      </c>
      <c r="N431" s="4" t="s">
        <v>646</v>
      </c>
      <c r="O431" s="5" t="s">
        <v>39</v>
      </c>
      <c r="P431" s="2" t="s">
        <v>646</v>
      </c>
    </row>
    <row r="432" spans="1:16" x14ac:dyDescent="0.25">
      <c r="A432" s="99" t="s">
        <v>82</v>
      </c>
      <c r="B432" s="1" t="s">
        <v>642</v>
      </c>
      <c r="C432" s="1" t="s">
        <v>642</v>
      </c>
      <c r="D432" s="2" t="s">
        <v>643</v>
      </c>
      <c r="E432" s="94" t="str">
        <f t="shared" si="25"/>
        <v>HSM+BM1(1:1)-S50-P100-Day20-C:PFOS</v>
      </c>
      <c r="F432" s="2" t="str">
        <f>VLOOKUP(C432,'Task 2b Sample List'!I:K,3,FALSE)</f>
        <v>HSM+BM1(1:1)-S50-P100-Day20-C</v>
      </c>
      <c r="G432" s="166" t="str">
        <f t="shared" si="24"/>
        <v>HSM+BM1(1:1)-S50-P100-Day20</v>
      </c>
      <c r="H432" s="2" t="str">
        <f>VLOOKUP(C432,'Task 2b Sample List'!I:L,4,FALSE)</f>
        <v>B</v>
      </c>
      <c r="I432" s="2" t="s">
        <v>189</v>
      </c>
      <c r="J432" s="2">
        <v>50</v>
      </c>
      <c r="K432" s="2">
        <v>100</v>
      </c>
      <c r="L432" s="2">
        <v>20</v>
      </c>
      <c r="M432" s="7" t="s">
        <v>26</v>
      </c>
      <c r="N432" s="2" t="s">
        <v>647</v>
      </c>
      <c r="O432" s="3" t="s">
        <v>39</v>
      </c>
      <c r="P432" s="2" t="s">
        <v>647</v>
      </c>
    </row>
    <row r="433" spans="1:16" ht="15.75" thickBot="1" x14ac:dyDescent="0.3">
      <c r="A433" s="99" t="s">
        <v>82</v>
      </c>
      <c r="B433" s="1" t="s">
        <v>642</v>
      </c>
      <c r="C433" s="1" t="s">
        <v>642</v>
      </c>
      <c r="D433" s="2" t="s">
        <v>643</v>
      </c>
      <c r="E433" s="94" t="str">
        <f t="shared" si="25"/>
        <v>HSM+BM1(1:1)-S50-P100-Day20-C:8:2FTS</v>
      </c>
      <c r="F433" s="2" t="str">
        <f>VLOOKUP(C433,'Task 2b Sample List'!I:K,3,FALSE)</f>
        <v>HSM+BM1(1:1)-S50-P100-Day20-C</v>
      </c>
      <c r="G433" s="166" t="str">
        <f t="shared" si="24"/>
        <v>HSM+BM1(1:1)-S50-P100-Day20</v>
      </c>
      <c r="H433" s="2" t="str">
        <f>VLOOKUP(C433,'Task 2b Sample List'!I:L,4,FALSE)</f>
        <v>B</v>
      </c>
      <c r="I433" s="2" t="s">
        <v>189</v>
      </c>
      <c r="J433" s="2">
        <v>50</v>
      </c>
      <c r="K433" s="2">
        <v>100</v>
      </c>
      <c r="L433" s="2">
        <v>20</v>
      </c>
      <c r="M433" s="8" t="s">
        <v>27</v>
      </c>
      <c r="N433" s="4" t="s">
        <v>648</v>
      </c>
      <c r="O433" s="5" t="s">
        <v>39</v>
      </c>
      <c r="P433" s="2" t="s">
        <v>648</v>
      </c>
    </row>
    <row r="434" spans="1:16" x14ac:dyDescent="0.25">
      <c r="A434" s="99" t="s">
        <v>82</v>
      </c>
      <c r="B434" s="1" t="s">
        <v>650</v>
      </c>
      <c r="C434" s="1" t="s">
        <v>650</v>
      </c>
      <c r="D434" s="2" t="s">
        <v>649</v>
      </c>
      <c r="E434" s="94" t="str">
        <f t="shared" si="25"/>
        <v>HSM+BM1(1:1)-S50-P500-Day20-A:PFHxA</v>
      </c>
      <c r="F434" s="2" t="str">
        <f>VLOOKUP(C434,'Task 2b Sample List'!I:K,3,FALSE)</f>
        <v>HSM+BM1(1:1)-S50-P500-Day20-A</v>
      </c>
      <c r="G434" s="166" t="str">
        <f t="shared" si="24"/>
        <v>HSM+BM1(1:1)-S50-P500-Day20</v>
      </c>
      <c r="H434" s="2" t="str">
        <f>VLOOKUP(C434,'Task 2b Sample List'!I:L,4,FALSE)</f>
        <v>A</v>
      </c>
      <c r="I434" s="2" t="s">
        <v>189</v>
      </c>
      <c r="J434" s="2">
        <v>50</v>
      </c>
      <c r="K434" s="2">
        <v>500</v>
      </c>
      <c r="L434" s="2">
        <v>20</v>
      </c>
      <c r="M434" s="6" t="s">
        <v>22</v>
      </c>
      <c r="N434" s="2" t="s">
        <v>651</v>
      </c>
      <c r="O434" s="3" t="s">
        <v>39</v>
      </c>
      <c r="P434" s="2" t="s">
        <v>651</v>
      </c>
    </row>
    <row r="435" spans="1:16" x14ac:dyDescent="0.25">
      <c r="A435" s="99" t="s">
        <v>82</v>
      </c>
      <c r="B435" s="1" t="s">
        <v>650</v>
      </c>
      <c r="C435" s="1" t="s">
        <v>650</v>
      </c>
      <c r="D435" s="2" t="s">
        <v>649</v>
      </c>
      <c r="E435" s="94" t="str">
        <f t="shared" si="25"/>
        <v>HSM+BM1(1:1)-S50-P500-Day20-A:PFOA</v>
      </c>
      <c r="F435" s="2" t="str">
        <f>VLOOKUP(C435,'Task 2b Sample List'!I:K,3,FALSE)</f>
        <v>HSM+BM1(1:1)-S50-P500-Day20-A</v>
      </c>
      <c r="G435" s="166" t="str">
        <f t="shared" si="24"/>
        <v>HSM+BM1(1:1)-S50-P500-Day20</v>
      </c>
      <c r="H435" s="2" t="str">
        <f>VLOOKUP(C435,'Task 2b Sample List'!I:L,4,FALSE)</f>
        <v>A</v>
      </c>
      <c r="I435" s="2" t="s">
        <v>189</v>
      </c>
      <c r="J435" s="2">
        <v>50</v>
      </c>
      <c r="K435" s="2">
        <v>500</v>
      </c>
      <c r="L435" s="2">
        <v>20</v>
      </c>
      <c r="M435" s="7" t="s">
        <v>23</v>
      </c>
      <c r="N435" s="4" t="s">
        <v>119</v>
      </c>
      <c r="O435" s="5" t="s">
        <v>39</v>
      </c>
      <c r="P435" s="2" t="s">
        <v>119</v>
      </c>
    </row>
    <row r="436" spans="1:16" x14ac:dyDescent="0.25">
      <c r="A436" s="99" t="s">
        <v>82</v>
      </c>
      <c r="B436" s="1" t="s">
        <v>650</v>
      </c>
      <c r="C436" s="1" t="s">
        <v>650</v>
      </c>
      <c r="D436" s="2" t="s">
        <v>649</v>
      </c>
      <c r="E436" s="94" t="str">
        <f t="shared" si="25"/>
        <v>HSM+BM1(1:1)-S50-P500-Day20-A:PFNA</v>
      </c>
      <c r="F436" s="2" t="str">
        <f>VLOOKUP(C436,'Task 2b Sample List'!I:K,3,FALSE)</f>
        <v>HSM+BM1(1:1)-S50-P500-Day20-A</v>
      </c>
      <c r="G436" s="166" t="str">
        <f t="shared" si="24"/>
        <v>HSM+BM1(1:1)-S50-P500-Day20</v>
      </c>
      <c r="H436" s="2" t="str">
        <f>VLOOKUP(C436,'Task 2b Sample List'!I:L,4,FALSE)</f>
        <v>A</v>
      </c>
      <c r="I436" s="2" t="s">
        <v>189</v>
      </c>
      <c r="J436" s="2">
        <v>50</v>
      </c>
      <c r="K436" s="2">
        <v>500</v>
      </c>
      <c r="L436" s="2">
        <v>20</v>
      </c>
      <c r="M436" s="7" t="s">
        <v>24</v>
      </c>
      <c r="N436" s="2" t="s">
        <v>652</v>
      </c>
      <c r="O436" s="3" t="s">
        <v>39</v>
      </c>
      <c r="P436" s="2" t="s">
        <v>652</v>
      </c>
    </row>
    <row r="437" spans="1:16" x14ac:dyDescent="0.25">
      <c r="A437" s="99" t="s">
        <v>82</v>
      </c>
      <c r="B437" s="1" t="s">
        <v>650</v>
      </c>
      <c r="C437" s="1" t="s">
        <v>650</v>
      </c>
      <c r="D437" s="2" t="s">
        <v>649</v>
      </c>
      <c r="E437" s="94" t="str">
        <f t="shared" si="25"/>
        <v>HSM+BM1(1:1)-S50-P500-Day20-A:PFBS</v>
      </c>
      <c r="F437" s="2" t="str">
        <f>VLOOKUP(C437,'Task 2b Sample List'!I:K,3,FALSE)</f>
        <v>HSM+BM1(1:1)-S50-P500-Day20-A</v>
      </c>
      <c r="G437" s="166" t="str">
        <f t="shared" si="24"/>
        <v>HSM+BM1(1:1)-S50-P500-Day20</v>
      </c>
      <c r="H437" s="2" t="str">
        <f>VLOOKUP(C437,'Task 2b Sample List'!I:L,4,FALSE)</f>
        <v>A</v>
      </c>
      <c r="I437" s="2" t="s">
        <v>189</v>
      </c>
      <c r="J437" s="2">
        <v>50</v>
      </c>
      <c r="K437" s="2">
        <v>500</v>
      </c>
      <c r="L437" s="2">
        <v>20</v>
      </c>
      <c r="M437" s="7" t="s">
        <v>25</v>
      </c>
      <c r="N437" s="4" t="s">
        <v>653</v>
      </c>
      <c r="O437" s="5" t="s">
        <v>39</v>
      </c>
      <c r="P437" s="2" t="s">
        <v>653</v>
      </c>
    </row>
    <row r="438" spans="1:16" x14ac:dyDescent="0.25">
      <c r="A438" s="99" t="s">
        <v>82</v>
      </c>
      <c r="B438" s="1" t="s">
        <v>650</v>
      </c>
      <c r="C438" s="1" t="s">
        <v>650</v>
      </c>
      <c r="D438" s="2" t="s">
        <v>649</v>
      </c>
      <c r="E438" s="94" t="str">
        <f t="shared" si="25"/>
        <v>HSM+BM1(1:1)-S50-P500-Day20-A:PFOS</v>
      </c>
      <c r="F438" s="2" t="str">
        <f>VLOOKUP(C438,'Task 2b Sample List'!I:K,3,FALSE)</f>
        <v>HSM+BM1(1:1)-S50-P500-Day20-A</v>
      </c>
      <c r="G438" s="166" t="str">
        <f t="shared" si="24"/>
        <v>HSM+BM1(1:1)-S50-P500-Day20</v>
      </c>
      <c r="H438" s="2" t="str">
        <f>VLOOKUP(C438,'Task 2b Sample List'!I:L,4,FALSE)</f>
        <v>A</v>
      </c>
      <c r="I438" s="2" t="s">
        <v>189</v>
      </c>
      <c r="J438" s="2">
        <v>50</v>
      </c>
      <c r="K438" s="2">
        <v>500</v>
      </c>
      <c r="L438" s="2">
        <v>20</v>
      </c>
      <c r="M438" s="7" t="s">
        <v>26</v>
      </c>
      <c r="N438" s="2" t="s">
        <v>654</v>
      </c>
      <c r="O438" s="3" t="s">
        <v>39</v>
      </c>
      <c r="P438" s="2" t="s">
        <v>654</v>
      </c>
    </row>
    <row r="439" spans="1:16" ht="15.75" thickBot="1" x14ac:dyDescent="0.3">
      <c r="A439" s="99" t="s">
        <v>82</v>
      </c>
      <c r="B439" s="1" t="s">
        <v>650</v>
      </c>
      <c r="C439" s="1" t="s">
        <v>650</v>
      </c>
      <c r="D439" s="2" t="s">
        <v>649</v>
      </c>
      <c r="E439" s="94" t="str">
        <f t="shared" si="25"/>
        <v>HSM+BM1(1:1)-S50-P500-Day20-A:8:2FTS</v>
      </c>
      <c r="F439" s="2" t="str">
        <f>VLOOKUP(C439,'Task 2b Sample List'!I:K,3,FALSE)</f>
        <v>HSM+BM1(1:1)-S50-P500-Day20-A</v>
      </c>
      <c r="G439" s="166" t="str">
        <f t="shared" si="24"/>
        <v>HSM+BM1(1:1)-S50-P500-Day20</v>
      </c>
      <c r="H439" s="2" t="str">
        <f>VLOOKUP(C439,'Task 2b Sample List'!I:L,4,FALSE)</f>
        <v>A</v>
      </c>
      <c r="I439" s="2" t="s">
        <v>189</v>
      </c>
      <c r="J439" s="2">
        <v>50</v>
      </c>
      <c r="K439" s="2">
        <v>500</v>
      </c>
      <c r="L439" s="2">
        <v>20</v>
      </c>
      <c r="M439" s="8" t="s">
        <v>27</v>
      </c>
      <c r="N439" s="4" t="s">
        <v>655</v>
      </c>
      <c r="O439" s="5" t="s">
        <v>39</v>
      </c>
      <c r="P439" s="2" t="s">
        <v>655</v>
      </c>
    </row>
    <row r="440" spans="1:16" x14ac:dyDescent="0.25">
      <c r="A440" s="99" t="s">
        <v>82</v>
      </c>
      <c r="B440" s="1" t="s">
        <v>656</v>
      </c>
      <c r="C440" s="1" t="s">
        <v>656</v>
      </c>
      <c r="D440" s="2" t="s">
        <v>657</v>
      </c>
      <c r="E440" s="94" t="str">
        <f t="shared" si="25"/>
        <v>HSM+BM1(1:1)-S50-P500-Day20-B:PFHxA</v>
      </c>
      <c r="F440" s="2" t="str">
        <f>VLOOKUP(C440,'Task 2b Sample List'!I:K,3,FALSE)</f>
        <v>HSM+BM1(1:1)-S50-P500-Day20-B</v>
      </c>
      <c r="G440" s="166" t="str">
        <f t="shared" si="24"/>
        <v>HSM+BM1(1:1)-S50-P500-Day20</v>
      </c>
      <c r="H440" s="2" t="str">
        <f>VLOOKUP(C440,'Task 2b Sample List'!I:L,4,FALSE)</f>
        <v>A</v>
      </c>
      <c r="I440" s="2" t="s">
        <v>189</v>
      </c>
      <c r="J440" s="2">
        <v>50</v>
      </c>
      <c r="K440" s="2">
        <v>500</v>
      </c>
      <c r="L440" s="2">
        <v>20</v>
      </c>
      <c r="M440" s="6" t="s">
        <v>22</v>
      </c>
      <c r="N440" s="2" t="s">
        <v>658</v>
      </c>
      <c r="O440" s="3" t="s">
        <v>39</v>
      </c>
      <c r="P440" s="2" t="s">
        <v>658</v>
      </c>
    </row>
    <row r="441" spans="1:16" x14ac:dyDescent="0.25">
      <c r="A441" s="99" t="s">
        <v>82</v>
      </c>
      <c r="B441" s="1" t="s">
        <v>656</v>
      </c>
      <c r="C441" s="1" t="s">
        <v>656</v>
      </c>
      <c r="D441" s="2" t="s">
        <v>657</v>
      </c>
      <c r="E441" s="94" t="str">
        <f t="shared" si="25"/>
        <v>HSM+BM1(1:1)-S50-P500-Day20-B:PFOA</v>
      </c>
      <c r="F441" s="2" t="str">
        <f>VLOOKUP(C441,'Task 2b Sample List'!I:K,3,FALSE)</f>
        <v>HSM+BM1(1:1)-S50-P500-Day20-B</v>
      </c>
      <c r="G441" s="166" t="str">
        <f t="shared" si="24"/>
        <v>HSM+BM1(1:1)-S50-P500-Day20</v>
      </c>
      <c r="H441" s="2" t="str">
        <f>VLOOKUP(C441,'Task 2b Sample List'!I:L,4,FALSE)</f>
        <v>A</v>
      </c>
      <c r="I441" s="2" t="s">
        <v>189</v>
      </c>
      <c r="J441" s="2">
        <v>50</v>
      </c>
      <c r="K441" s="2">
        <v>500</v>
      </c>
      <c r="L441" s="2">
        <v>20</v>
      </c>
      <c r="M441" s="7" t="s">
        <v>23</v>
      </c>
      <c r="N441" s="4" t="s">
        <v>659</v>
      </c>
      <c r="O441" s="5" t="s">
        <v>39</v>
      </c>
      <c r="P441" s="2" t="s">
        <v>659</v>
      </c>
    </row>
    <row r="442" spans="1:16" x14ac:dyDescent="0.25">
      <c r="A442" s="99" t="s">
        <v>82</v>
      </c>
      <c r="B442" s="1" t="s">
        <v>656</v>
      </c>
      <c r="C442" s="1" t="s">
        <v>656</v>
      </c>
      <c r="D442" s="2" t="s">
        <v>657</v>
      </c>
      <c r="E442" s="94" t="str">
        <f t="shared" si="25"/>
        <v>HSM+BM1(1:1)-S50-P500-Day20-B:PFNA</v>
      </c>
      <c r="F442" s="2" t="str">
        <f>VLOOKUP(C442,'Task 2b Sample List'!I:K,3,FALSE)</f>
        <v>HSM+BM1(1:1)-S50-P500-Day20-B</v>
      </c>
      <c r="G442" s="166" t="str">
        <f t="shared" si="24"/>
        <v>HSM+BM1(1:1)-S50-P500-Day20</v>
      </c>
      <c r="H442" s="2" t="str">
        <f>VLOOKUP(C442,'Task 2b Sample List'!I:L,4,FALSE)</f>
        <v>A</v>
      </c>
      <c r="I442" s="2" t="s">
        <v>189</v>
      </c>
      <c r="J442" s="2">
        <v>50</v>
      </c>
      <c r="K442" s="2">
        <v>500</v>
      </c>
      <c r="L442" s="2">
        <v>20</v>
      </c>
      <c r="M442" s="7" t="s">
        <v>24</v>
      </c>
      <c r="N442" s="2" t="s">
        <v>336</v>
      </c>
      <c r="O442" s="3" t="s">
        <v>39</v>
      </c>
      <c r="P442" s="2" t="s">
        <v>336</v>
      </c>
    </row>
    <row r="443" spans="1:16" x14ac:dyDescent="0.25">
      <c r="A443" s="99" t="s">
        <v>82</v>
      </c>
      <c r="B443" s="1" t="s">
        <v>656</v>
      </c>
      <c r="C443" s="1" t="s">
        <v>656</v>
      </c>
      <c r="D443" s="2" t="s">
        <v>657</v>
      </c>
      <c r="E443" s="94" t="str">
        <f t="shared" si="25"/>
        <v>HSM+BM1(1:1)-S50-P500-Day20-B:PFBS</v>
      </c>
      <c r="F443" s="2" t="str">
        <f>VLOOKUP(C443,'Task 2b Sample List'!I:K,3,FALSE)</f>
        <v>HSM+BM1(1:1)-S50-P500-Day20-B</v>
      </c>
      <c r="G443" s="166" t="str">
        <f t="shared" si="24"/>
        <v>HSM+BM1(1:1)-S50-P500-Day20</v>
      </c>
      <c r="H443" s="2" t="str">
        <f>VLOOKUP(C443,'Task 2b Sample List'!I:L,4,FALSE)</f>
        <v>A</v>
      </c>
      <c r="I443" s="2" t="s">
        <v>189</v>
      </c>
      <c r="J443" s="2">
        <v>50</v>
      </c>
      <c r="K443" s="2">
        <v>500</v>
      </c>
      <c r="L443" s="2">
        <v>20</v>
      </c>
      <c r="M443" s="7" t="s">
        <v>25</v>
      </c>
      <c r="N443" s="4" t="s">
        <v>660</v>
      </c>
      <c r="O443" s="5" t="s">
        <v>39</v>
      </c>
      <c r="P443" s="2" t="s">
        <v>660</v>
      </c>
    </row>
    <row r="444" spans="1:16" x14ac:dyDescent="0.25">
      <c r="A444" s="99" t="s">
        <v>82</v>
      </c>
      <c r="B444" s="1" t="s">
        <v>656</v>
      </c>
      <c r="C444" s="1" t="s">
        <v>656</v>
      </c>
      <c r="D444" s="2" t="s">
        <v>657</v>
      </c>
      <c r="E444" s="94" t="str">
        <f t="shared" si="25"/>
        <v>HSM+BM1(1:1)-S50-P500-Day20-B:PFOS</v>
      </c>
      <c r="F444" s="2" t="str">
        <f>VLOOKUP(C444,'Task 2b Sample List'!I:K,3,FALSE)</f>
        <v>HSM+BM1(1:1)-S50-P500-Day20-B</v>
      </c>
      <c r="G444" s="166" t="str">
        <f t="shared" si="24"/>
        <v>HSM+BM1(1:1)-S50-P500-Day20</v>
      </c>
      <c r="H444" s="2" t="str">
        <f>VLOOKUP(C444,'Task 2b Sample List'!I:L,4,FALSE)</f>
        <v>A</v>
      </c>
      <c r="I444" s="2" t="s">
        <v>189</v>
      </c>
      <c r="J444" s="2">
        <v>50</v>
      </c>
      <c r="K444" s="2">
        <v>500</v>
      </c>
      <c r="L444" s="2">
        <v>20</v>
      </c>
      <c r="M444" s="7" t="s">
        <v>26</v>
      </c>
      <c r="N444" s="2" t="s">
        <v>532</v>
      </c>
      <c r="O444" s="3" t="s">
        <v>39</v>
      </c>
      <c r="P444" s="2" t="s">
        <v>532</v>
      </c>
    </row>
    <row r="445" spans="1:16" ht="15.75" thickBot="1" x14ac:dyDescent="0.3">
      <c r="A445" s="99" t="s">
        <v>82</v>
      </c>
      <c r="B445" s="1" t="s">
        <v>656</v>
      </c>
      <c r="C445" s="1" t="s">
        <v>656</v>
      </c>
      <c r="D445" s="2" t="s">
        <v>657</v>
      </c>
      <c r="E445" s="94" t="str">
        <f t="shared" si="25"/>
        <v>HSM+BM1(1:1)-S50-P500-Day20-B:8:2FTS</v>
      </c>
      <c r="F445" s="2" t="str">
        <f>VLOOKUP(C445,'Task 2b Sample List'!I:K,3,FALSE)</f>
        <v>HSM+BM1(1:1)-S50-P500-Day20-B</v>
      </c>
      <c r="G445" s="166" t="str">
        <f t="shared" si="24"/>
        <v>HSM+BM1(1:1)-S50-P500-Day20</v>
      </c>
      <c r="H445" s="2" t="str">
        <f>VLOOKUP(C445,'Task 2b Sample List'!I:L,4,FALSE)</f>
        <v>A</v>
      </c>
      <c r="I445" s="2" t="s">
        <v>189</v>
      </c>
      <c r="J445" s="2">
        <v>50</v>
      </c>
      <c r="K445" s="2">
        <v>500</v>
      </c>
      <c r="L445" s="2">
        <v>20</v>
      </c>
      <c r="M445" s="8" t="s">
        <v>27</v>
      </c>
      <c r="N445" s="4" t="s">
        <v>661</v>
      </c>
      <c r="O445" s="5" t="s">
        <v>39</v>
      </c>
      <c r="P445" s="2" t="s">
        <v>661</v>
      </c>
    </row>
    <row r="446" spans="1:16" x14ac:dyDescent="0.25">
      <c r="A446" s="99" t="s">
        <v>82</v>
      </c>
      <c r="B446" s="1" t="s">
        <v>662</v>
      </c>
      <c r="C446" s="1" t="s">
        <v>662</v>
      </c>
      <c r="D446" s="2" t="s">
        <v>663</v>
      </c>
      <c r="E446" s="94" t="str">
        <f t="shared" si="25"/>
        <v>HSM+BM1(1:1)-S50-P500-Day20-C:PFHxA</v>
      </c>
      <c r="F446" s="2" t="str">
        <f>VLOOKUP(C446,'Task 2b Sample List'!I:K,3,FALSE)</f>
        <v>HSM+BM1(1:1)-S50-P500-Day20-C</v>
      </c>
      <c r="G446" s="166" t="str">
        <f t="shared" si="24"/>
        <v>HSM+BM1(1:1)-S50-P500-Day20</v>
      </c>
      <c r="H446" s="2" t="str">
        <f>VLOOKUP(C446,'Task 2b Sample List'!I:L,4,FALSE)</f>
        <v>A</v>
      </c>
      <c r="I446" s="2" t="s">
        <v>189</v>
      </c>
      <c r="J446" s="2">
        <v>50</v>
      </c>
      <c r="K446" s="2">
        <v>500</v>
      </c>
      <c r="L446" s="2">
        <v>20</v>
      </c>
      <c r="M446" s="6" t="s">
        <v>22</v>
      </c>
      <c r="N446" s="2" t="s">
        <v>346</v>
      </c>
      <c r="O446" s="3" t="s">
        <v>39</v>
      </c>
      <c r="P446" s="2" t="s">
        <v>346</v>
      </c>
    </row>
    <row r="447" spans="1:16" x14ac:dyDescent="0.25">
      <c r="A447" s="99" t="s">
        <v>82</v>
      </c>
      <c r="B447" s="1" t="s">
        <v>662</v>
      </c>
      <c r="C447" s="1" t="s">
        <v>662</v>
      </c>
      <c r="D447" s="2" t="s">
        <v>663</v>
      </c>
      <c r="E447" s="94" t="str">
        <f t="shared" si="25"/>
        <v>HSM+BM1(1:1)-S50-P500-Day20-C:PFOA</v>
      </c>
      <c r="F447" s="2" t="str">
        <f>VLOOKUP(C447,'Task 2b Sample List'!I:K,3,FALSE)</f>
        <v>HSM+BM1(1:1)-S50-P500-Day20-C</v>
      </c>
      <c r="G447" s="166" t="str">
        <f t="shared" si="24"/>
        <v>HSM+BM1(1:1)-S50-P500-Day20</v>
      </c>
      <c r="H447" s="2" t="str">
        <f>VLOOKUP(C447,'Task 2b Sample List'!I:L,4,FALSE)</f>
        <v>A</v>
      </c>
      <c r="I447" s="2" t="s">
        <v>189</v>
      </c>
      <c r="J447" s="2">
        <v>50</v>
      </c>
      <c r="K447" s="2">
        <v>500</v>
      </c>
      <c r="L447" s="2">
        <v>20</v>
      </c>
      <c r="M447" s="7" t="s">
        <v>23</v>
      </c>
      <c r="N447" s="4" t="s">
        <v>664</v>
      </c>
      <c r="O447" s="5" t="s">
        <v>39</v>
      </c>
      <c r="P447" s="2" t="s">
        <v>664</v>
      </c>
    </row>
    <row r="448" spans="1:16" x14ac:dyDescent="0.25">
      <c r="A448" s="99" t="s">
        <v>82</v>
      </c>
      <c r="B448" s="1" t="s">
        <v>662</v>
      </c>
      <c r="C448" s="1" t="s">
        <v>662</v>
      </c>
      <c r="D448" s="2" t="s">
        <v>663</v>
      </c>
      <c r="E448" s="94" t="str">
        <f t="shared" si="25"/>
        <v>HSM+BM1(1:1)-S50-P500-Day20-C:PFNA</v>
      </c>
      <c r="F448" s="2" t="str">
        <f>VLOOKUP(C448,'Task 2b Sample List'!I:K,3,FALSE)</f>
        <v>HSM+BM1(1:1)-S50-P500-Day20-C</v>
      </c>
      <c r="G448" s="166" t="str">
        <f t="shared" si="24"/>
        <v>HSM+BM1(1:1)-S50-P500-Day20</v>
      </c>
      <c r="H448" s="2" t="str">
        <f>VLOOKUP(C448,'Task 2b Sample List'!I:L,4,FALSE)</f>
        <v>A</v>
      </c>
      <c r="I448" s="2" t="s">
        <v>189</v>
      </c>
      <c r="J448" s="2">
        <v>50</v>
      </c>
      <c r="K448" s="2">
        <v>500</v>
      </c>
      <c r="L448" s="2">
        <v>20</v>
      </c>
      <c r="M448" s="7" t="s">
        <v>24</v>
      </c>
      <c r="N448" s="2" t="s">
        <v>665</v>
      </c>
      <c r="O448" s="3" t="s">
        <v>39</v>
      </c>
      <c r="P448" s="2" t="s">
        <v>665</v>
      </c>
    </row>
    <row r="449" spans="1:16" x14ac:dyDescent="0.25">
      <c r="A449" s="99" t="s">
        <v>82</v>
      </c>
      <c r="B449" s="1" t="s">
        <v>662</v>
      </c>
      <c r="C449" s="1" t="s">
        <v>662</v>
      </c>
      <c r="D449" s="2" t="s">
        <v>663</v>
      </c>
      <c r="E449" s="94" t="str">
        <f t="shared" si="25"/>
        <v>HSM+BM1(1:1)-S50-P500-Day20-C:PFBS</v>
      </c>
      <c r="F449" s="2" t="str">
        <f>VLOOKUP(C449,'Task 2b Sample List'!I:K,3,FALSE)</f>
        <v>HSM+BM1(1:1)-S50-P500-Day20-C</v>
      </c>
      <c r="G449" s="166" t="str">
        <f t="shared" si="24"/>
        <v>HSM+BM1(1:1)-S50-P500-Day20</v>
      </c>
      <c r="H449" s="2" t="str">
        <f>VLOOKUP(C449,'Task 2b Sample List'!I:L,4,FALSE)</f>
        <v>A</v>
      </c>
      <c r="I449" s="2" t="s">
        <v>189</v>
      </c>
      <c r="J449" s="2">
        <v>50</v>
      </c>
      <c r="K449" s="2">
        <v>500</v>
      </c>
      <c r="L449" s="2">
        <v>20</v>
      </c>
      <c r="M449" s="7" t="s">
        <v>25</v>
      </c>
      <c r="N449" s="4" t="s">
        <v>666</v>
      </c>
      <c r="O449" s="5" t="s">
        <v>39</v>
      </c>
      <c r="P449" s="2" t="s">
        <v>666</v>
      </c>
    </row>
    <row r="450" spans="1:16" x14ac:dyDescent="0.25">
      <c r="A450" s="99" t="s">
        <v>82</v>
      </c>
      <c r="B450" s="1" t="s">
        <v>662</v>
      </c>
      <c r="C450" s="1" t="s">
        <v>662</v>
      </c>
      <c r="D450" s="2" t="s">
        <v>663</v>
      </c>
      <c r="E450" s="94" t="str">
        <f t="shared" si="25"/>
        <v>HSM+BM1(1:1)-S50-P500-Day20-C:PFOS</v>
      </c>
      <c r="F450" s="2" t="str">
        <f>VLOOKUP(C450,'Task 2b Sample List'!I:K,3,FALSE)</f>
        <v>HSM+BM1(1:1)-S50-P500-Day20-C</v>
      </c>
      <c r="G450" s="166" t="str">
        <f t="shared" si="24"/>
        <v>HSM+BM1(1:1)-S50-P500-Day20</v>
      </c>
      <c r="H450" s="2" t="str">
        <f>VLOOKUP(C450,'Task 2b Sample List'!I:L,4,FALSE)</f>
        <v>A</v>
      </c>
      <c r="I450" s="2" t="s">
        <v>189</v>
      </c>
      <c r="J450" s="2">
        <v>50</v>
      </c>
      <c r="K450" s="2">
        <v>500</v>
      </c>
      <c r="L450" s="2">
        <v>20</v>
      </c>
      <c r="M450" s="7" t="s">
        <v>26</v>
      </c>
      <c r="N450" s="2" t="s">
        <v>667</v>
      </c>
      <c r="O450" s="3" t="s">
        <v>39</v>
      </c>
      <c r="P450" s="2" t="s">
        <v>667</v>
      </c>
    </row>
    <row r="451" spans="1:16" ht="15.75" thickBot="1" x14ac:dyDescent="0.3">
      <c r="A451" s="99" t="s">
        <v>82</v>
      </c>
      <c r="B451" s="1" t="s">
        <v>662</v>
      </c>
      <c r="C451" s="1" t="s">
        <v>662</v>
      </c>
      <c r="D451" s="2" t="s">
        <v>663</v>
      </c>
      <c r="E451" s="94" t="str">
        <f t="shared" si="25"/>
        <v>HSM+BM1(1:1)-S50-P500-Day20-C:8:2FTS</v>
      </c>
      <c r="F451" s="2" t="str">
        <f>VLOOKUP(C451,'Task 2b Sample List'!I:K,3,FALSE)</f>
        <v>HSM+BM1(1:1)-S50-P500-Day20-C</v>
      </c>
      <c r="G451" s="166" t="str">
        <f t="shared" si="24"/>
        <v>HSM+BM1(1:1)-S50-P500-Day20</v>
      </c>
      <c r="H451" s="2" t="str">
        <f>VLOOKUP(C451,'Task 2b Sample List'!I:L,4,FALSE)</f>
        <v>A</v>
      </c>
      <c r="I451" s="2" t="s">
        <v>189</v>
      </c>
      <c r="J451" s="2">
        <v>50</v>
      </c>
      <c r="K451" s="2">
        <v>500</v>
      </c>
      <c r="L451" s="2">
        <v>20</v>
      </c>
      <c r="M451" s="8" t="s">
        <v>27</v>
      </c>
      <c r="N451" s="4" t="s">
        <v>668</v>
      </c>
      <c r="O451" s="5" t="s">
        <v>39</v>
      </c>
      <c r="P451" s="2" t="s">
        <v>668</v>
      </c>
    </row>
    <row r="452" spans="1:16" x14ac:dyDescent="0.25">
      <c r="A452" s="99" t="s">
        <v>82</v>
      </c>
      <c r="B452" s="1" t="s">
        <v>669</v>
      </c>
      <c r="C452" s="1" t="s">
        <v>669</v>
      </c>
      <c r="D452" s="2" t="s">
        <v>670</v>
      </c>
      <c r="E452" s="94" t="str">
        <f t="shared" si="25"/>
        <v>GAC-S50-P0-Day20-A:PFHxA</v>
      </c>
      <c r="F452" s="2" t="str">
        <f>VLOOKUP(C452,'Task 2b Sample List'!I:K,3,FALSE)</f>
        <v>GAC-S50-P0-Day20-A</v>
      </c>
      <c r="G452" s="166" t="str">
        <f>LEFT(F452,16)</f>
        <v>GAC-S50-P0-Day20</v>
      </c>
      <c r="H452" s="2" t="str">
        <f>VLOOKUP(C452,'Task 2b Sample List'!I:L,4,FALSE)</f>
        <v>B</v>
      </c>
      <c r="I452" t="s">
        <v>193</v>
      </c>
      <c r="J452" s="2">
        <v>50</v>
      </c>
      <c r="K452" s="2">
        <v>0</v>
      </c>
      <c r="L452" s="2">
        <v>20</v>
      </c>
      <c r="M452" s="6" t="s">
        <v>22</v>
      </c>
      <c r="N452" s="2" t="s">
        <v>671</v>
      </c>
      <c r="O452" s="3" t="s">
        <v>7</v>
      </c>
      <c r="P452" s="2">
        <v>0</v>
      </c>
    </row>
    <row r="453" spans="1:16" x14ac:dyDescent="0.25">
      <c r="A453" s="99" t="s">
        <v>82</v>
      </c>
      <c r="B453" s="1" t="s">
        <v>669</v>
      </c>
      <c r="C453" s="1" t="s">
        <v>669</v>
      </c>
      <c r="D453" s="2" t="s">
        <v>670</v>
      </c>
      <c r="E453" s="94" t="str">
        <f t="shared" si="25"/>
        <v>GAC-S50-P0-Day20-A:PFOA</v>
      </c>
      <c r="F453" s="2" t="str">
        <f>VLOOKUP(C453,'Task 2b Sample List'!I:K,3,FALSE)</f>
        <v>GAC-S50-P0-Day20-A</v>
      </c>
      <c r="G453" s="166" t="str">
        <f t="shared" ref="G453:G469" si="26">LEFT(F453,16)</f>
        <v>GAC-S50-P0-Day20</v>
      </c>
      <c r="H453" s="2" t="str">
        <f>VLOOKUP(C453,'Task 2b Sample List'!I:L,4,FALSE)</f>
        <v>B</v>
      </c>
      <c r="I453" t="s">
        <v>193</v>
      </c>
      <c r="J453" s="2">
        <v>50</v>
      </c>
      <c r="K453" s="2">
        <v>0</v>
      </c>
      <c r="L453" s="2">
        <v>20</v>
      </c>
      <c r="M453" s="7" t="s">
        <v>23</v>
      </c>
      <c r="N453" s="4" t="s">
        <v>8</v>
      </c>
      <c r="O453" s="5" t="s">
        <v>9</v>
      </c>
      <c r="P453" s="2">
        <v>0</v>
      </c>
    </row>
    <row r="454" spans="1:16" x14ac:dyDescent="0.25">
      <c r="A454" s="99" t="s">
        <v>82</v>
      </c>
      <c r="B454" s="1" t="s">
        <v>669</v>
      </c>
      <c r="C454" s="1" t="s">
        <v>669</v>
      </c>
      <c r="D454" s="2" t="s">
        <v>670</v>
      </c>
      <c r="E454" s="94" t="str">
        <f t="shared" si="25"/>
        <v>GAC-S50-P0-Day20-A:PFNA</v>
      </c>
      <c r="F454" s="2" t="str">
        <f>VLOOKUP(C454,'Task 2b Sample List'!I:K,3,FALSE)</f>
        <v>GAC-S50-P0-Day20-A</v>
      </c>
      <c r="G454" s="166" t="str">
        <f t="shared" si="26"/>
        <v>GAC-S50-P0-Day20</v>
      </c>
      <c r="H454" s="2" t="str">
        <f>VLOOKUP(C454,'Task 2b Sample List'!I:L,4,FALSE)</f>
        <v>B</v>
      </c>
      <c r="I454" t="s">
        <v>193</v>
      </c>
      <c r="J454" s="2">
        <v>50</v>
      </c>
      <c r="K454" s="2">
        <v>0</v>
      </c>
      <c r="L454" s="2">
        <v>20</v>
      </c>
      <c r="M454" s="7" t="s">
        <v>24</v>
      </c>
      <c r="N454" s="2" t="s">
        <v>672</v>
      </c>
      <c r="O454" s="3" t="s">
        <v>7</v>
      </c>
      <c r="P454" s="2">
        <v>0</v>
      </c>
    </row>
    <row r="455" spans="1:16" x14ac:dyDescent="0.25">
      <c r="A455" s="99" t="s">
        <v>82</v>
      </c>
      <c r="B455" s="1" t="s">
        <v>669</v>
      </c>
      <c r="C455" s="1" t="s">
        <v>669</v>
      </c>
      <c r="D455" s="2" t="s">
        <v>670</v>
      </c>
      <c r="E455" s="94" t="str">
        <f t="shared" si="25"/>
        <v>GAC-S50-P0-Day20-A:PFBS</v>
      </c>
      <c r="F455" s="2" t="str">
        <f>VLOOKUP(C455,'Task 2b Sample List'!I:K,3,FALSE)</f>
        <v>GAC-S50-P0-Day20-A</v>
      </c>
      <c r="G455" s="166" t="str">
        <f t="shared" si="26"/>
        <v>GAC-S50-P0-Day20</v>
      </c>
      <c r="H455" s="2" t="str">
        <f>VLOOKUP(C455,'Task 2b Sample List'!I:L,4,FALSE)</f>
        <v>B</v>
      </c>
      <c r="I455" t="s">
        <v>193</v>
      </c>
      <c r="J455" s="2">
        <v>50</v>
      </c>
      <c r="K455" s="2">
        <v>0</v>
      </c>
      <c r="L455" s="2">
        <v>20</v>
      </c>
      <c r="M455" s="7" t="s">
        <v>25</v>
      </c>
      <c r="N455" s="4" t="s">
        <v>11</v>
      </c>
      <c r="O455" s="5" t="s">
        <v>9</v>
      </c>
      <c r="P455" s="2">
        <v>0</v>
      </c>
    </row>
    <row r="456" spans="1:16" x14ac:dyDescent="0.25">
      <c r="A456" s="99" t="s">
        <v>82</v>
      </c>
      <c r="B456" s="1" t="s">
        <v>669</v>
      </c>
      <c r="C456" s="1" t="s">
        <v>669</v>
      </c>
      <c r="D456" s="2" t="s">
        <v>670</v>
      </c>
      <c r="E456" s="94" t="str">
        <f t="shared" si="25"/>
        <v>GAC-S50-P0-Day20-A:PFOS</v>
      </c>
      <c r="F456" s="2" t="str">
        <f>VLOOKUP(C456,'Task 2b Sample List'!I:K,3,FALSE)</f>
        <v>GAC-S50-P0-Day20-A</v>
      </c>
      <c r="G456" s="166" t="str">
        <f t="shared" si="26"/>
        <v>GAC-S50-P0-Day20</v>
      </c>
      <c r="H456" s="2" t="str">
        <f>VLOOKUP(C456,'Task 2b Sample List'!I:L,4,FALSE)</f>
        <v>B</v>
      </c>
      <c r="I456" t="s">
        <v>193</v>
      </c>
      <c r="J456" s="2">
        <v>50</v>
      </c>
      <c r="K456" s="2">
        <v>0</v>
      </c>
      <c r="L456" s="2">
        <v>20</v>
      </c>
      <c r="M456" s="7" t="s">
        <v>26</v>
      </c>
      <c r="N456" s="2" t="s">
        <v>12</v>
      </c>
      <c r="O456" s="3" t="s">
        <v>9</v>
      </c>
      <c r="P456" s="2">
        <v>0</v>
      </c>
    </row>
    <row r="457" spans="1:16" ht="15.75" thickBot="1" x14ac:dyDescent="0.3">
      <c r="A457" s="99" t="s">
        <v>82</v>
      </c>
      <c r="B457" s="1" t="s">
        <v>669</v>
      </c>
      <c r="C457" s="1" t="s">
        <v>669</v>
      </c>
      <c r="D457" s="2" t="s">
        <v>670</v>
      </c>
      <c r="E457" s="94" t="str">
        <f t="shared" si="25"/>
        <v>GAC-S50-P0-Day20-A:8:2FTS</v>
      </c>
      <c r="F457" s="2" t="str">
        <f>VLOOKUP(C457,'Task 2b Sample List'!I:K,3,FALSE)</f>
        <v>GAC-S50-P0-Day20-A</v>
      </c>
      <c r="G457" s="166" t="str">
        <f t="shared" si="26"/>
        <v>GAC-S50-P0-Day20</v>
      </c>
      <c r="H457" s="2" t="str">
        <f>VLOOKUP(C457,'Task 2b Sample List'!I:L,4,FALSE)</f>
        <v>B</v>
      </c>
      <c r="I457" t="s">
        <v>193</v>
      </c>
      <c r="J457" s="2">
        <v>50</v>
      </c>
      <c r="K457" s="2">
        <v>0</v>
      </c>
      <c r="L457" s="2">
        <v>20</v>
      </c>
      <c r="M457" s="8" t="s">
        <v>27</v>
      </c>
      <c r="N457" s="4" t="s">
        <v>673</v>
      </c>
      <c r="O457" s="5" t="s">
        <v>9</v>
      </c>
      <c r="P457" s="2">
        <v>0</v>
      </c>
    </row>
    <row r="458" spans="1:16" x14ac:dyDescent="0.25">
      <c r="A458" s="99" t="s">
        <v>82</v>
      </c>
      <c r="B458" s="1" t="s">
        <v>674</v>
      </c>
      <c r="C458" s="1" t="s">
        <v>674</v>
      </c>
      <c r="D458" s="2" t="s">
        <v>675</v>
      </c>
      <c r="E458" s="94" t="str">
        <f t="shared" si="25"/>
        <v>GAC-S50-P0-Day20-B:PFHxA</v>
      </c>
      <c r="F458" s="2" t="str">
        <f>VLOOKUP(C458,'Task 2b Sample List'!I:K,3,FALSE)</f>
        <v>GAC-S50-P0-Day20-B</v>
      </c>
      <c r="G458" s="166" t="str">
        <f t="shared" si="26"/>
        <v>GAC-S50-P0-Day20</v>
      </c>
      <c r="H458" s="2" t="str">
        <f>VLOOKUP(C458,'Task 2b Sample List'!I:L,4,FALSE)</f>
        <v>B</v>
      </c>
      <c r="I458" t="s">
        <v>193</v>
      </c>
      <c r="J458" s="2">
        <v>50</v>
      </c>
      <c r="K458" s="2">
        <v>0</v>
      </c>
      <c r="L458" s="2">
        <v>20</v>
      </c>
      <c r="M458" s="6" t="s">
        <v>22</v>
      </c>
      <c r="N458" s="2" t="s">
        <v>676</v>
      </c>
      <c r="O458" s="3" t="s">
        <v>7</v>
      </c>
      <c r="P458" s="2">
        <v>0</v>
      </c>
    </row>
    <row r="459" spans="1:16" x14ac:dyDescent="0.25">
      <c r="A459" s="99" t="s">
        <v>82</v>
      </c>
      <c r="B459" s="1" t="s">
        <v>674</v>
      </c>
      <c r="C459" s="1" t="s">
        <v>674</v>
      </c>
      <c r="D459" s="2" t="s">
        <v>675</v>
      </c>
      <c r="E459" s="94" t="str">
        <f t="shared" si="25"/>
        <v>GAC-S50-P0-Day20-B:PFOA</v>
      </c>
      <c r="F459" s="2" t="str">
        <f>VLOOKUP(C459,'Task 2b Sample List'!I:K,3,FALSE)</f>
        <v>GAC-S50-P0-Day20-B</v>
      </c>
      <c r="G459" s="166" t="str">
        <f t="shared" si="26"/>
        <v>GAC-S50-P0-Day20</v>
      </c>
      <c r="H459" s="2" t="str">
        <f>VLOOKUP(C459,'Task 2b Sample List'!I:L,4,FALSE)</f>
        <v>B</v>
      </c>
      <c r="I459" t="s">
        <v>193</v>
      </c>
      <c r="J459" s="2">
        <v>50</v>
      </c>
      <c r="K459" s="2">
        <v>0</v>
      </c>
      <c r="L459" s="2">
        <v>20</v>
      </c>
      <c r="M459" s="7" t="s">
        <v>23</v>
      </c>
      <c r="N459" s="4" t="s">
        <v>677</v>
      </c>
      <c r="O459" s="5" t="s">
        <v>7</v>
      </c>
      <c r="P459" s="2">
        <v>0</v>
      </c>
    </row>
    <row r="460" spans="1:16" x14ac:dyDescent="0.25">
      <c r="A460" s="99" t="s">
        <v>82</v>
      </c>
      <c r="B460" s="1" t="s">
        <v>674</v>
      </c>
      <c r="C460" s="1" t="s">
        <v>674</v>
      </c>
      <c r="D460" s="2" t="s">
        <v>675</v>
      </c>
      <c r="E460" s="94" t="str">
        <f t="shared" si="25"/>
        <v>GAC-S50-P0-Day20-B:PFNA</v>
      </c>
      <c r="F460" s="2" t="str">
        <f>VLOOKUP(C460,'Task 2b Sample List'!I:K,3,FALSE)</f>
        <v>GAC-S50-P0-Day20-B</v>
      </c>
      <c r="G460" s="166" t="str">
        <f t="shared" si="26"/>
        <v>GAC-S50-P0-Day20</v>
      </c>
      <c r="H460" s="2" t="str">
        <f>VLOOKUP(C460,'Task 2b Sample List'!I:L,4,FALSE)</f>
        <v>B</v>
      </c>
      <c r="I460" t="s">
        <v>193</v>
      </c>
      <c r="J460" s="2">
        <v>50</v>
      </c>
      <c r="K460" s="2">
        <v>0</v>
      </c>
      <c r="L460" s="2">
        <v>20</v>
      </c>
      <c r="M460" s="7" t="s">
        <v>24</v>
      </c>
      <c r="N460" s="2" t="s">
        <v>678</v>
      </c>
      <c r="O460" s="3" t="s">
        <v>7</v>
      </c>
      <c r="P460" s="2">
        <v>0</v>
      </c>
    </row>
    <row r="461" spans="1:16" x14ac:dyDescent="0.25">
      <c r="A461" s="99" t="s">
        <v>82</v>
      </c>
      <c r="B461" s="1" t="s">
        <v>674</v>
      </c>
      <c r="C461" s="1" t="s">
        <v>674</v>
      </c>
      <c r="D461" s="2" t="s">
        <v>675</v>
      </c>
      <c r="E461" s="94" t="str">
        <f t="shared" si="25"/>
        <v>GAC-S50-P0-Day20-B:PFBS</v>
      </c>
      <c r="F461" s="2" t="str">
        <f>VLOOKUP(C461,'Task 2b Sample List'!I:K,3,FALSE)</f>
        <v>GAC-S50-P0-Day20-B</v>
      </c>
      <c r="G461" s="166" t="str">
        <f t="shared" si="26"/>
        <v>GAC-S50-P0-Day20</v>
      </c>
      <c r="H461" s="2" t="str">
        <f>VLOOKUP(C461,'Task 2b Sample List'!I:L,4,FALSE)</f>
        <v>B</v>
      </c>
      <c r="I461" t="s">
        <v>193</v>
      </c>
      <c r="J461" s="2">
        <v>50</v>
      </c>
      <c r="K461" s="2">
        <v>0</v>
      </c>
      <c r="L461" s="2">
        <v>20</v>
      </c>
      <c r="M461" s="7" t="s">
        <v>25</v>
      </c>
      <c r="N461" s="4" t="s">
        <v>679</v>
      </c>
      <c r="O461" s="5" t="s">
        <v>7</v>
      </c>
      <c r="P461" s="2">
        <v>0</v>
      </c>
    </row>
    <row r="462" spans="1:16" x14ac:dyDescent="0.25">
      <c r="A462" s="99" t="s">
        <v>82</v>
      </c>
      <c r="B462" s="1" t="s">
        <v>674</v>
      </c>
      <c r="C462" s="1" t="s">
        <v>674</v>
      </c>
      <c r="D462" s="2" t="s">
        <v>675</v>
      </c>
      <c r="E462" s="94" t="str">
        <f t="shared" si="25"/>
        <v>GAC-S50-P0-Day20-B:PFOS</v>
      </c>
      <c r="F462" s="2" t="str">
        <f>VLOOKUP(C462,'Task 2b Sample List'!I:K,3,FALSE)</f>
        <v>GAC-S50-P0-Day20-B</v>
      </c>
      <c r="G462" s="166" t="str">
        <f t="shared" si="26"/>
        <v>GAC-S50-P0-Day20</v>
      </c>
      <c r="H462" s="2" t="str">
        <f>VLOOKUP(C462,'Task 2b Sample List'!I:L,4,FALSE)</f>
        <v>B</v>
      </c>
      <c r="I462" t="s">
        <v>193</v>
      </c>
      <c r="J462" s="2">
        <v>50</v>
      </c>
      <c r="K462" s="2">
        <v>0</v>
      </c>
      <c r="L462" s="2">
        <v>20</v>
      </c>
      <c r="M462" s="7" t="s">
        <v>26</v>
      </c>
      <c r="N462" s="2" t="s">
        <v>680</v>
      </c>
      <c r="O462" s="3" t="s">
        <v>7</v>
      </c>
      <c r="P462" s="2">
        <v>0</v>
      </c>
    </row>
    <row r="463" spans="1:16" ht="15.75" thickBot="1" x14ac:dyDescent="0.3">
      <c r="A463" s="99" t="s">
        <v>82</v>
      </c>
      <c r="B463" s="1" t="s">
        <v>674</v>
      </c>
      <c r="C463" s="1" t="s">
        <v>674</v>
      </c>
      <c r="D463" s="2" t="s">
        <v>675</v>
      </c>
      <c r="E463" s="94" t="str">
        <f t="shared" si="25"/>
        <v>GAC-S50-P0-Day20-B:8:2FTS</v>
      </c>
      <c r="F463" s="2" t="str">
        <f>VLOOKUP(C463,'Task 2b Sample List'!I:K,3,FALSE)</f>
        <v>GAC-S50-P0-Day20-B</v>
      </c>
      <c r="G463" s="166" t="str">
        <f t="shared" si="26"/>
        <v>GAC-S50-P0-Day20</v>
      </c>
      <c r="H463" s="2" t="str">
        <f>VLOOKUP(C463,'Task 2b Sample List'!I:L,4,FALSE)</f>
        <v>B</v>
      </c>
      <c r="I463" t="s">
        <v>193</v>
      </c>
      <c r="J463" s="2">
        <v>50</v>
      </c>
      <c r="K463" s="2">
        <v>0</v>
      </c>
      <c r="L463" s="2">
        <v>20</v>
      </c>
      <c r="M463" s="8" t="s">
        <v>27</v>
      </c>
      <c r="N463" s="4" t="s">
        <v>681</v>
      </c>
      <c r="O463" s="5" t="s">
        <v>9</v>
      </c>
      <c r="P463" s="2">
        <v>0</v>
      </c>
    </row>
    <row r="464" spans="1:16" x14ac:dyDescent="0.25">
      <c r="A464" s="99" t="s">
        <v>82</v>
      </c>
      <c r="B464" s="1" t="s">
        <v>682</v>
      </c>
      <c r="C464" s="1" t="s">
        <v>682</v>
      </c>
      <c r="D464" s="2" t="s">
        <v>683</v>
      </c>
      <c r="E464" s="94" t="str">
        <f t="shared" si="25"/>
        <v>GAC-S50-P0-Day20-C:PFHxA</v>
      </c>
      <c r="F464" s="2" t="str">
        <f>VLOOKUP(C464,'Task 2b Sample List'!I:K,3,FALSE)</f>
        <v>GAC-S50-P0-Day20-C</v>
      </c>
      <c r="G464" s="166" t="str">
        <f t="shared" si="26"/>
        <v>GAC-S50-P0-Day20</v>
      </c>
      <c r="H464" s="2" t="str">
        <f>VLOOKUP(C464,'Task 2b Sample List'!I:L,4,FALSE)</f>
        <v>B</v>
      </c>
      <c r="I464" t="s">
        <v>193</v>
      </c>
      <c r="J464" s="2">
        <v>50</v>
      </c>
      <c r="K464" s="2">
        <v>0</v>
      </c>
      <c r="L464" s="2">
        <v>20</v>
      </c>
      <c r="M464" s="6" t="s">
        <v>22</v>
      </c>
      <c r="N464" s="2" t="s">
        <v>681</v>
      </c>
      <c r="O464" s="3" t="s">
        <v>7</v>
      </c>
      <c r="P464" s="2">
        <v>0</v>
      </c>
    </row>
    <row r="465" spans="1:16" x14ac:dyDescent="0.25">
      <c r="A465" s="99" t="s">
        <v>82</v>
      </c>
      <c r="B465" s="1" t="s">
        <v>682</v>
      </c>
      <c r="C465" s="1" t="s">
        <v>682</v>
      </c>
      <c r="D465" s="2" t="s">
        <v>683</v>
      </c>
      <c r="E465" s="94" t="str">
        <f t="shared" si="25"/>
        <v>GAC-S50-P0-Day20-C:PFOA</v>
      </c>
      <c r="F465" s="2" t="str">
        <f>VLOOKUP(C465,'Task 2b Sample List'!I:K,3,FALSE)</f>
        <v>GAC-S50-P0-Day20-C</v>
      </c>
      <c r="G465" s="166" t="str">
        <f t="shared" si="26"/>
        <v>GAC-S50-P0-Day20</v>
      </c>
      <c r="H465" s="2" t="str">
        <f>VLOOKUP(C465,'Task 2b Sample List'!I:L,4,FALSE)</f>
        <v>B</v>
      </c>
      <c r="I465" t="s">
        <v>193</v>
      </c>
      <c r="J465" s="2">
        <v>50</v>
      </c>
      <c r="K465" s="2">
        <v>0</v>
      </c>
      <c r="L465" s="2">
        <v>20</v>
      </c>
      <c r="M465" s="7" t="s">
        <v>23</v>
      </c>
      <c r="N465" s="4" t="s">
        <v>684</v>
      </c>
      <c r="O465" s="5" t="s">
        <v>14</v>
      </c>
      <c r="P465" s="2" t="s">
        <v>684</v>
      </c>
    </row>
    <row r="466" spans="1:16" x14ac:dyDescent="0.25">
      <c r="A466" s="99" t="s">
        <v>82</v>
      </c>
      <c r="B466" s="1" t="s">
        <v>682</v>
      </c>
      <c r="C466" s="1" t="s">
        <v>682</v>
      </c>
      <c r="D466" s="2" t="s">
        <v>683</v>
      </c>
      <c r="E466" s="94" t="str">
        <f t="shared" si="25"/>
        <v>GAC-S50-P0-Day20-C:PFNA</v>
      </c>
      <c r="F466" s="2" t="str">
        <f>VLOOKUP(C466,'Task 2b Sample List'!I:K,3,FALSE)</f>
        <v>GAC-S50-P0-Day20-C</v>
      </c>
      <c r="G466" s="166" t="str">
        <f t="shared" si="26"/>
        <v>GAC-S50-P0-Day20</v>
      </c>
      <c r="H466" s="2" t="str">
        <f>VLOOKUP(C466,'Task 2b Sample List'!I:L,4,FALSE)</f>
        <v>B</v>
      </c>
      <c r="I466" t="s">
        <v>193</v>
      </c>
      <c r="J466" s="2">
        <v>50</v>
      </c>
      <c r="K466" s="2">
        <v>0</v>
      </c>
      <c r="L466" s="2">
        <v>20</v>
      </c>
      <c r="M466" s="7" t="s">
        <v>24</v>
      </c>
      <c r="N466" s="2" t="s">
        <v>685</v>
      </c>
      <c r="O466" s="3" t="s">
        <v>14</v>
      </c>
      <c r="P466" s="2" t="s">
        <v>685</v>
      </c>
    </row>
    <row r="467" spans="1:16" x14ac:dyDescent="0.25">
      <c r="A467" s="99" t="s">
        <v>82</v>
      </c>
      <c r="B467" s="1" t="s">
        <v>682</v>
      </c>
      <c r="C467" s="1" t="s">
        <v>682</v>
      </c>
      <c r="D467" s="2" t="s">
        <v>683</v>
      </c>
      <c r="E467" s="94" t="str">
        <f t="shared" si="25"/>
        <v>GAC-S50-P0-Day20-C:PFBS</v>
      </c>
      <c r="F467" s="2" t="str">
        <f>VLOOKUP(C467,'Task 2b Sample List'!I:K,3,FALSE)</f>
        <v>GAC-S50-P0-Day20-C</v>
      </c>
      <c r="G467" s="166" t="str">
        <f t="shared" si="26"/>
        <v>GAC-S50-P0-Day20</v>
      </c>
      <c r="H467" s="2" t="str">
        <f>VLOOKUP(C467,'Task 2b Sample List'!I:L,4,FALSE)</f>
        <v>B</v>
      </c>
      <c r="I467" t="s">
        <v>193</v>
      </c>
      <c r="J467" s="2">
        <v>50</v>
      </c>
      <c r="K467" s="2">
        <v>0</v>
      </c>
      <c r="L467" s="2">
        <v>20</v>
      </c>
      <c r="M467" s="7" t="s">
        <v>25</v>
      </c>
      <c r="N467" s="4" t="s">
        <v>686</v>
      </c>
      <c r="O467" s="5" t="s">
        <v>14</v>
      </c>
      <c r="P467" s="2" t="s">
        <v>686</v>
      </c>
    </row>
    <row r="468" spans="1:16" x14ac:dyDescent="0.25">
      <c r="A468" s="99" t="s">
        <v>82</v>
      </c>
      <c r="B468" s="1" t="s">
        <v>682</v>
      </c>
      <c r="C468" s="1" t="s">
        <v>682</v>
      </c>
      <c r="D468" s="2" t="s">
        <v>683</v>
      </c>
      <c r="E468" s="94" t="str">
        <f t="shared" si="25"/>
        <v>GAC-S50-P0-Day20-C:PFOS</v>
      </c>
      <c r="F468" s="2" t="str">
        <f>VLOOKUP(C468,'Task 2b Sample List'!I:K,3,FALSE)</f>
        <v>GAC-S50-P0-Day20-C</v>
      </c>
      <c r="G468" s="166" t="str">
        <f t="shared" si="26"/>
        <v>GAC-S50-P0-Day20</v>
      </c>
      <c r="H468" s="2" t="str">
        <f>VLOOKUP(C468,'Task 2b Sample List'!I:L,4,FALSE)</f>
        <v>B</v>
      </c>
      <c r="I468" t="s">
        <v>193</v>
      </c>
      <c r="J468" s="2">
        <v>50</v>
      </c>
      <c r="K468" s="2">
        <v>0</v>
      </c>
      <c r="L468" s="2">
        <v>20</v>
      </c>
      <c r="M468" s="7" t="s">
        <v>26</v>
      </c>
      <c r="N468" s="2" t="s">
        <v>687</v>
      </c>
      <c r="O468" s="3" t="s">
        <v>7</v>
      </c>
      <c r="P468" s="2">
        <v>0</v>
      </c>
    </row>
    <row r="469" spans="1:16" ht="15.75" thickBot="1" x14ac:dyDescent="0.3">
      <c r="A469" s="99" t="s">
        <v>82</v>
      </c>
      <c r="B469" s="1" t="s">
        <v>682</v>
      </c>
      <c r="C469" s="1" t="s">
        <v>682</v>
      </c>
      <c r="D469" s="2" t="s">
        <v>683</v>
      </c>
      <c r="E469" s="94" t="str">
        <f t="shared" si="25"/>
        <v>GAC-S50-P0-Day20-C:8:2FTS</v>
      </c>
      <c r="F469" s="2" t="str">
        <f>VLOOKUP(C469,'Task 2b Sample List'!I:K,3,FALSE)</f>
        <v>GAC-S50-P0-Day20-C</v>
      </c>
      <c r="G469" s="166" t="str">
        <f t="shared" si="26"/>
        <v>GAC-S50-P0-Day20</v>
      </c>
      <c r="H469" s="2" t="str">
        <f>VLOOKUP(C469,'Task 2b Sample List'!I:L,4,FALSE)</f>
        <v>B</v>
      </c>
      <c r="I469" t="s">
        <v>193</v>
      </c>
      <c r="J469" s="2">
        <v>50</v>
      </c>
      <c r="K469" s="2">
        <v>0</v>
      </c>
      <c r="L469" s="2">
        <v>20</v>
      </c>
      <c r="M469" s="8" t="s">
        <v>27</v>
      </c>
      <c r="N469" s="4" t="s">
        <v>688</v>
      </c>
      <c r="O469" s="5" t="s">
        <v>7</v>
      </c>
      <c r="P469" s="2">
        <v>0</v>
      </c>
    </row>
    <row r="470" spans="1:16" x14ac:dyDescent="0.25">
      <c r="A470" s="99" t="s">
        <v>82</v>
      </c>
      <c r="B470" s="1" t="s">
        <v>689</v>
      </c>
      <c r="C470" s="1" t="s">
        <v>689</v>
      </c>
      <c r="D470" s="2" t="s">
        <v>690</v>
      </c>
      <c r="E470" s="94" t="str">
        <f t="shared" si="25"/>
        <v>GAC-S50-P10-Day20-A:PFHxA</v>
      </c>
      <c r="F470" s="2" t="str">
        <f>VLOOKUP(C470,'Task 2b Sample List'!I:K,3,FALSE)</f>
        <v>GAC-S50-P10-Day20-A</v>
      </c>
      <c r="G470" s="166" t="str">
        <f>LEFT(F470,17)</f>
        <v>GAC-S50-P10-Day20</v>
      </c>
      <c r="H470" s="2" t="str">
        <f>VLOOKUP(C470,'Task 2b Sample List'!I:L,4,FALSE)</f>
        <v>A</v>
      </c>
      <c r="I470" t="s">
        <v>193</v>
      </c>
      <c r="J470" s="2">
        <v>50</v>
      </c>
      <c r="K470" s="2">
        <v>10</v>
      </c>
      <c r="L470" s="2">
        <v>20</v>
      </c>
      <c r="M470" s="6" t="s">
        <v>22</v>
      </c>
      <c r="N470" s="2" t="s">
        <v>691</v>
      </c>
      <c r="O470" s="3" t="s">
        <v>39</v>
      </c>
      <c r="P470" s="2" t="s">
        <v>691</v>
      </c>
    </row>
    <row r="471" spans="1:16" x14ac:dyDescent="0.25">
      <c r="A471" s="99" t="s">
        <v>82</v>
      </c>
      <c r="B471" s="1" t="s">
        <v>689</v>
      </c>
      <c r="C471" s="1" t="s">
        <v>689</v>
      </c>
      <c r="D471" s="2" t="s">
        <v>690</v>
      </c>
      <c r="E471" s="94" t="str">
        <f t="shared" si="25"/>
        <v>GAC-S50-P10-Day20-A:PFOA</v>
      </c>
      <c r="F471" s="2" t="str">
        <f>VLOOKUP(C471,'Task 2b Sample List'!I:K,3,FALSE)</f>
        <v>GAC-S50-P10-Day20-A</v>
      </c>
      <c r="G471" s="166" t="str">
        <f t="shared" ref="G471:G505" si="27">LEFT(F471,17)</f>
        <v>GAC-S50-P10-Day20</v>
      </c>
      <c r="H471" s="2" t="str">
        <f>VLOOKUP(C471,'Task 2b Sample List'!I:L,4,FALSE)</f>
        <v>A</v>
      </c>
      <c r="I471" t="s">
        <v>193</v>
      </c>
      <c r="J471" s="2">
        <v>50</v>
      </c>
      <c r="K471" s="2">
        <v>10</v>
      </c>
      <c r="L471" s="2">
        <v>20</v>
      </c>
      <c r="M471" s="7" t="s">
        <v>23</v>
      </c>
      <c r="N471" s="4" t="s">
        <v>692</v>
      </c>
      <c r="O471" s="5" t="s">
        <v>39</v>
      </c>
      <c r="P471" s="2" t="s">
        <v>692</v>
      </c>
    </row>
    <row r="472" spans="1:16" x14ac:dyDescent="0.25">
      <c r="A472" s="99" t="s">
        <v>82</v>
      </c>
      <c r="B472" s="1" t="s">
        <v>689</v>
      </c>
      <c r="C472" s="1" t="s">
        <v>689</v>
      </c>
      <c r="D472" s="2" t="s">
        <v>690</v>
      </c>
      <c r="E472" s="94" t="str">
        <f t="shared" si="25"/>
        <v>GAC-S50-P10-Day20-A:PFNA</v>
      </c>
      <c r="F472" s="2" t="str">
        <f>VLOOKUP(C472,'Task 2b Sample List'!I:K,3,FALSE)</f>
        <v>GAC-S50-P10-Day20-A</v>
      </c>
      <c r="G472" s="166" t="str">
        <f t="shared" si="27"/>
        <v>GAC-S50-P10-Day20</v>
      </c>
      <c r="H472" s="2" t="str">
        <f>VLOOKUP(C472,'Task 2b Sample List'!I:L,4,FALSE)</f>
        <v>A</v>
      </c>
      <c r="I472" t="s">
        <v>193</v>
      </c>
      <c r="J472" s="2">
        <v>50</v>
      </c>
      <c r="K472" s="2">
        <v>10</v>
      </c>
      <c r="L472" s="2">
        <v>20</v>
      </c>
      <c r="M472" s="7" t="s">
        <v>24</v>
      </c>
      <c r="N472" s="2" t="s">
        <v>693</v>
      </c>
      <c r="O472" s="3" t="s">
        <v>39</v>
      </c>
      <c r="P472" s="2" t="s">
        <v>693</v>
      </c>
    </row>
    <row r="473" spans="1:16" x14ac:dyDescent="0.25">
      <c r="A473" s="99" t="s">
        <v>82</v>
      </c>
      <c r="B473" s="1" t="s">
        <v>689</v>
      </c>
      <c r="C473" s="1" t="s">
        <v>689</v>
      </c>
      <c r="D473" s="2" t="s">
        <v>690</v>
      </c>
      <c r="E473" s="94" t="str">
        <f t="shared" si="25"/>
        <v>GAC-S50-P10-Day20-A:PFBS</v>
      </c>
      <c r="F473" s="2" t="str">
        <f>VLOOKUP(C473,'Task 2b Sample List'!I:K,3,FALSE)</f>
        <v>GAC-S50-P10-Day20-A</v>
      </c>
      <c r="G473" s="166" t="str">
        <f t="shared" si="27"/>
        <v>GAC-S50-P10-Day20</v>
      </c>
      <c r="H473" s="2" t="str">
        <f>VLOOKUP(C473,'Task 2b Sample List'!I:L,4,FALSE)</f>
        <v>A</v>
      </c>
      <c r="I473" t="s">
        <v>193</v>
      </c>
      <c r="J473" s="2">
        <v>50</v>
      </c>
      <c r="K473" s="2">
        <v>10</v>
      </c>
      <c r="L473" s="2">
        <v>20</v>
      </c>
      <c r="M473" s="7" t="s">
        <v>25</v>
      </c>
      <c r="N473" s="4" t="s">
        <v>694</v>
      </c>
      <c r="O473" s="5" t="s">
        <v>39</v>
      </c>
      <c r="P473" s="2" t="s">
        <v>694</v>
      </c>
    </row>
    <row r="474" spans="1:16" x14ac:dyDescent="0.25">
      <c r="A474" s="99" t="s">
        <v>82</v>
      </c>
      <c r="B474" s="1" t="s">
        <v>689</v>
      </c>
      <c r="C474" s="1" t="s">
        <v>689</v>
      </c>
      <c r="D474" s="2" t="s">
        <v>690</v>
      </c>
      <c r="E474" s="94" t="str">
        <f t="shared" si="25"/>
        <v>GAC-S50-P10-Day20-A:PFOS</v>
      </c>
      <c r="F474" s="2" t="str">
        <f>VLOOKUP(C474,'Task 2b Sample List'!I:K,3,FALSE)</f>
        <v>GAC-S50-P10-Day20-A</v>
      </c>
      <c r="G474" s="166" t="str">
        <f t="shared" si="27"/>
        <v>GAC-S50-P10-Day20</v>
      </c>
      <c r="H474" s="2" t="str">
        <f>VLOOKUP(C474,'Task 2b Sample List'!I:L,4,FALSE)</f>
        <v>A</v>
      </c>
      <c r="I474" t="s">
        <v>193</v>
      </c>
      <c r="J474" s="2">
        <v>50</v>
      </c>
      <c r="K474" s="2">
        <v>10</v>
      </c>
      <c r="L474" s="2">
        <v>20</v>
      </c>
      <c r="M474" s="7" t="s">
        <v>26</v>
      </c>
      <c r="N474" s="2" t="s">
        <v>695</v>
      </c>
      <c r="O474" s="3" t="s">
        <v>39</v>
      </c>
      <c r="P474" s="2" t="s">
        <v>695</v>
      </c>
    </row>
    <row r="475" spans="1:16" ht="15.75" thickBot="1" x14ac:dyDescent="0.3">
      <c r="A475" s="99" t="s">
        <v>82</v>
      </c>
      <c r="B475" s="1" t="s">
        <v>689</v>
      </c>
      <c r="C475" s="1" t="s">
        <v>689</v>
      </c>
      <c r="D475" s="2" t="s">
        <v>690</v>
      </c>
      <c r="E475" s="94" t="str">
        <f t="shared" si="25"/>
        <v>GAC-S50-P10-Day20-A:8:2FTS</v>
      </c>
      <c r="F475" s="2" t="str">
        <f>VLOOKUP(C475,'Task 2b Sample List'!I:K,3,FALSE)</f>
        <v>GAC-S50-P10-Day20-A</v>
      </c>
      <c r="G475" s="166" t="str">
        <f t="shared" si="27"/>
        <v>GAC-S50-P10-Day20</v>
      </c>
      <c r="H475" s="2" t="str">
        <f>VLOOKUP(C475,'Task 2b Sample List'!I:L,4,FALSE)</f>
        <v>A</v>
      </c>
      <c r="I475" t="s">
        <v>193</v>
      </c>
      <c r="J475" s="2">
        <v>50</v>
      </c>
      <c r="K475" s="2">
        <v>10</v>
      </c>
      <c r="L475" s="2">
        <v>20</v>
      </c>
      <c r="M475" s="8" t="s">
        <v>27</v>
      </c>
      <c r="N475" s="4" t="s">
        <v>696</v>
      </c>
      <c r="O475" s="5" t="s">
        <v>39</v>
      </c>
      <c r="P475" s="2" t="s">
        <v>696</v>
      </c>
    </row>
    <row r="476" spans="1:16" x14ac:dyDescent="0.25">
      <c r="A476" s="99" t="s">
        <v>82</v>
      </c>
      <c r="B476" s="1" t="s">
        <v>697</v>
      </c>
      <c r="C476" s="1" t="s">
        <v>697</v>
      </c>
      <c r="D476" s="2" t="s">
        <v>698</v>
      </c>
      <c r="E476" s="94" t="str">
        <f t="shared" si="25"/>
        <v>GAC-S50-P10-Day20-B:PFHxA</v>
      </c>
      <c r="F476" s="2" t="str">
        <f>VLOOKUP(C476,'Task 2b Sample List'!I:K,3,FALSE)</f>
        <v>GAC-S50-P10-Day20-B</v>
      </c>
      <c r="G476" s="166" t="str">
        <f t="shared" si="27"/>
        <v>GAC-S50-P10-Day20</v>
      </c>
      <c r="H476" s="2" t="str">
        <f>VLOOKUP(C476,'Task 2b Sample List'!I:L,4,FALSE)</f>
        <v>A</v>
      </c>
      <c r="I476" t="s">
        <v>193</v>
      </c>
      <c r="J476" s="2">
        <v>50</v>
      </c>
      <c r="K476" s="2">
        <v>10</v>
      </c>
      <c r="L476" s="2">
        <v>20</v>
      </c>
      <c r="M476" s="6" t="s">
        <v>22</v>
      </c>
      <c r="N476" s="2" t="s">
        <v>699</v>
      </c>
      <c r="O476" s="3" t="s">
        <v>39</v>
      </c>
      <c r="P476" s="2" t="s">
        <v>699</v>
      </c>
    </row>
    <row r="477" spans="1:16" x14ac:dyDescent="0.25">
      <c r="A477" s="99" t="s">
        <v>82</v>
      </c>
      <c r="B477" s="1" t="s">
        <v>697</v>
      </c>
      <c r="C477" s="1" t="s">
        <v>697</v>
      </c>
      <c r="D477" s="2" t="s">
        <v>698</v>
      </c>
      <c r="E477" s="94" t="str">
        <f t="shared" si="25"/>
        <v>GAC-S50-P10-Day20-B:PFOA</v>
      </c>
      <c r="F477" s="2" t="str">
        <f>VLOOKUP(C477,'Task 2b Sample List'!I:K,3,FALSE)</f>
        <v>GAC-S50-P10-Day20-B</v>
      </c>
      <c r="G477" s="166" t="str">
        <f t="shared" si="27"/>
        <v>GAC-S50-P10-Day20</v>
      </c>
      <c r="H477" s="2" t="str">
        <f>VLOOKUP(C477,'Task 2b Sample List'!I:L,4,FALSE)</f>
        <v>A</v>
      </c>
      <c r="I477" t="s">
        <v>193</v>
      </c>
      <c r="J477" s="2">
        <v>50</v>
      </c>
      <c r="K477" s="2">
        <v>10</v>
      </c>
      <c r="L477" s="2">
        <v>20</v>
      </c>
      <c r="M477" s="7" t="s">
        <v>23</v>
      </c>
      <c r="N477" s="4" t="s">
        <v>700</v>
      </c>
      <c r="O477" s="5" t="s">
        <v>39</v>
      </c>
      <c r="P477" s="2" t="s">
        <v>700</v>
      </c>
    </row>
    <row r="478" spans="1:16" x14ac:dyDescent="0.25">
      <c r="A478" s="99" t="s">
        <v>82</v>
      </c>
      <c r="B478" s="1" t="s">
        <v>697</v>
      </c>
      <c r="C478" s="1" t="s">
        <v>697</v>
      </c>
      <c r="D478" s="2" t="s">
        <v>698</v>
      </c>
      <c r="E478" s="94" t="str">
        <f t="shared" si="25"/>
        <v>GAC-S50-P10-Day20-B:PFNA</v>
      </c>
      <c r="F478" s="2" t="str">
        <f>VLOOKUP(C478,'Task 2b Sample List'!I:K,3,FALSE)</f>
        <v>GAC-S50-P10-Day20-B</v>
      </c>
      <c r="G478" s="166" t="str">
        <f t="shared" si="27"/>
        <v>GAC-S50-P10-Day20</v>
      </c>
      <c r="H478" s="2" t="str">
        <f>VLOOKUP(C478,'Task 2b Sample List'!I:L,4,FALSE)</f>
        <v>A</v>
      </c>
      <c r="I478" t="s">
        <v>193</v>
      </c>
      <c r="J478" s="2">
        <v>50</v>
      </c>
      <c r="K478" s="2">
        <v>10</v>
      </c>
      <c r="L478" s="2">
        <v>20</v>
      </c>
      <c r="M478" s="7" t="s">
        <v>24</v>
      </c>
      <c r="N478" s="2" t="s">
        <v>694</v>
      </c>
      <c r="O478" s="3" t="s">
        <v>39</v>
      </c>
      <c r="P478" s="2" t="s">
        <v>694</v>
      </c>
    </row>
    <row r="479" spans="1:16" x14ac:dyDescent="0.25">
      <c r="A479" s="99" t="s">
        <v>82</v>
      </c>
      <c r="B479" s="1" t="s">
        <v>697</v>
      </c>
      <c r="C479" s="1" t="s">
        <v>697</v>
      </c>
      <c r="D479" s="2" t="s">
        <v>698</v>
      </c>
      <c r="E479" s="94" t="str">
        <f t="shared" si="25"/>
        <v>GAC-S50-P10-Day20-B:PFBS</v>
      </c>
      <c r="F479" s="2" t="str">
        <f>VLOOKUP(C479,'Task 2b Sample List'!I:K,3,FALSE)</f>
        <v>GAC-S50-P10-Day20-B</v>
      </c>
      <c r="G479" s="166" t="str">
        <f t="shared" si="27"/>
        <v>GAC-S50-P10-Day20</v>
      </c>
      <c r="H479" s="2" t="str">
        <f>VLOOKUP(C479,'Task 2b Sample List'!I:L,4,FALSE)</f>
        <v>A</v>
      </c>
      <c r="I479" t="s">
        <v>193</v>
      </c>
      <c r="J479" s="2">
        <v>50</v>
      </c>
      <c r="K479" s="2">
        <v>10</v>
      </c>
      <c r="L479" s="2">
        <v>20</v>
      </c>
      <c r="M479" s="7" t="s">
        <v>25</v>
      </c>
      <c r="N479" s="4" t="s">
        <v>701</v>
      </c>
      <c r="O479" s="5" t="s">
        <v>39</v>
      </c>
      <c r="P479" s="2" t="s">
        <v>701</v>
      </c>
    </row>
    <row r="480" spans="1:16" x14ac:dyDescent="0.25">
      <c r="A480" s="99" t="s">
        <v>82</v>
      </c>
      <c r="B480" s="1" t="s">
        <v>697</v>
      </c>
      <c r="C480" s="1" t="s">
        <v>697</v>
      </c>
      <c r="D480" s="2" t="s">
        <v>698</v>
      </c>
      <c r="E480" s="94" t="str">
        <f t="shared" si="25"/>
        <v>GAC-S50-P10-Day20-B:PFOS</v>
      </c>
      <c r="F480" s="2" t="str">
        <f>VLOOKUP(C480,'Task 2b Sample List'!I:K,3,FALSE)</f>
        <v>GAC-S50-P10-Day20-B</v>
      </c>
      <c r="G480" s="166" t="str">
        <f t="shared" si="27"/>
        <v>GAC-S50-P10-Day20</v>
      </c>
      <c r="H480" s="2" t="str">
        <f>VLOOKUP(C480,'Task 2b Sample List'!I:L,4,FALSE)</f>
        <v>A</v>
      </c>
      <c r="I480" t="s">
        <v>193</v>
      </c>
      <c r="J480" s="2">
        <v>50</v>
      </c>
      <c r="K480" s="2">
        <v>10</v>
      </c>
      <c r="L480" s="2">
        <v>20</v>
      </c>
      <c r="M480" s="7" t="s">
        <v>26</v>
      </c>
      <c r="N480" s="2" t="s">
        <v>702</v>
      </c>
      <c r="O480" s="3" t="s">
        <v>39</v>
      </c>
      <c r="P480" s="2" t="s">
        <v>702</v>
      </c>
    </row>
    <row r="481" spans="1:16" ht="15.75" thickBot="1" x14ac:dyDescent="0.3">
      <c r="A481" s="99" t="s">
        <v>82</v>
      </c>
      <c r="B481" s="1" t="s">
        <v>697</v>
      </c>
      <c r="C481" s="1" t="s">
        <v>697</v>
      </c>
      <c r="D481" s="2" t="s">
        <v>698</v>
      </c>
      <c r="E481" s="94" t="str">
        <f t="shared" si="25"/>
        <v>GAC-S50-P10-Day20-B:8:2FTS</v>
      </c>
      <c r="F481" s="2" t="str">
        <f>VLOOKUP(C481,'Task 2b Sample List'!I:K,3,FALSE)</f>
        <v>GAC-S50-P10-Day20-B</v>
      </c>
      <c r="G481" s="166" t="str">
        <f t="shared" si="27"/>
        <v>GAC-S50-P10-Day20</v>
      </c>
      <c r="H481" s="2" t="str">
        <f>VLOOKUP(C481,'Task 2b Sample List'!I:L,4,FALSE)</f>
        <v>A</v>
      </c>
      <c r="I481" t="s">
        <v>193</v>
      </c>
      <c r="J481" s="2">
        <v>50</v>
      </c>
      <c r="K481" s="2">
        <v>10</v>
      </c>
      <c r="L481" s="2">
        <v>20</v>
      </c>
      <c r="M481" s="8" t="s">
        <v>27</v>
      </c>
      <c r="N481" s="4" t="s">
        <v>703</v>
      </c>
      <c r="O481" s="5" t="s">
        <v>39</v>
      </c>
      <c r="P481" s="2" t="s">
        <v>703</v>
      </c>
    </row>
    <row r="482" spans="1:16" x14ac:dyDescent="0.25">
      <c r="A482" s="99" t="s">
        <v>82</v>
      </c>
      <c r="B482" s="1" t="s">
        <v>704</v>
      </c>
      <c r="C482" s="1" t="s">
        <v>704</v>
      </c>
      <c r="D482" s="2" t="s">
        <v>705</v>
      </c>
      <c r="E482" s="94" t="str">
        <f t="shared" si="25"/>
        <v>GAC-S50-P10-Day20-C:PFHxA</v>
      </c>
      <c r="F482" s="2" t="str">
        <f>VLOOKUP(C482,'Task 2b Sample List'!I:K,3,FALSE)</f>
        <v>GAC-S50-P10-Day20-C</v>
      </c>
      <c r="G482" s="166" t="str">
        <f t="shared" si="27"/>
        <v>GAC-S50-P10-Day20</v>
      </c>
      <c r="H482" s="2" t="str">
        <f>VLOOKUP(C482,'Task 2b Sample List'!I:L,4,FALSE)</f>
        <v>A</v>
      </c>
      <c r="I482" t="s">
        <v>193</v>
      </c>
      <c r="J482" s="2">
        <v>50</v>
      </c>
      <c r="K482" s="2">
        <v>10</v>
      </c>
      <c r="L482" s="2">
        <v>20</v>
      </c>
      <c r="M482" s="6" t="s">
        <v>22</v>
      </c>
      <c r="N482" s="2" t="s">
        <v>706</v>
      </c>
      <c r="O482" s="3" t="s">
        <v>39</v>
      </c>
      <c r="P482" s="2" t="s">
        <v>706</v>
      </c>
    </row>
    <row r="483" spans="1:16" x14ac:dyDescent="0.25">
      <c r="A483" s="99" t="s">
        <v>82</v>
      </c>
      <c r="B483" s="1" t="s">
        <v>704</v>
      </c>
      <c r="C483" s="1" t="s">
        <v>704</v>
      </c>
      <c r="D483" s="2" t="s">
        <v>705</v>
      </c>
      <c r="E483" s="94" t="str">
        <f t="shared" si="25"/>
        <v>GAC-S50-P10-Day20-C:PFOA</v>
      </c>
      <c r="F483" s="2" t="str">
        <f>VLOOKUP(C483,'Task 2b Sample List'!I:K,3,FALSE)</f>
        <v>GAC-S50-P10-Day20-C</v>
      </c>
      <c r="G483" s="166" t="str">
        <f t="shared" si="27"/>
        <v>GAC-S50-P10-Day20</v>
      </c>
      <c r="H483" s="2" t="str">
        <f>VLOOKUP(C483,'Task 2b Sample List'!I:L,4,FALSE)</f>
        <v>A</v>
      </c>
      <c r="I483" t="s">
        <v>193</v>
      </c>
      <c r="J483" s="2">
        <v>50</v>
      </c>
      <c r="K483" s="2">
        <v>10</v>
      </c>
      <c r="L483" s="2">
        <v>20</v>
      </c>
      <c r="M483" s="7" t="s">
        <v>23</v>
      </c>
      <c r="N483" s="4" t="s">
        <v>386</v>
      </c>
      <c r="O483" s="5" t="s">
        <v>39</v>
      </c>
      <c r="P483" s="2" t="s">
        <v>386</v>
      </c>
    </row>
    <row r="484" spans="1:16" x14ac:dyDescent="0.25">
      <c r="A484" s="99" t="s">
        <v>82</v>
      </c>
      <c r="B484" s="1" t="s">
        <v>704</v>
      </c>
      <c r="C484" s="1" t="s">
        <v>704</v>
      </c>
      <c r="D484" s="2" t="s">
        <v>705</v>
      </c>
      <c r="E484" s="94" t="str">
        <f t="shared" si="25"/>
        <v>GAC-S50-P10-Day20-C:PFNA</v>
      </c>
      <c r="F484" s="2" t="str">
        <f>VLOOKUP(C484,'Task 2b Sample List'!I:K,3,FALSE)</f>
        <v>GAC-S50-P10-Day20-C</v>
      </c>
      <c r="G484" s="166" t="str">
        <f t="shared" si="27"/>
        <v>GAC-S50-P10-Day20</v>
      </c>
      <c r="H484" s="2" t="str">
        <f>VLOOKUP(C484,'Task 2b Sample List'!I:L,4,FALSE)</f>
        <v>A</v>
      </c>
      <c r="I484" t="s">
        <v>193</v>
      </c>
      <c r="J484" s="2">
        <v>50</v>
      </c>
      <c r="K484" s="2">
        <v>10</v>
      </c>
      <c r="L484" s="2">
        <v>20</v>
      </c>
      <c r="M484" s="7" t="s">
        <v>24</v>
      </c>
      <c r="N484" s="2" t="s">
        <v>707</v>
      </c>
      <c r="O484" s="3" t="s">
        <v>39</v>
      </c>
      <c r="P484" s="2" t="s">
        <v>707</v>
      </c>
    </row>
    <row r="485" spans="1:16" x14ac:dyDescent="0.25">
      <c r="A485" s="99" t="s">
        <v>82</v>
      </c>
      <c r="B485" s="1" t="s">
        <v>704</v>
      </c>
      <c r="C485" s="1" t="s">
        <v>704</v>
      </c>
      <c r="D485" s="2" t="s">
        <v>705</v>
      </c>
      <c r="E485" s="94" t="str">
        <f t="shared" si="25"/>
        <v>GAC-S50-P10-Day20-C:PFBS</v>
      </c>
      <c r="F485" s="2" t="str">
        <f>VLOOKUP(C485,'Task 2b Sample List'!I:K,3,FALSE)</f>
        <v>GAC-S50-P10-Day20-C</v>
      </c>
      <c r="G485" s="166" t="str">
        <f t="shared" si="27"/>
        <v>GAC-S50-P10-Day20</v>
      </c>
      <c r="H485" s="2" t="str">
        <f>VLOOKUP(C485,'Task 2b Sample List'!I:L,4,FALSE)</f>
        <v>A</v>
      </c>
      <c r="I485" t="s">
        <v>193</v>
      </c>
      <c r="J485" s="2">
        <v>50</v>
      </c>
      <c r="K485" s="2">
        <v>10</v>
      </c>
      <c r="L485" s="2">
        <v>20</v>
      </c>
      <c r="M485" s="7" t="s">
        <v>25</v>
      </c>
      <c r="N485" s="4" t="s">
        <v>708</v>
      </c>
      <c r="O485" s="5" t="s">
        <v>39</v>
      </c>
      <c r="P485" s="2" t="s">
        <v>708</v>
      </c>
    </row>
    <row r="486" spans="1:16" x14ac:dyDescent="0.25">
      <c r="A486" s="99" t="s">
        <v>82</v>
      </c>
      <c r="B486" s="1" t="s">
        <v>704</v>
      </c>
      <c r="C486" s="1" t="s">
        <v>704</v>
      </c>
      <c r="D486" s="2" t="s">
        <v>705</v>
      </c>
      <c r="E486" s="94" t="str">
        <f t="shared" si="25"/>
        <v>GAC-S50-P10-Day20-C:PFOS</v>
      </c>
      <c r="F486" s="2" t="str">
        <f>VLOOKUP(C486,'Task 2b Sample List'!I:K,3,FALSE)</f>
        <v>GAC-S50-P10-Day20-C</v>
      </c>
      <c r="G486" s="166" t="str">
        <f t="shared" si="27"/>
        <v>GAC-S50-P10-Day20</v>
      </c>
      <c r="H486" s="2" t="str">
        <f>VLOOKUP(C486,'Task 2b Sample List'!I:L,4,FALSE)</f>
        <v>A</v>
      </c>
      <c r="I486" t="s">
        <v>193</v>
      </c>
      <c r="J486" s="2">
        <v>50</v>
      </c>
      <c r="K486" s="2">
        <v>10</v>
      </c>
      <c r="L486" s="2">
        <v>20</v>
      </c>
      <c r="M486" s="7" t="s">
        <v>26</v>
      </c>
      <c r="N486" s="2" t="s">
        <v>709</v>
      </c>
      <c r="O486" s="3" t="s">
        <v>39</v>
      </c>
      <c r="P486" s="2" t="s">
        <v>709</v>
      </c>
    </row>
    <row r="487" spans="1:16" ht="15.75" thickBot="1" x14ac:dyDescent="0.3">
      <c r="A487" s="99" t="s">
        <v>82</v>
      </c>
      <c r="B487" s="1" t="s">
        <v>704</v>
      </c>
      <c r="C487" s="1" t="s">
        <v>704</v>
      </c>
      <c r="D487" s="2" t="s">
        <v>705</v>
      </c>
      <c r="E487" s="94" t="str">
        <f t="shared" si="25"/>
        <v>GAC-S50-P10-Day20-C:8:2FTS</v>
      </c>
      <c r="F487" s="2" t="str">
        <f>VLOOKUP(C487,'Task 2b Sample List'!I:K,3,FALSE)</f>
        <v>GAC-S50-P10-Day20-C</v>
      </c>
      <c r="G487" s="166" t="str">
        <f t="shared" si="27"/>
        <v>GAC-S50-P10-Day20</v>
      </c>
      <c r="H487" s="2" t="str">
        <f>VLOOKUP(C487,'Task 2b Sample List'!I:L,4,FALSE)</f>
        <v>A</v>
      </c>
      <c r="I487" t="s">
        <v>193</v>
      </c>
      <c r="J487" s="2">
        <v>50</v>
      </c>
      <c r="K487" s="2">
        <v>10</v>
      </c>
      <c r="L487" s="2">
        <v>20</v>
      </c>
      <c r="M487" s="8" t="s">
        <v>27</v>
      </c>
      <c r="N487" s="4" t="s">
        <v>710</v>
      </c>
      <c r="O487" s="5" t="s">
        <v>39</v>
      </c>
      <c r="P487" s="2" t="s">
        <v>710</v>
      </c>
    </row>
    <row r="488" spans="1:16" x14ac:dyDescent="0.25">
      <c r="A488" s="99" t="s">
        <v>82</v>
      </c>
      <c r="B488" s="1" t="s">
        <v>711</v>
      </c>
      <c r="C488" s="1" t="s">
        <v>711</v>
      </c>
      <c r="D488" s="2" t="s">
        <v>712</v>
      </c>
      <c r="E488" s="94" t="str">
        <f t="shared" si="25"/>
        <v>GAC-S50-P50-Day20-A:PFHxA</v>
      </c>
      <c r="F488" s="2" t="str">
        <f>VLOOKUP(C488,'Task 2b Sample List'!I:K,3,FALSE)</f>
        <v>GAC-S50-P50-Day20-A</v>
      </c>
      <c r="G488" s="166" t="str">
        <f t="shared" si="27"/>
        <v>GAC-S50-P50-Day20</v>
      </c>
      <c r="H488" s="2" t="str">
        <f>VLOOKUP(C488,'Task 2b Sample List'!I:L,4,FALSE)</f>
        <v>A</v>
      </c>
      <c r="I488" t="s">
        <v>193</v>
      </c>
      <c r="J488" s="2">
        <v>50</v>
      </c>
      <c r="K488" s="2">
        <v>50</v>
      </c>
      <c r="L488" s="2">
        <v>20</v>
      </c>
      <c r="M488" s="6" t="s">
        <v>22</v>
      </c>
      <c r="N488" s="2" t="s">
        <v>713</v>
      </c>
      <c r="O488" s="3" t="s">
        <v>39</v>
      </c>
      <c r="P488" s="2" t="s">
        <v>713</v>
      </c>
    </row>
    <row r="489" spans="1:16" x14ac:dyDescent="0.25">
      <c r="A489" s="99" t="s">
        <v>82</v>
      </c>
      <c r="B489" s="1" t="s">
        <v>711</v>
      </c>
      <c r="C489" s="1" t="s">
        <v>711</v>
      </c>
      <c r="D489" s="2" t="s">
        <v>712</v>
      </c>
      <c r="E489" s="94" t="str">
        <f t="shared" si="25"/>
        <v>GAC-S50-P50-Day20-A:PFOA</v>
      </c>
      <c r="F489" s="2" t="str">
        <f>VLOOKUP(C489,'Task 2b Sample List'!I:K,3,FALSE)</f>
        <v>GAC-S50-P50-Day20-A</v>
      </c>
      <c r="G489" s="166" t="str">
        <f t="shared" si="27"/>
        <v>GAC-S50-P50-Day20</v>
      </c>
      <c r="H489" s="2" t="str">
        <f>VLOOKUP(C489,'Task 2b Sample List'!I:L,4,FALSE)</f>
        <v>A</v>
      </c>
      <c r="I489" t="s">
        <v>193</v>
      </c>
      <c r="J489" s="2">
        <v>50</v>
      </c>
      <c r="K489" s="2">
        <v>50</v>
      </c>
      <c r="L489" s="2">
        <v>20</v>
      </c>
      <c r="M489" s="7" t="s">
        <v>23</v>
      </c>
      <c r="N489" s="4" t="s">
        <v>714</v>
      </c>
      <c r="O489" s="5" t="s">
        <v>39</v>
      </c>
      <c r="P489" s="2" t="s">
        <v>714</v>
      </c>
    </row>
    <row r="490" spans="1:16" x14ac:dyDescent="0.25">
      <c r="A490" s="99" t="s">
        <v>82</v>
      </c>
      <c r="B490" s="1" t="s">
        <v>711</v>
      </c>
      <c r="C490" s="1" t="s">
        <v>711</v>
      </c>
      <c r="D490" s="2" t="s">
        <v>712</v>
      </c>
      <c r="E490" s="94" t="str">
        <f t="shared" si="25"/>
        <v>GAC-S50-P50-Day20-A:PFNA</v>
      </c>
      <c r="F490" s="2" t="str">
        <f>VLOOKUP(C490,'Task 2b Sample List'!I:K,3,FALSE)</f>
        <v>GAC-S50-P50-Day20-A</v>
      </c>
      <c r="G490" s="166" t="str">
        <f t="shared" si="27"/>
        <v>GAC-S50-P50-Day20</v>
      </c>
      <c r="H490" s="2" t="str">
        <f>VLOOKUP(C490,'Task 2b Sample List'!I:L,4,FALSE)</f>
        <v>A</v>
      </c>
      <c r="I490" t="s">
        <v>193</v>
      </c>
      <c r="J490" s="2">
        <v>50</v>
      </c>
      <c r="K490" s="2">
        <v>50</v>
      </c>
      <c r="L490" s="2">
        <v>20</v>
      </c>
      <c r="M490" s="7" t="s">
        <v>24</v>
      </c>
      <c r="N490" s="2" t="s">
        <v>715</v>
      </c>
      <c r="O490" s="3" t="s">
        <v>39</v>
      </c>
      <c r="P490" s="2" t="s">
        <v>715</v>
      </c>
    </row>
    <row r="491" spans="1:16" x14ac:dyDescent="0.25">
      <c r="A491" s="99" t="s">
        <v>82</v>
      </c>
      <c r="B491" s="1" t="s">
        <v>711</v>
      </c>
      <c r="C491" s="1" t="s">
        <v>711</v>
      </c>
      <c r="D491" s="2" t="s">
        <v>712</v>
      </c>
      <c r="E491" s="94" t="str">
        <f t="shared" si="25"/>
        <v>GAC-S50-P50-Day20-A:PFBS</v>
      </c>
      <c r="F491" s="2" t="str">
        <f>VLOOKUP(C491,'Task 2b Sample List'!I:K,3,FALSE)</f>
        <v>GAC-S50-P50-Day20-A</v>
      </c>
      <c r="G491" s="166" t="str">
        <f t="shared" si="27"/>
        <v>GAC-S50-P50-Day20</v>
      </c>
      <c r="H491" s="2" t="str">
        <f>VLOOKUP(C491,'Task 2b Sample List'!I:L,4,FALSE)</f>
        <v>A</v>
      </c>
      <c r="I491" t="s">
        <v>193</v>
      </c>
      <c r="J491" s="2">
        <v>50</v>
      </c>
      <c r="K491" s="2">
        <v>50</v>
      </c>
      <c r="L491" s="2">
        <v>20</v>
      </c>
      <c r="M491" s="7" t="s">
        <v>25</v>
      </c>
      <c r="N491" s="4" t="s">
        <v>716</v>
      </c>
      <c r="O491" s="5" t="s">
        <v>39</v>
      </c>
      <c r="P491" s="2" t="s">
        <v>716</v>
      </c>
    </row>
    <row r="492" spans="1:16" x14ac:dyDescent="0.25">
      <c r="A492" s="99" t="s">
        <v>82</v>
      </c>
      <c r="B492" s="1" t="s">
        <v>711</v>
      </c>
      <c r="C492" s="1" t="s">
        <v>711</v>
      </c>
      <c r="D492" s="2" t="s">
        <v>712</v>
      </c>
      <c r="E492" s="94" t="str">
        <f t="shared" si="25"/>
        <v>GAC-S50-P50-Day20-A:PFOS</v>
      </c>
      <c r="F492" s="2" t="str">
        <f>VLOOKUP(C492,'Task 2b Sample List'!I:K,3,FALSE)</f>
        <v>GAC-S50-P50-Day20-A</v>
      </c>
      <c r="G492" s="166" t="str">
        <f t="shared" si="27"/>
        <v>GAC-S50-P50-Day20</v>
      </c>
      <c r="H492" s="2" t="str">
        <f>VLOOKUP(C492,'Task 2b Sample List'!I:L,4,FALSE)</f>
        <v>A</v>
      </c>
      <c r="I492" t="s">
        <v>193</v>
      </c>
      <c r="J492" s="2">
        <v>50</v>
      </c>
      <c r="K492" s="2">
        <v>50</v>
      </c>
      <c r="L492" s="2">
        <v>20</v>
      </c>
      <c r="M492" s="7" t="s">
        <v>26</v>
      </c>
      <c r="N492" s="2" t="s">
        <v>717</v>
      </c>
      <c r="O492" s="3" t="s">
        <v>39</v>
      </c>
      <c r="P492" s="2" t="s">
        <v>717</v>
      </c>
    </row>
    <row r="493" spans="1:16" ht="15.75" thickBot="1" x14ac:dyDescent="0.3">
      <c r="A493" s="99" t="s">
        <v>82</v>
      </c>
      <c r="B493" s="1" t="s">
        <v>711</v>
      </c>
      <c r="C493" s="1" t="s">
        <v>711</v>
      </c>
      <c r="D493" s="2" t="s">
        <v>712</v>
      </c>
      <c r="E493" s="94" t="str">
        <f t="shared" ref="E493:E556" si="28">F493&amp;":"&amp;M493</f>
        <v>GAC-S50-P50-Day20-A:8:2FTS</v>
      </c>
      <c r="F493" s="2" t="str">
        <f>VLOOKUP(C493,'Task 2b Sample List'!I:K,3,FALSE)</f>
        <v>GAC-S50-P50-Day20-A</v>
      </c>
      <c r="G493" s="166" t="str">
        <f t="shared" si="27"/>
        <v>GAC-S50-P50-Day20</v>
      </c>
      <c r="H493" s="2" t="str">
        <f>VLOOKUP(C493,'Task 2b Sample List'!I:L,4,FALSE)</f>
        <v>A</v>
      </c>
      <c r="I493" t="s">
        <v>193</v>
      </c>
      <c r="J493" s="2">
        <v>50</v>
      </c>
      <c r="K493" s="2">
        <v>50</v>
      </c>
      <c r="L493" s="2">
        <v>20</v>
      </c>
      <c r="M493" s="8" t="s">
        <v>27</v>
      </c>
      <c r="N493" s="4" t="s">
        <v>718</v>
      </c>
      <c r="O493" s="5" t="s">
        <v>39</v>
      </c>
      <c r="P493" s="2" t="s">
        <v>718</v>
      </c>
    </row>
    <row r="494" spans="1:16" x14ac:dyDescent="0.25">
      <c r="A494" s="99" t="s">
        <v>82</v>
      </c>
      <c r="B494" s="1" t="s">
        <v>719</v>
      </c>
      <c r="C494" s="1" t="s">
        <v>719</v>
      </c>
      <c r="D494" s="2" t="s">
        <v>720</v>
      </c>
      <c r="E494" s="94" t="str">
        <f t="shared" si="28"/>
        <v>GAC-S50-P50-Day20-B:PFHxA</v>
      </c>
      <c r="F494" s="2" t="str">
        <f>VLOOKUP(C494,'Task 2b Sample List'!I:K,3,FALSE)</f>
        <v>GAC-S50-P50-Day20-B</v>
      </c>
      <c r="G494" s="166" t="str">
        <f t="shared" si="27"/>
        <v>GAC-S50-P50-Day20</v>
      </c>
      <c r="H494" s="2" t="str">
        <f>VLOOKUP(C494,'Task 2b Sample List'!I:L,4,FALSE)</f>
        <v>A</v>
      </c>
      <c r="I494" t="s">
        <v>193</v>
      </c>
      <c r="J494" s="2">
        <v>50</v>
      </c>
      <c r="K494" s="2">
        <v>50</v>
      </c>
      <c r="L494" s="2">
        <v>20</v>
      </c>
      <c r="M494" s="6" t="s">
        <v>22</v>
      </c>
      <c r="N494" s="2" t="s">
        <v>721</v>
      </c>
      <c r="O494" s="3" t="s">
        <v>39</v>
      </c>
      <c r="P494" s="2" t="s">
        <v>721</v>
      </c>
    </row>
    <row r="495" spans="1:16" x14ac:dyDescent="0.25">
      <c r="A495" s="99" t="s">
        <v>82</v>
      </c>
      <c r="B495" s="1" t="s">
        <v>719</v>
      </c>
      <c r="C495" s="1" t="s">
        <v>719</v>
      </c>
      <c r="D495" s="2" t="s">
        <v>720</v>
      </c>
      <c r="E495" s="94" t="str">
        <f t="shared" si="28"/>
        <v>GAC-S50-P50-Day20-B:PFOA</v>
      </c>
      <c r="F495" s="2" t="str">
        <f>VLOOKUP(C495,'Task 2b Sample List'!I:K,3,FALSE)</f>
        <v>GAC-S50-P50-Day20-B</v>
      </c>
      <c r="G495" s="166" t="str">
        <f t="shared" si="27"/>
        <v>GAC-S50-P50-Day20</v>
      </c>
      <c r="H495" s="2" t="str">
        <f>VLOOKUP(C495,'Task 2b Sample List'!I:L,4,FALSE)</f>
        <v>A</v>
      </c>
      <c r="I495" t="s">
        <v>193</v>
      </c>
      <c r="J495" s="2">
        <v>50</v>
      </c>
      <c r="K495" s="2">
        <v>50</v>
      </c>
      <c r="L495" s="2">
        <v>20</v>
      </c>
      <c r="M495" s="7" t="s">
        <v>23</v>
      </c>
      <c r="N495" s="4" t="s">
        <v>714</v>
      </c>
      <c r="O495" s="5" t="s">
        <v>39</v>
      </c>
      <c r="P495" s="2" t="s">
        <v>714</v>
      </c>
    </row>
    <row r="496" spans="1:16" x14ac:dyDescent="0.25">
      <c r="A496" s="99" t="s">
        <v>82</v>
      </c>
      <c r="B496" s="1" t="s">
        <v>719</v>
      </c>
      <c r="C496" s="1" t="s">
        <v>719</v>
      </c>
      <c r="D496" s="2" t="s">
        <v>720</v>
      </c>
      <c r="E496" s="94" t="str">
        <f t="shared" si="28"/>
        <v>GAC-S50-P50-Day20-B:PFNA</v>
      </c>
      <c r="F496" s="2" t="str">
        <f>VLOOKUP(C496,'Task 2b Sample List'!I:K,3,FALSE)</f>
        <v>GAC-S50-P50-Day20-B</v>
      </c>
      <c r="G496" s="166" t="str">
        <f t="shared" si="27"/>
        <v>GAC-S50-P50-Day20</v>
      </c>
      <c r="H496" s="2" t="str">
        <f>VLOOKUP(C496,'Task 2b Sample List'!I:L,4,FALSE)</f>
        <v>A</v>
      </c>
      <c r="I496" t="s">
        <v>193</v>
      </c>
      <c r="J496" s="2">
        <v>50</v>
      </c>
      <c r="K496" s="2">
        <v>50</v>
      </c>
      <c r="L496" s="2">
        <v>20</v>
      </c>
      <c r="M496" s="7" t="s">
        <v>24</v>
      </c>
      <c r="N496" s="2" t="s">
        <v>722</v>
      </c>
      <c r="O496" s="3" t="s">
        <v>39</v>
      </c>
      <c r="P496" s="2" t="s">
        <v>722</v>
      </c>
    </row>
    <row r="497" spans="1:16" x14ac:dyDescent="0.25">
      <c r="A497" s="99" t="s">
        <v>82</v>
      </c>
      <c r="B497" s="1" t="s">
        <v>719</v>
      </c>
      <c r="C497" s="1" t="s">
        <v>719</v>
      </c>
      <c r="D497" s="2" t="s">
        <v>720</v>
      </c>
      <c r="E497" s="94" t="str">
        <f t="shared" si="28"/>
        <v>GAC-S50-P50-Day20-B:PFBS</v>
      </c>
      <c r="F497" s="2" t="str">
        <f>VLOOKUP(C497,'Task 2b Sample List'!I:K,3,FALSE)</f>
        <v>GAC-S50-P50-Day20-B</v>
      </c>
      <c r="G497" s="166" t="str">
        <f t="shared" si="27"/>
        <v>GAC-S50-P50-Day20</v>
      </c>
      <c r="H497" s="2" t="str">
        <f>VLOOKUP(C497,'Task 2b Sample List'!I:L,4,FALSE)</f>
        <v>A</v>
      </c>
      <c r="I497" t="s">
        <v>193</v>
      </c>
      <c r="J497" s="2">
        <v>50</v>
      </c>
      <c r="K497" s="2">
        <v>50</v>
      </c>
      <c r="L497" s="2">
        <v>20</v>
      </c>
      <c r="M497" s="7" t="s">
        <v>25</v>
      </c>
      <c r="N497" s="4" t="s">
        <v>499</v>
      </c>
      <c r="O497" s="5" t="s">
        <v>39</v>
      </c>
      <c r="P497" s="2" t="s">
        <v>499</v>
      </c>
    </row>
    <row r="498" spans="1:16" x14ac:dyDescent="0.25">
      <c r="A498" s="99" t="s">
        <v>82</v>
      </c>
      <c r="B498" s="1" t="s">
        <v>719</v>
      </c>
      <c r="C498" s="1" t="s">
        <v>719</v>
      </c>
      <c r="D498" s="2" t="s">
        <v>720</v>
      </c>
      <c r="E498" s="94" t="str">
        <f t="shared" si="28"/>
        <v>GAC-S50-P50-Day20-B:PFOS</v>
      </c>
      <c r="F498" s="2" t="str">
        <f>VLOOKUP(C498,'Task 2b Sample List'!I:K,3,FALSE)</f>
        <v>GAC-S50-P50-Day20-B</v>
      </c>
      <c r="G498" s="166" t="str">
        <f t="shared" si="27"/>
        <v>GAC-S50-P50-Day20</v>
      </c>
      <c r="H498" s="2" t="str">
        <f>VLOOKUP(C498,'Task 2b Sample List'!I:L,4,FALSE)</f>
        <v>A</v>
      </c>
      <c r="I498" t="s">
        <v>193</v>
      </c>
      <c r="J498" s="2">
        <v>50</v>
      </c>
      <c r="K498" s="2">
        <v>50</v>
      </c>
      <c r="L498" s="2">
        <v>20</v>
      </c>
      <c r="M498" s="7" t="s">
        <v>26</v>
      </c>
      <c r="N498" s="2" t="s">
        <v>723</v>
      </c>
      <c r="O498" s="3" t="s">
        <v>39</v>
      </c>
      <c r="P498" s="2" t="s">
        <v>723</v>
      </c>
    </row>
    <row r="499" spans="1:16" ht="15.75" thickBot="1" x14ac:dyDescent="0.3">
      <c r="A499" s="99" t="s">
        <v>82</v>
      </c>
      <c r="B499" s="1" t="s">
        <v>719</v>
      </c>
      <c r="C499" s="1" t="s">
        <v>719</v>
      </c>
      <c r="D499" s="2" t="s">
        <v>720</v>
      </c>
      <c r="E499" s="94" t="str">
        <f t="shared" si="28"/>
        <v>GAC-S50-P50-Day20-B:8:2FTS</v>
      </c>
      <c r="F499" s="2" t="str">
        <f>VLOOKUP(C499,'Task 2b Sample List'!I:K,3,FALSE)</f>
        <v>GAC-S50-P50-Day20-B</v>
      </c>
      <c r="G499" s="166" t="str">
        <f t="shared" si="27"/>
        <v>GAC-S50-P50-Day20</v>
      </c>
      <c r="H499" s="2" t="str">
        <f>VLOOKUP(C499,'Task 2b Sample List'!I:L,4,FALSE)</f>
        <v>A</v>
      </c>
      <c r="I499" t="s">
        <v>193</v>
      </c>
      <c r="J499" s="2">
        <v>50</v>
      </c>
      <c r="K499" s="2">
        <v>50</v>
      </c>
      <c r="L499" s="2">
        <v>20</v>
      </c>
      <c r="M499" s="8" t="s">
        <v>27</v>
      </c>
      <c r="N499" s="4" t="s">
        <v>724</v>
      </c>
      <c r="O499" s="5" t="s">
        <v>39</v>
      </c>
      <c r="P499" s="2" t="s">
        <v>724</v>
      </c>
    </row>
    <row r="500" spans="1:16" x14ac:dyDescent="0.25">
      <c r="A500" s="99" t="s">
        <v>82</v>
      </c>
      <c r="B500" s="1" t="s">
        <v>725</v>
      </c>
      <c r="C500" s="1" t="s">
        <v>725</v>
      </c>
      <c r="D500" s="2" t="s">
        <v>726</v>
      </c>
      <c r="E500" s="94" t="str">
        <f t="shared" si="28"/>
        <v>GAC-S50-P50-Day20-C:PFHxA</v>
      </c>
      <c r="F500" s="2" t="str">
        <f>VLOOKUP(C500,'Task 2b Sample List'!I:K,3,FALSE)</f>
        <v>GAC-S50-P50-Day20-C</v>
      </c>
      <c r="G500" s="166" t="str">
        <f t="shared" si="27"/>
        <v>GAC-S50-P50-Day20</v>
      </c>
      <c r="H500" s="2" t="str">
        <f>VLOOKUP(C500,'Task 2b Sample List'!I:L,4,FALSE)</f>
        <v>A</v>
      </c>
      <c r="I500" t="s">
        <v>193</v>
      </c>
      <c r="J500" s="2">
        <v>50</v>
      </c>
      <c r="K500" s="2">
        <v>50</v>
      </c>
      <c r="L500" s="2">
        <v>20</v>
      </c>
      <c r="M500" s="6" t="s">
        <v>22</v>
      </c>
      <c r="N500" s="2" t="s">
        <v>714</v>
      </c>
      <c r="O500" s="3" t="s">
        <v>39</v>
      </c>
      <c r="P500" s="2" t="s">
        <v>714</v>
      </c>
    </row>
    <row r="501" spans="1:16" x14ac:dyDescent="0.25">
      <c r="A501" s="99" t="s">
        <v>82</v>
      </c>
      <c r="B501" s="1" t="s">
        <v>725</v>
      </c>
      <c r="C501" s="1" t="s">
        <v>725</v>
      </c>
      <c r="D501" s="2" t="s">
        <v>726</v>
      </c>
      <c r="E501" s="94" t="str">
        <f t="shared" si="28"/>
        <v>GAC-S50-P50-Day20-C:PFOA</v>
      </c>
      <c r="F501" s="2" t="str">
        <f>VLOOKUP(C501,'Task 2b Sample List'!I:K,3,FALSE)</f>
        <v>GAC-S50-P50-Day20-C</v>
      </c>
      <c r="G501" s="166" t="str">
        <f t="shared" si="27"/>
        <v>GAC-S50-P50-Day20</v>
      </c>
      <c r="H501" s="2" t="str">
        <f>VLOOKUP(C501,'Task 2b Sample List'!I:L,4,FALSE)</f>
        <v>A</v>
      </c>
      <c r="I501" t="s">
        <v>193</v>
      </c>
      <c r="J501" s="2">
        <v>50</v>
      </c>
      <c r="K501" s="2">
        <v>50</v>
      </c>
      <c r="L501" s="2">
        <v>20</v>
      </c>
      <c r="M501" s="7" t="s">
        <v>23</v>
      </c>
      <c r="N501" s="4" t="s">
        <v>727</v>
      </c>
      <c r="O501" s="5" t="s">
        <v>39</v>
      </c>
      <c r="P501" s="2" t="s">
        <v>727</v>
      </c>
    </row>
    <row r="502" spans="1:16" x14ac:dyDescent="0.25">
      <c r="A502" s="99" t="s">
        <v>82</v>
      </c>
      <c r="B502" s="1" t="s">
        <v>725</v>
      </c>
      <c r="C502" s="1" t="s">
        <v>725</v>
      </c>
      <c r="D502" s="2" t="s">
        <v>726</v>
      </c>
      <c r="E502" s="94" t="str">
        <f t="shared" si="28"/>
        <v>GAC-S50-P50-Day20-C:PFNA</v>
      </c>
      <c r="F502" s="2" t="str">
        <f>VLOOKUP(C502,'Task 2b Sample List'!I:K,3,FALSE)</f>
        <v>GAC-S50-P50-Day20-C</v>
      </c>
      <c r="G502" s="166" t="str">
        <f t="shared" si="27"/>
        <v>GAC-S50-P50-Day20</v>
      </c>
      <c r="H502" s="2" t="str">
        <f>VLOOKUP(C502,'Task 2b Sample List'!I:L,4,FALSE)</f>
        <v>A</v>
      </c>
      <c r="I502" t="s">
        <v>193</v>
      </c>
      <c r="J502" s="2">
        <v>50</v>
      </c>
      <c r="K502" s="2">
        <v>50</v>
      </c>
      <c r="L502" s="2">
        <v>20</v>
      </c>
      <c r="M502" s="7" t="s">
        <v>24</v>
      </c>
      <c r="N502" s="2" t="s">
        <v>728</v>
      </c>
      <c r="O502" s="3" t="s">
        <v>39</v>
      </c>
      <c r="P502" s="2" t="s">
        <v>728</v>
      </c>
    </row>
    <row r="503" spans="1:16" x14ac:dyDescent="0.25">
      <c r="A503" s="99" t="s">
        <v>82</v>
      </c>
      <c r="B503" s="1" t="s">
        <v>725</v>
      </c>
      <c r="C503" s="1" t="s">
        <v>725</v>
      </c>
      <c r="D503" s="2" t="s">
        <v>726</v>
      </c>
      <c r="E503" s="94" t="str">
        <f t="shared" si="28"/>
        <v>GAC-S50-P50-Day20-C:PFBS</v>
      </c>
      <c r="F503" s="2" t="str">
        <f>VLOOKUP(C503,'Task 2b Sample List'!I:K,3,FALSE)</f>
        <v>GAC-S50-P50-Day20-C</v>
      </c>
      <c r="G503" s="166" t="str">
        <f t="shared" si="27"/>
        <v>GAC-S50-P50-Day20</v>
      </c>
      <c r="H503" s="2" t="str">
        <f>VLOOKUP(C503,'Task 2b Sample List'!I:L,4,FALSE)</f>
        <v>A</v>
      </c>
      <c r="I503" t="s">
        <v>193</v>
      </c>
      <c r="J503" s="2">
        <v>50</v>
      </c>
      <c r="K503" s="2">
        <v>50</v>
      </c>
      <c r="L503" s="2">
        <v>20</v>
      </c>
      <c r="M503" s="7" t="s">
        <v>25</v>
      </c>
      <c r="N503" s="4" t="s">
        <v>729</v>
      </c>
      <c r="O503" s="5" t="s">
        <v>39</v>
      </c>
      <c r="P503" s="2" t="s">
        <v>729</v>
      </c>
    </row>
    <row r="504" spans="1:16" x14ac:dyDescent="0.25">
      <c r="A504" s="99" t="s">
        <v>82</v>
      </c>
      <c r="B504" s="1" t="s">
        <v>725</v>
      </c>
      <c r="C504" s="1" t="s">
        <v>725</v>
      </c>
      <c r="D504" s="2" t="s">
        <v>726</v>
      </c>
      <c r="E504" s="94" t="str">
        <f t="shared" si="28"/>
        <v>GAC-S50-P50-Day20-C:PFOS</v>
      </c>
      <c r="F504" s="2" t="str">
        <f>VLOOKUP(C504,'Task 2b Sample List'!I:K,3,FALSE)</f>
        <v>GAC-S50-P50-Day20-C</v>
      </c>
      <c r="G504" s="166" t="str">
        <f t="shared" si="27"/>
        <v>GAC-S50-P50-Day20</v>
      </c>
      <c r="H504" s="2" t="str">
        <f>VLOOKUP(C504,'Task 2b Sample List'!I:L,4,FALSE)</f>
        <v>A</v>
      </c>
      <c r="I504" t="s">
        <v>193</v>
      </c>
      <c r="J504" s="2">
        <v>50</v>
      </c>
      <c r="K504" s="2">
        <v>50</v>
      </c>
      <c r="L504" s="2">
        <v>20</v>
      </c>
      <c r="M504" s="7" t="s">
        <v>26</v>
      </c>
      <c r="N504" s="2" t="s">
        <v>730</v>
      </c>
      <c r="O504" s="3" t="s">
        <v>39</v>
      </c>
      <c r="P504" s="2" t="s">
        <v>730</v>
      </c>
    </row>
    <row r="505" spans="1:16" ht="15.75" thickBot="1" x14ac:dyDescent="0.3">
      <c r="A505" s="99" t="s">
        <v>82</v>
      </c>
      <c r="B505" s="1" t="s">
        <v>725</v>
      </c>
      <c r="C505" s="1" t="s">
        <v>725</v>
      </c>
      <c r="D505" s="2" t="s">
        <v>726</v>
      </c>
      <c r="E505" s="94" t="str">
        <f t="shared" si="28"/>
        <v>GAC-S50-P50-Day20-C:8:2FTS</v>
      </c>
      <c r="F505" s="2" t="str">
        <f>VLOOKUP(C505,'Task 2b Sample List'!I:K,3,FALSE)</f>
        <v>GAC-S50-P50-Day20-C</v>
      </c>
      <c r="G505" s="166" t="str">
        <f t="shared" si="27"/>
        <v>GAC-S50-P50-Day20</v>
      </c>
      <c r="H505" s="2" t="str">
        <f>VLOOKUP(C505,'Task 2b Sample List'!I:L,4,FALSE)</f>
        <v>A</v>
      </c>
      <c r="I505" t="s">
        <v>193</v>
      </c>
      <c r="J505" s="2">
        <v>50</v>
      </c>
      <c r="K505" s="2">
        <v>50</v>
      </c>
      <c r="L505" s="2">
        <v>20</v>
      </c>
      <c r="M505" s="8" t="s">
        <v>27</v>
      </c>
      <c r="N505" s="4" t="s">
        <v>731</v>
      </c>
      <c r="O505" s="5" t="s">
        <v>39</v>
      </c>
      <c r="P505" s="2" t="s">
        <v>731</v>
      </c>
    </row>
    <row r="506" spans="1:16" x14ac:dyDescent="0.25">
      <c r="A506" s="99" t="s">
        <v>82</v>
      </c>
      <c r="B506" s="1" t="s">
        <v>732</v>
      </c>
      <c r="C506" s="1" t="s">
        <v>732</v>
      </c>
      <c r="D506" s="2" t="s">
        <v>733</v>
      </c>
      <c r="E506" s="94" t="str">
        <f t="shared" si="28"/>
        <v>GAC-S50-P100-Day20-A:PFHxA</v>
      </c>
      <c r="F506" s="2" t="str">
        <f>VLOOKUP(C506,'Task 2b Sample List'!I:K,3,FALSE)</f>
        <v>GAC-S50-P100-Day20-A</v>
      </c>
      <c r="G506" s="166" t="str">
        <f t="shared" ref="G506:G529" si="29">LEFT(F506,18)</f>
        <v>GAC-S50-P100-Day20</v>
      </c>
      <c r="H506" s="2" t="str">
        <f>VLOOKUP(C506,'Task 2b Sample List'!I:L,4,FALSE)</f>
        <v>B</v>
      </c>
      <c r="I506" t="s">
        <v>193</v>
      </c>
      <c r="J506" s="2">
        <v>50</v>
      </c>
      <c r="K506" s="2">
        <v>100</v>
      </c>
      <c r="L506" s="2">
        <v>20</v>
      </c>
      <c r="M506" s="6" t="s">
        <v>22</v>
      </c>
      <c r="N506" s="2" t="s">
        <v>502</v>
      </c>
      <c r="O506" s="3" t="s">
        <v>39</v>
      </c>
      <c r="P506" s="2" t="s">
        <v>502</v>
      </c>
    </row>
    <row r="507" spans="1:16" x14ac:dyDescent="0.25">
      <c r="A507" s="99" t="s">
        <v>82</v>
      </c>
      <c r="B507" s="1" t="s">
        <v>732</v>
      </c>
      <c r="C507" s="1" t="s">
        <v>732</v>
      </c>
      <c r="D507" s="2" t="s">
        <v>733</v>
      </c>
      <c r="E507" s="94" t="str">
        <f t="shared" si="28"/>
        <v>GAC-S50-P100-Day20-A:PFOA</v>
      </c>
      <c r="F507" s="2" t="str">
        <f>VLOOKUP(C507,'Task 2b Sample List'!I:K,3,FALSE)</f>
        <v>GAC-S50-P100-Day20-A</v>
      </c>
      <c r="G507" s="166" t="str">
        <f t="shared" si="29"/>
        <v>GAC-S50-P100-Day20</v>
      </c>
      <c r="H507" s="2" t="str">
        <f>VLOOKUP(C507,'Task 2b Sample List'!I:L,4,FALSE)</f>
        <v>B</v>
      </c>
      <c r="I507" t="s">
        <v>193</v>
      </c>
      <c r="J507" s="2">
        <v>50</v>
      </c>
      <c r="K507" s="2">
        <v>100</v>
      </c>
      <c r="L507" s="2">
        <v>20</v>
      </c>
      <c r="M507" s="7" t="s">
        <v>23</v>
      </c>
      <c r="N507" s="4" t="s">
        <v>264</v>
      </c>
      <c r="O507" s="5" t="s">
        <v>39</v>
      </c>
      <c r="P507" s="2" t="s">
        <v>264</v>
      </c>
    </row>
    <row r="508" spans="1:16" x14ac:dyDescent="0.25">
      <c r="A508" s="99" t="s">
        <v>82</v>
      </c>
      <c r="B508" s="1" t="s">
        <v>732</v>
      </c>
      <c r="C508" s="1" t="s">
        <v>732</v>
      </c>
      <c r="D508" s="2" t="s">
        <v>733</v>
      </c>
      <c r="E508" s="94" t="str">
        <f t="shared" si="28"/>
        <v>GAC-S50-P100-Day20-A:PFNA</v>
      </c>
      <c r="F508" s="2" t="str">
        <f>VLOOKUP(C508,'Task 2b Sample List'!I:K,3,FALSE)</f>
        <v>GAC-S50-P100-Day20-A</v>
      </c>
      <c r="G508" s="166" t="str">
        <f t="shared" si="29"/>
        <v>GAC-S50-P100-Day20</v>
      </c>
      <c r="H508" s="2" t="str">
        <f>VLOOKUP(C508,'Task 2b Sample List'!I:L,4,FALSE)</f>
        <v>B</v>
      </c>
      <c r="I508" t="s">
        <v>193</v>
      </c>
      <c r="J508" s="2">
        <v>50</v>
      </c>
      <c r="K508" s="2">
        <v>100</v>
      </c>
      <c r="L508" s="2">
        <v>20</v>
      </c>
      <c r="M508" s="7" t="s">
        <v>24</v>
      </c>
      <c r="N508" s="2" t="s">
        <v>734</v>
      </c>
      <c r="O508" s="3" t="s">
        <v>39</v>
      </c>
      <c r="P508" s="2" t="s">
        <v>734</v>
      </c>
    </row>
    <row r="509" spans="1:16" x14ac:dyDescent="0.25">
      <c r="A509" s="99" t="s">
        <v>82</v>
      </c>
      <c r="B509" s="1" t="s">
        <v>732</v>
      </c>
      <c r="C509" s="1" t="s">
        <v>732</v>
      </c>
      <c r="D509" s="2" t="s">
        <v>733</v>
      </c>
      <c r="E509" s="94" t="str">
        <f t="shared" si="28"/>
        <v>GAC-S50-P100-Day20-A:PFBS</v>
      </c>
      <c r="F509" s="2" t="str">
        <f>VLOOKUP(C509,'Task 2b Sample List'!I:K,3,FALSE)</f>
        <v>GAC-S50-P100-Day20-A</v>
      </c>
      <c r="G509" s="166" t="str">
        <f t="shared" si="29"/>
        <v>GAC-S50-P100-Day20</v>
      </c>
      <c r="H509" s="2" t="str">
        <f>VLOOKUP(C509,'Task 2b Sample List'!I:L,4,FALSE)</f>
        <v>B</v>
      </c>
      <c r="I509" t="s">
        <v>193</v>
      </c>
      <c r="J509" s="2">
        <v>50</v>
      </c>
      <c r="K509" s="2">
        <v>100</v>
      </c>
      <c r="L509" s="2">
        <v>20</v>
      </c>
      <c r="M509" s="7" t="s">
        <v>25</v>
      </c>
      <c r="N509" s="4" t="s">
        <v>735</v>
      </c>
      <c r="O509" s="5" t="s">
        <v>39</v>
      </c>
      <c r="P509" s="2" t="s">
        <v>735</v>
      </c>
    </row>
    <row r="510" spans="1:16" x14ac:dyDescent="0.25">
      <c r="A510" s="99" t="s">
        <v>82</v>
      </c>
      <c r="B510" s="1" t="s">
        <v>732</v>
      </c>
      <c r="C510" s="1" t="s">
        <v>732</v>
      </c>
      <c r="D510" s="2" t="s">
        <v>733</v>
      </c>
      <c r="E510" s="94" t="str">
        <f t="shared" si="28"/>
        <v>GAC-S50-P100-Day20-A:PFOS</v>
      </c>
      <c r="F510" s="2" t="str">
        <f>VLOOKUP(C510,'Task 2b Sample List'!I:K,3,FALSE)</f>
        <v>GAC-S50-P100-Day20-A</v>
      </c>
      <c r="G510" s="166" t="str">
        <f t="shared" si="29"/>
        <v>GAC-S50-P100-Day20</v>
      </c>
      <c r="H510" s="2" t="str">
        <f>VLOOKUP(C510,'Task 2b Sample List'!I:L,4,FALSE)</f>
        <v>B</v>
      </c>
      <c r="I510" t="s">
        <v>193</v>
      </c>
      <c r="J510" s="2">
        <v>50</v>
      </c>
      <c r="K510" s="2">
        <v>100</v>
      </c>
      <c r="L510" s="2">
        <v>20</v>
      </c>
      <c r="M510" s="7" t="s">
        <v>26</v>
      </c>
      <c r="N510" s="2" t="s">
        <v>257</v>
      </c>
      <c r="O510" s="3" t="s">
        <v>39</v>
      </c>
      <c r="P510" s="2" t="s">
        <v>257</v>
      </c>
    </row>
    <row r="511" spans="1:16" ht="15.75" thickBot="1" x14ac:dyDescent="0.3">
      <c r="A511" s="99" t="s">
        <v>82</v>
      </c>
      <c r="B511" s="1" t="s">
        <v>732</v>
      </c>
      <c r="C511" s="1" t="s">
        <v>732</v>
      </c>
      <c r="D511" s="2" t="s">
        <v>733</v>
      </c>
      <c r="E511" s="94" t="str">
        <f t="shared" si="28"/>
        <v>GAC-S50-P100-Day20-A:8:2FTS</v>
      </c>
      <c r="F511" s="2" t="str">
        <f>VLOOKUP(C511,'Task 2b Sample List'!I:K,3,FALSE)</f>
        <v>GAC-S50-P100-Day20-A</v>
      </c>
      <c r="G511" s="166" t="str">
        <f t="shared" si="29"/>
        <v>GAC-S50-P100-Day20</v>
      </c>
      <c r="H511" s="2" t="str">
        <f>VLOOKUP(C511,'Task 2b Sample List'!I:L,4,FALSE)</f>
        <v>B</v>
      </c>
      <c r="I511" t="s">
        <v>193</v>
      </c>
      <c r="J511" s="2">
        <v>50</v>
      </c>
      <c r="K511" s="2">
        <v>100</v>
      </c>
      <c r="L511" s="2">
        <v>20</v>
      </c>
      <c r="M511" s="8" t="s">
        <v>27</v>
      </c>
      <c r="N511" s="4" t="s">
        <v>736</v>
      </c>
      <c r="O511" s="5" t="s">
        <v>39</v>
      </c>
      <c r="P511" s="2" t="s">
        <v>736</v>
      </c>
    </row>
    <row r="512" spans="1:16" x14ac:dyDescent="0.25">
      <c r="A512" s="99" t="s">
        <v>82</v>
      </c>
      <c r="B512" s="1" t="s">
        <v>737</v>
      </c>
      <c r="C512" s="1" t="s">
        <v>737</v>
      </c>
      <c r="D512" s="2" t="s">
        <v>738</v>
      </c>
      <c r="E512" s="94" t="str">
        <f t="shared" si="28"/>
        <v>GAC-S50-P100-Day20-B:PFHxA</v>
      </c>
      <c r="F512" s="2" t="str">
        <f>VLOOKUP(C512,'Task 2b Sample List'!I:K,3,FALSE)</f>
        <v>GAC-S50-P100-Day20-B</v>
      </c>
      <c r="G512" s="166" t="str">
        <f t="shared" si="29"/>
        <v>GAC-S50-P100-Day20</v>
      </c>
      <c r="H512" s="2" t="str">
        <f>VLOOKUP(C512,'Task 2b Sample List'!I:L,4,FALSE)</f>
        <v>B</v>
      </c>
      <c r="I512" t="s">
        <v>193</v>
      </c>
      <c r="J512" s="2">
        <v>50</v>
      </c>
      <c r="K512" s="2">
        <v>100</v>
      </c>
      <c r="L512" s="2">
        <v>20</v>
      </c>
      <c r="M512" s="6" t="s">
        <v>22</v>
      </c>
      <c r="N512" s="2" t="s">
        <v>739</v>
      </c>
      <c r="O512" s="3" t="s">
        <v>39</v>
      </c>
      <c r="P512" s="2" t="s">
        <v>739</v>
      </c>
    </row>
    <row r="513" spans="1:16" x14ac:dyDescent="0.25">
      <c r="A513" s="99" t="s">
        <v>82</v>
      </c>
      <c r="B513" s="1" t="s">
        <v>737</v>
      </c>
      <c r="C513" s="1" t="s">
        <v>737</v>
      </c>
      <c r="D513" s="2" t="s">
        <v>738</v>
      </c>
      <c r="E513" s="94" t="str">
        <f t="shared" si="28"/>
        <v>GAC-S50-P100-Day20-B:PFOA</v>
      </c>
      <c r="F513" s="2" t="str">
        <f>VLOOKUP(C513,'Task 2b Sample List'!I:K,3,FALSE)</f>
        <v>GAC-S50-P100-Day20-B</v>
      </c>
      <c r="G513" s="166" t="str">
        <f t="shared" si="29"/>
        <v>GAC-S50-P100-Day20</v>
      </c>
      <c r="H513" s="2" t="str">
        <f>VLOOKUP(C513,'Task 2b Sample List'!I:L,4,FALSE)</f>
        <v>B</v>
      </c>
      <c r="I513" t="s">
        <v>193</v>
      </c>
      <c r="J513" s="2">
        <v>50</v>
      </c>
      <c r="K513" s="2">
        <v>100</v>
      </c>
      <c r="L513" s="2">
        <v>20</v>
      </c>
      <c r="M513" s="7" t="s">
        <v>23</v>
      </c>
      <c r="N513" s="4" t="s">
        <v>273</v>
      </c>
      <c r="O513" s="5" t="s">
        <v>39</v>
      </c>
      <c r="P513" s="2" t="s">
        <v>273</v>
      </c>
    </row>
    <row r="514" spans="1:16" x14ac:dyDescent="0.25">
      <c r="A514" s="99" t="s">
        <v>82</v>
      </c>
      <c r="B514" s="1" t="s">
        <v>737</v>
      </c>
      <c r="C514" s="1" t="s">
        <v>737</v>
      </c>
      <c r="D514" s="2" t="s">
        <v>738</v>
      </c>
      <c r="E514" s="94" t="str">
        <f t="shared" si="28"/>
        <v>GAC-S50-P100-Day20-B:PFNA</v>
      </c>
      <c r="F514" s="2" t="str">
        <f>VLOOKUP(C514,'Task 2b Sample List'!I:K,3,FALSE)</f>
        <v>GAC-S50-P100-Day20-B</v>
      </c>
      <c r="G514" s="166" t="str">
        <f t="shared" si="29"/>
        <v>GAC-S50-P100-Day20</v>
      </c>
      <c r="H514" s="2" t="str">
        <f>VLOOKUP(C514,'Task 2b Sample List'!I:L,4,FALSE)</f>
        <v>B</v>
      </c>
      <c r="I514" t="s">
        <v>193</v>
      </c>
      <c r="J514" s="2">
        <v>50</v>
      </c>
      <c r="K514" s="2">
        <v>100</v>
      </c>
      <c r="L514" s="2">
        <v>20</v>
      </c>
      <c r="M514" s="7" t="s">
        <v>24</v>
      </c>
      <c r="N514" s="2" t="s">
        <v>257</v>
      </c>
      <c r="O514" s="3" t="s">
        <v>39</v>
      </c>
      <c r="P514" s="2" t="s">
        <v>257</v>
      </c>
    </row>
    <row r="515" spans="1:16" x14ac:dyDescent="0.25">
      <c r="A515" s="99" t="s">
        <v>82</v>
      </c>
      <c r="B515" s="1" t="s">
        <v>737</v>
      </c>
      <c r="C515" s="1" t="s">
        <v>737</v>
      </c>
      <c r="D515" s="2" t="s">
        <v>738</v>
      </c>
      <c r="E515" s="94" t="str">
        <f t="shared" si="28"/>
        <v>GAC-S50-P100-Day20-B:PFBS</v>
      </c>
      <c r="F515" s="2" t="str">
        <f>VLOOKUP(C515,'Task 2b Sample List'!I:K,3,FALSE)</f>
        <v>GAC-S50-P100-Day20-B</v>
      </c>
      <c r="G515" s="166" t="str">
        <f t="shared" si="29"/>
        <v>GAC-S50-P100-Day20</v>
      </c>
      <c r="H515" s="2" t="str">
        <f>VLOOKUP(C515,'Task 2b Sample List'!I:L,4,FALSE)</f>
        <v>B</v>
      </c>
      <c r="I515" t="s">
        <v>193</v>
      </c>
      <c r="J515" s="2">
        <v>50</v>
      </c>
      <c r="K515" s="2">
        <v>100</v>
      </c>
      <c r="L515" s="2">
        <v>20</v>
      </c>
      <c r="M515" s="7" t="s">
        <v>25</v>
      </c>
      <c r="N515" s="4" t="s">
        <v>740</v>
      </c>
      <c r="O515" s="5" t="s">
        <v>39</v>
      </c>
      <c r="P515" s="2" t="s">
        <v>740</v>
      </c>
    </row>
    <row r="516" spans="1:16" x14ac:dyDescent="0.25">
      <c r="A516" s="99" t="s">
        <v>82</v>
      </c>
      <c r="B516" s="1" t="s">
        <v>737</v>
      </c>
      <c r="C516" s="1" t="s">
        <v>737</v>
      </c>
      <c r="D516" s="2" t="s">
        <v>738</v>
      </c>
      <c r="E516" s="94" t="str">
        <f t="shared" si="28"/>
        <v>GAC-S50-P100-Day20-B:PFOS</v>
      </c>
      <c r="F516" s="2" t="str">
        <f>VLOOKUP(C516,'Task 2b Sample List'!I:K,3,FALSE)</f>
        <v>GAC-S50-P100-Day20-B</v>
      </c>
      <c r="G516" s="166" t="str">
        <f t="shared" si="29"/>
        <v>GAC-S50-P100-Day20</v>
      </c>
      <c r="H516" s="2" t="str">
        <f>VLOOKUP(C516,'Task 2b Sample List'!I:L,4,FALSE)</f>
        <v>B</v>
      </c>
      <c r="I516" t="s">
        <v>193</v>
      </c>
      <c r="J516" s="2">
        <v>50</v>
      </c>
      <c r="K516" s="2">
        <v>100</v>
      </c>
      <c r="L516" s="2">
        <v>20</v>
      </c>
      <c r="M516" s="7" t="s">
        <v>26</v>
      </c>
      <c r="N516" s="2" t="s">
        <v>55</v>
      </c>
      <c r="O516" s="3" t="s">
        <v>39</v>
      </c>
      <c r="P516" s="2" t="s">
        <v>55</v>
      </c>
    </row>
    <row r="517" spans="1:16" ht="15.75" thickBot="1" x14ac:dyDescent="0.3">
      <c r="A517" s="99" t="s">
        <v>82</v>
      </c>
      <c r="B517" s="1" t="s">
        <v>737</v>
      </c>
      <c r="C517" s="1" t="s">
        <v>737</v>
      </c>
      <c r="D517" s="2" t="s">
        <v>738</v>
      </c>
      <c r="E517" s="94" t="str">
        <f t="shared" si="28"/>
        <v>GAC-S50-P100-Day20-B:8:2FTS</v>
      </c>
      <c r="F517" s="2" t="str">
        <f>VLOOKUP(C517,'Task 2b Sample List'!I:K,3,FALSE)</f>
        <v>GAC-S50-P100-Day20-B</v>
      </c>
      <c r="G517" s="166" t="str">
        <f t="shared" si="29"/>
        <v>GAC-S50-P100-Day20</v>
      </c>
      <c r="H517" s="2" t="str">
        <f>VLOOKUP(C517,'Task 2b Sample List'!I:L,4,FALSE)</f>
        <v>B</v>
      </c>
      <c r="I517" t="s">
        <v>193</v>
      </c>
      <c r="J517" s="2">
        <v>50</v>
      </c>
      <c r="K517" s="2">
        <v>100</v>
      </c>
      <c r="L517" s="2">
        <v>20</v>
      </c>
      <c r="M517" s="8" t="s">
        <v>27</v>
      </c>
      <c r="N517" s="4" t="s">
        <v>741</v>
      </c>
      <c r="O517" s="5" t="s">
        <v>39</v>
      </c>
      <c r="P517" s="2" t="s">
        <v>741</v>
      </c>
    </row>
    <row r="518" spans="1:16" x14ac:dyDescent="0.25">
      <c r="A518" s="99" t="s">
        <v>82</v>
      </c>
      <c r="B518" s="1" t="s">
        <v>742</v>
      </c>
      <c r="C518" s="1" t="s">
        <v>742</v>
      </c>
      <c r="D518" s="2" t="s">
        <v>743</v>
      </c>
      <c r="E518" s="94" t="str">
        <f t="shared" si="28"/>
        <v>GAC-S50-P100-Day20-C:PFHxA</v>
      </c>
      <c r="F518" s="2" t="str">
        <f>VLOOKUP(C518,'Task 2b Sample List'!I:K,3,FALSE)</f>
        <v>GAC-S50-P100-Day20-C</v>
      </c>
      <c r="G518" s="166" t="str">
        <f t="shared" si="29"/>
        <v>GAC-S50-P100-Day20</v>
      </c>
      <c r="H518" s="2" t="str">
        <f>VLOOKUP(C518,'Task 2b Sample List'!I:L,4,FALSE)</f>
        <v>B</v>
      </c>
      <c r="I518" t="s">
        <v>193</v>
      </c>
      <c r="J518" s="2">
        <v>50</v>
      </c>
      <c r="K518" s="2">
        <v>100</v>
      </c>
      <c r="L518" s="2">
        <v>20</v>
      </c>
      <c r="M518" s="6" t="s">
        <v>22</v>
      </c>
      <c r="N518" s="2" t="s">
        <v>744</v>
      </c>
      <c r="O518" s="3" t="s">
        <v>39</v>
      </c>
      <c r="P518" s="2" t="s">
        <v>744</v>
      </c>
    </row>
    <row r="519" spans="1:16" x14ac:dyDescent="0.25">
      <c r="A519" s="99" t="s">
        <v>82</v>
      </c>
      <c r="B519" s="1" t="s">
        <v>742</v>
      </c>
      <c r="C519" s="1" t="s">
        <v>742</v>
      </c>
      <c r="D519" s="2" t="s">
        <v>743</v>
      </c>
      <c r="E519" s="94" t="str">
        <f t="shared" si="28"/>
        <v>GAC-S50-P100-Day20-C:PFOA</v>
      </c>
      <c r="F519" s="2" t="str">
        <f>VLOOKUP(C519,'Task 2b Sample List'!I:K,3,FALSE)</f>
        <v>GAC-S50-P100-Day20-C</v>
      </c>
      <c r="G519" s="166" t="str">
        <f t="shared" si="29"/>
        <v>GAC-S50-P100-Day20</v>
      </c>
      <c r="H519" s="2" t="str">
        <f>VLOOKUP(C519,'Task 2b Sample List'!I:L,4,FALSE)</f>
        <v>B</v>
      </c>
      <c r="I519" t="s">
        <v>193</v>
      </c>
      <c r="J519" s="2">
        <v>50</v>
      </c>
      <c r="K519" s="2">
        <v>100</v>
      </c>
      <c r="L519" s="2">
        <v>20</v>
      </c>
      <c r="M519" s="7" t="s">
        <v>23</v>
      </c>
      <c r="N519" s="4" t="s">
        <v>745</v>
      </c>
      <c r="O519" s="5" t="s">
        <v>39</v>
      </c>
      <c r="P519" s="2" t="s">
        <v>745</v>
      </c>
    </row>
    <row r="520" spans="1:16" x14ac:dyDescent="0.25">
      <c r="A520" s="99" t="s">
        <v>82</v>
      </c>
      <c r="B520" s="1" t="s">
        <v>742</v>
      </c>
      <c r="C520" s="1" t="s">
        <v>742</v>
      </c>
      <c r="D520" s="2" t="s">
        <v>743</v>
      </c>
      <c r="E520" s="94" t="str">
        <f t="shared" si="28"/>
        <v>GAC-S50-P100-Day20-C:PFNA</v>
      </c>
      <c r="F520" s="2" t="str">
        <f>VLOOKUP(C520,'Task 2b Sample List'!I:K,3,FALSE)</f>
        <v>GAC-S50-P100-Day20-C</v>
      </c>
      <c r="G520" s="166" t="str">
        <f t="shared" si="29"/>
        <v>GAC-S50-P100-Day20</v>
      </c>
      <c r="H520" s="2" t="str">
        <f>VLOOKUP(C520,'Task 2b Sample List'!I:L,4,FALSE)</f>
        <v>B</v>
      </c>
      <c r="I520" t="s">
        <v>193</v>
      </c>
      <c r="J520" s="2">
        <v>50</v>
      </c>
      <c r="K520" s="2">
        <v>100</v>
      </c>
      <c r="L520" s="2">
        <v>20</v>
      </c>
      <c r="M520" s="7" t="s">
        <v>24</v>
      </c>
      <c r="N520" s="2" t="s">
        <v>437</v>
      </c>
      <c r="O520" s="3" t="s">
        <v>39</v>
      </c>
      <c r="P520" s="2" t="s">
        <v>437</v>
      </c>
    </row>
    <row r="521" spans="1:16" x14ac:dyDescent="0.25">
      <c r="A521" s="99" t="s">
        <v>82</v>
      </c>
      <c r="B521" s="1" t="s">
        <v>742</v>
      </c>
      <c r="C521" s="1" t="s">
        <v>742</v>
      </c>
      <c r="D521" s="2" t="s">
        <v>743</v>
      </c>
      <c r="E521" s="94" t="str">
        <f t="shared" si="28"/>
        <v>GAC-S50-P100-Day20-C:PFBS</v>
      </c>
      <c r="F521" s="2" t="str">
        <f>VLOOKUP(C521,'Task 2b Sample List'!I:K,3,FALSE)</f>
        <v>GAC-S50-P100-Day20-C</v>
      </c>
      <c r="G521" s="166" t="str">
        <f t="shared" si="29"/>
        <v>GAC-S50-P100-Day20</v>
      </c>
      <c r="H521" s="2" t="str">
        <f>VLOOKUP(C521,'Task 2b Sample List'!I:L,4,FALSE)</f>
        <v>B</v>
      </c>
      <c r="I521" t="s">
        <v>193</v>
      </c>
      <c r="J521" s="2">
        <v>50</v>
      </c>
      <c r="K521" s="2">
        <v>100</v>
      </c>
      <c r="L521" s="2">
        <v>20</v>
      </c>
      <c r="M521" s="7" t="s">
        <v>25</v>
      </c>
      <c r="N521" s="4" t="s">
        <v>746</v>
      </c>
      <c r="O521" s="5" t="s">
        <v>39</v>
      </c>
      <c r="P521" s="2" t="s">
        <v>746</v>
      </c>
    </row>
    <row r="522" spans="1:16" x14ac:dyDescent="0.25">
      <c r="A522" s="99" t="s">
        <v>82</v>
      </c>
      <c r="B522" s="1" t="s">
        <v>742</v>
      </c>
      <c r="C522" s="1" t="s">
        <v>742</v>
      </c>
      <c r="D522" s="2" t="s">
        <v>743</v>
      </c>
      <c r="E522" s="94" t="str">
        <f t="shared" si="28"/>
        <v>GAC-S50-P100-Day20-C:PFOS</v>
      </c>
      <c r="F522" s="2" t="str">
        <f>VLOOKUP(C522,'Task 2b Sample List'!I:K,3,FALSE)</f>
        <v>GAC-S50-P100-Day20-C</v>
      </c>
      <c r="G522" s="166" t="str">
        <f t="shared" si="29"/>
        <v>GAC-S50-P100-Day20</v>
      </c>
      <c r="H522" s="2" t="str">
        <f>VLOOKUP(C522,'Task 2b Sample List'!I:L,4,FALSE)</f>
        <v>B</v>
      </c>
      <c r="I522" t="s">
        <v>193</v>
      </c>
      <c r="J522" s="2">
        <v>50</v>
      </c>
      <c r="K522" s="2">
        <v>100</v>
      </c>
      <c r="L522" s="2">
        <v>20</v>
      </c>
      <c r="M522" s="7" t="s">
        <v>26</v>
      </c>
      <c r="N522" s="2" t="s">
        <v>747</v>
      </c>
      <c r="O522" s="3" t="s">
        <v>39</v>
      </c>
      <c r="P522" s="2" t="s">
        <v>747</v>
      </c>
    </row>
    <row r="523" spans="1:16" ht="15.75" thickBot="1" x14ac:dyDescent="0.3">
      <c r="A523" s="99" t="s">
        <v>82</v>
      </c>
      <c r="B523" s="1" t="s">
        <v>742</v>
      </c>
      <c r="C523" s="1" t="s">
        <v>742</v>
      </c>
      <c r="D523" s="2" t="s">
        <v>743</v>
      </c>
      <c r="E523" s="94" t="str">
        <f t="shared" si="28"/>
        <v>GAC-S50-P100-Day20-C:8:2FTS</v>
      </c>
      <c r="F523" s="2" t="str">
        <f>VLOOKUP(C523,'Task 2b Sample List'!I:K,3,FALSE)</f>
        <v>GAC-S50-P100-Day20-C</v>
      </c>
      <c r="G523" s="166" t="str">
        <f t="shared" si="29"/>
        <v>GAC-S50-P100-Day20</v>
      </c>
      <c r="H523" s="2" t="str">
        <f>VLOOKUP(C523,'Task 2b Sample List'!I:L,4,FALSE)</f>
        <v>B</v>
      </c>
      <c r="I523" t="s">
        <v>193</v>
      </c>
      <c r="J523" s="2">
        <v>50</v>
      </c>
      <c r="K523" s="2">
        <v>100</v>
      </c>
      <c r="L523" s="2">
        <v>20</v>
      </c>
      <c r="M523" s="8" t="s">
        <v>27</v>
      </c>
      <c r="N523" s="4" t="s">
        <v>502</v>
      </c>
      <c r="O523" s="5" t="s">
        <v>39</v>
      </c>
      <c r="P523" s="2" t="s">
        <v>502</v>
      </c>
    </row>
    <row r="524" spans="1:16" x14ac:dyDescent="0.25">
      <c r="A524" s="96" t="s">
        <v>83</v>
      </c>
      <c r="B524" s="1" t="s">
        <v>748</v>
      </c>
      <c r="C524" s="1" t="s">
        <v>748</v>
      </c>
      <c r="D524" s="2" t="s">
        <v>749</v>
      </c>
      <c r="E524" s="94" t="str">
        <f t="shared" si="28"/>
        <v>GAC-S50-P500-Day20-A:PFHxA</v>
      </c>
      <c r="F524" s="2" t="str">
        <f>VLOOKUP(C524,'Task 2b Sample List'!I:K,3,FALSE)</f>
        <v>GAC-S50-P500-Day20-A</v>
      </c>
      <c r="G524" s="166" t="str">
        <f t="shared" si="29"/>
        <v>GAC-S50-P500-Day20</v>
      </c>
      <c r="H524" s="2" t="str">
        <f>VLOOKUP(C524,'Task 2b Sample List'!I:L,4,FALSE)</f>
        <v>A</v>
      </c>
      <c r="I524" t="s">
        <v>193</v>
      </c>
      <c r="J524" s="2">
        <v>50</v>
      </c>
      <c r="K524" s="2">
        <v>500</v>
      </c>
      <c r="L524" s="2">
        <v>20</v>
      </c>
      <c r="M524" s="6" t="s">
        <v>22</v>
      </c>
      <c r="N524" s="2" t="s">
        <v>750</v>
      </c>
      <c r="O524" s="3" t="s">
        <v>39</v>
      </c>
      <c r="P524" s="2" t="s">
        <v>750</v>
      </c>
    </row>
    <row r="525" spans="1:16" x14ac:dyDescent="0.25">
      <c r="A525" s="96" t="s">
        <v>83</v>
      </c>
      <c r="B525" s="1" t="s">
        <v>748</v>
      </c>
      <c r="C525" s="1" t="s">
        <v>748</v>
      </c>
      <c r="D525" s="2" t="s">
        <v>749</v>
      </c>
      <c r="E525" s="94" t="str">
        <f t="shared" si="28"/>
        <v>GAC-S50-P500-Day20-A:PFOA</v>
      </c>
      <c r="F525" s="2" t="str">
        <f>VLOOKUP(C525,'Task 2b Sample List'!I:K,3,FALSE)</f>
        <v>GAC-S50-P500-Day20-A</v>
      </c>
      <c r="G525" s="166" t="str">
        <f t="shared" si="29"/>
        <v>GAC-S50-P500-Day20</v>
      </c>
      <c r="H525" s="2" t="str">
        <f>VLOOKUP(C525,'Task 2b Sample List'!I:L,4,FALSE)</f>
        <v>A</v>
      </c>
      <c r="I525" t="s">
        <v>193</v>
      </c>
      <c r="J525" s="2">
        <v>50</v>
      </c>
      <c r="K525" s="2">
        <v>500</v>
      </c>
      <c r="L525" s="2">
        <v>20</v>
      </c>
      <c r="M525" s="7" t="s">
        <v>23</v>
      </c>
      <c r="N525" s="4" t="s">
        <v>751</v>
      </c>
      <c r="O525" s="5" t="s">
        <v>39</v>
      </c>
      <c r="P525" s="2" t="s">
        <v>751</v>
      </c>
    </row>
    <row r="526" spans="1:16" x14ac:dyDescent="0.25">
      <c r="A526" s="96" t="s">
        <v>83</v>
      </c>
      <c r="B526" s="1" t="s">
        <v>748</v>
      </c>
      <c r="C526" s="1" t="s">
        <v>748</v>
      </c>
      <c r="D526" s="2" t="s">
        <v>749</v>
      </c>
      <c r="E526" s="94" t="str">
        <f t="shared" si="28"/>
        <v>GAC-S50-P500-Day20-A:PFNA</v>
      </c>
      <c r="F526" s="2" t="str">
        <f>VLOOKUP(C526,'Task 2b Sample List'!I:K,3,FALSE)</f>
        <v>GAC-S50-P500-Day20-A</v>
      </c>
      <c r="G526" s="166" t="str">
        <f t="shared" si="29"/>
        <v>GAC-S50-P500-Day20</v>
      </c>
      <c r="H526" s="2" t="str">
        <f>VLOOKUP(C526,'Task 2b Sample List'!I:L,4,FALSE)</f>
        <v>A</v>
      </c>
      <c r="I526" t="s">
        <v>193</v>
      </c>
      <c r="J526" s="2">
        <v>50</v>
      </c>
      <c r="K526" s="2">
        <v>500</v>
      </c>
      <c r="L526" s="2">
        <v>20</v>
      </c>
      <c r="M526" s="7" t="s">
        <v>24</v>
      </c>
      <c r="N526" s="2" t="s">
        <v>752</v>
      </c>
      <c r="O526" s="3" t="s">
        <v>39</v>
      </c>
      <c r="P526" s="2" t="s">
        <v>752</v>
      </c>
    </row>
    <row r="527" spans="1:16" x14ac:dyDescent="0.25">
      <c r="A527" s="96" t="s">
        <v>83</v>
      </c>
      <c r="B527" s="1" t="s">
        <v>748</v>
      </c>
      <c r="C527" s="1" t="s">
        <v>748</v>
      </c>
      <c r="D527" s="2" t="s">
        <v>749</v>
      </c>
      <c r="E527" s="94" t="str">
        <f t="shared" si="28"/>
        <v>GAC-S50-P500-Day20-A:PFBS</v>
      </c>
      <c r="F527" s="2" t="str">
        <f>VLOOKUP(C527,'Task 2b Sample List'!I:K,3,FALSE)</f>
        <v>GAC-S50-P500-Day20-A</v>
      </c>
      <c r="G527" s="166" t="str">
        <f t="shared" si="29"/>
        <v>GAC-S50-P500-Day20</v>
      </c>
      <c r="H527" s="2" t="str">
        <f>VLOOKUP(C527,'Task 2b Sample List'!I:L,4,FALSE)</f>
        <v>A</v>
      </c>
      <c r="I527" t="s">
        <v>193</v>
      </c>
      <c r="J527" s="2">
        <v>50</v>
      </c>
      <c r="K527" s="2">
        <v>500</v>
      </c>
      <c r="L527" s="2">
        <v>20</v>
      </c>
      <c r="M527" s="7" t="s">
        <v>25</v>
      </c>
      <c r="N527" s="4" t="s">
        <v>753</v>
      </c>
      <c r="O527" s="5" t="s">
        <v>39</v>
      </c>
      <c r="P527" s="2" t="s">
        <v>753</v>
      </c>
    </row>
    <row r="528" spans="1:16" x14ac:dyDescent="0.25">
      <c r="A528" s="96" t="s">
        <v>83</v>
      </c>
      <c r="B528" s="1" t="s">
        <v>748</v>
      </c>
      <c r="C528" s="1" t="s">
        <v>748</v>
      </c>
      <c r="D528" s="2" t="s">
        <v>749</v>
      </c>
      <c r="E528" s="94" t="str">
        <f t="shared" si="28"/>
        <v>GAC-S50-P500-Day20-A:PFOS</v>
      </c>
      <c r="F528" s="2" t="str">
        <f>VLOOKUP(C528,'Task 2b Sample List'!I:K,3,FALSE)</f>
        <v>GAC-S50-P500-Day20-A</v>
      </c>
      <c r="G528" s="166" t="str">
        <f t="shared" si="29"/>
        <v>GAC-S50-P500-Day20</v>
      </c>
      <c r="H528" s="2" t="str">
        <f>VLOOKUP(C528,'Task 2b Sample List'!I:L,4,FALSE)</f>
        <v>A</v>
      </c>
      <c r="I528" t="s">
        <v>193</v>
      </c>
      <c r="J528" s="2">
        <v>50</v>
      </c>
      <c r="K528" s="2">
        <v>500</v>
      </c>
      <c r="L528" s="2">
        <v>20</v>
      </c>
      <c r="M528" s="7" t="s">
        <v>26</v>
      </c>
      <c r="N528" s="2" t="s">
        <v>754</v>
      </c>
      <c r="O528" s="3" t="s">
        <v>39</v>
      </c>
      <c r="P528" s="2" t="s">
        <v>754</v>
      </c>
    </row>
    <row r="529" spans="1:16" ht="15.75" thickBot="1" x14ac:dyDescent="0.3">
      <c r="A529" s="96" t="s">
        <v>83</v>
      </c>
      <c r="B529" s="1" t="s">
        <v>748</v>
      </c>
      <c r="C529" s="1" t="s">
        <v>748</v>
      </c>
      <c r="D529" s="2" t="s">
        <v>749</v>
      </c>
      <c r="E529" s="94" t="str">
        <f t="shared" si="28"/>
        <v>GAC-S50-P500-Day20-A:8:2FTS</v>
      </c>
      <c r="F529" s="2" t="str">
        <f>VLOOKUP(C529,'Task 2b Sample List'!I:K,3,FALSE)</f>
        <v>GAC-S50-P500-Day20-A</v>
      </c>
      <c r="G529" s="166" t="str">
        <f t="shared" si="29"/>
        <v>GAC-S50-P500-Day20</v>
      </c>
      <c r="H529" s="2" t="str">
        <f>VLOOKUP(C529,'Task 2b Sample List'!I:L,4,FALSE)</f>
        <v>A</v>
      </c>
      <c r="I529" t="s">
        <v>193</v>
      </c>
      <c r="J529" s="2">
        <v>50</v>
      </c>
      <c r="K529" s="2">
        <v>500</v>
      </c>
      <c r="L529" s="2">
        <v>20</v>
      </c>
      <c r="M529" s="8" t="s">
        <v>27</v>
      </c>
      <c r="N529" s="4" t="s">
        <v>755</v>
      </c>
      <c r="O529" s="5" t="s">
        <v>39</v>
      </c>
      <c r="P529" s="2" t="s">
        <v>755</v>
      </c>
    </row>
    <row r="530" spans="1:16" x14ac:dyDescent="0.25">
      <c r="A530" s="96" t="s">
        <v>83</v>
      </c>
      <c r="B530" s="1" t="s">
        <v>756</v>
      </c>
      <c r="C530" s="1" t="s">
        <v>756</v>
      </c>
      <c r="D530" s="2" t="s">
        <v>757</v>
      </c>
      <c r="E530" s="94" t="str">
        <f t="shared" si="28"/>
        <v>GAC-S50-P500-Day20-B:PFHxA</v>
      </c>
      <c r="F530" s="2" t="str">
        <f>VLOOKUP(C530,'Task 2b Sample List'!I:K,3,FALSE)</f>
        <v>GAC-S50-P500-Day20-B</v>
      </c>
      <c r="G530" s="166" t="str">
        <f t="shared" ref="G530:G541" si="30">LEFT(F530,18)</f>
        <v>GAC-S50-P500-Day20</v>
      </c>
      <c r="H530" s="2" t="str">
        <f>VLOOKUP(C530,'Task 2b Sample List'!I:L,4,FALSE)</f>
        <v>A</v>
      </c>
      <c r="I530" t="s">
        <v>193</v>
      </c>
      <c r="J530" s="2">
        <v>50</v>
      </c>
      <c r="K530" s="2">
        <v>500</v>
      </c>
      <c r="L530" s="2">
        <v>20</v>
      </c>
      <c r="M530" s="6" t="s">
        <v>22</v>
      </c>
      <c r="N530" s="2" t="s">
        <v>758</v>
      </c>
      <c r="O530" s="3" t="s">
        <v>39</v>
      </c>
      <c r="P530" s="2" t="s">
        <v>758</v>
      </c>
    </row>
    <row r="531" spans="1:16" x14ac:dyDescent="0.25">
      <c r="A531" s="96" t="s">
        <v>83</v>
      </c>
      <c r="B531" s="1" t="s">
        <v>756</v>
      </c>
      <c r="C531" s="1" t="s">
        <v>756</v>
      </c>
      <c r="D531" s="2" t="s">
        <v>757</v>
      </c>
      <c r="E531" s="94" t="str">
        <f t="shared" si="28"/>
        <v>GAC-S50-P500-Day20-B:PFOA</v>
      </c>
      <c r="F531" s="2" t="str">
        <f>VLOOKUP(C531,'Task 2b Sample List'!I:K,3,FALSE)</f>
        <v>GAC-S50-P500-Day20-B</v>
      </c>
      <c r="G531" s="166" t="str">
        <f t="shared" si="30"/>
        <v>GAC-S50-P500-Day20</v>
      </c>
      <c r="H531" s="2" t="str">
        <f>VLOOKUP(C531,'Task 2b Sample List'!I:L,4,FALSE)</f>
        <v>A</v>
      </c>
      <c r="I531" t="s">
        <v>193</v>
      </c>
      <c r="J531" s="2">
        <v>50</v>
      </c>
      <c r="K531" s="2">
        <v>500</v>
      </c>
      <c r="L531" s="2">
        <v>20</v>
      </c>
      <c r="M531" s="7" t="s">
        <v>23</v>
      </c>
      <c r="N531" s="4" t="s">
        <v>759</v>
      </c>
      <c r="O531" s="5" t="s">
        <v>39</v>
      </c>
      <c r="P531" s="2" t="s">
        <v>759</v>
      </c>
    </row>
    <row r="532" spans="1:16" x14ac:dyDescent="0.25">
      <c r="A532" s="96" t="s">
        <v>83</v>
      </c>
      <c r="B532" s="1" t="s">
        <v>756</v>
      </c>
      <c r="C532" s="1" t="s">
        <v>756</v>
      </c>
      <c r="D532" s="2" t="s">
        <v>757</v>
      </c>
      <c r="E532" s="94" t="str">
        <f t="shared" si="28"/>
        <v>GAC-S50-P500-Day20-B:PFNA</v>
      </c>
      <c r="F532" s="2" t="str">
        <f>VLOOKUP(C532,'Task 2b Sample List'!I:K,3,FALSE)</f>
        <v>GAC-S50-P500-Day20-B</v>
      </c>
      <c r="G532" s="166" t="str">
        <f t="shared" si="30"/>
        <v>GAC-S50-P500-Day20</v>
      </c>
      <c r="H532" s="2" t="str">
        <f>VLOOKUP(C532,'Task 2b Sample List'!I:L,4,FALSE)</f>
        <v>A</v>
      </c>
      <c r="I532" t="s">
        <v>193</v>
      </c>
      <c r="J532" s="2">
        <v>50</v>
      </c>
      <c r="K532" s="2">
        <v>500</v>
      </c>
      <c r="L532" s="2">
        <v>20</v>
      </c>
      <c r="M532" s="7" t="s">
        <v>24</v>
      </c>
      <c r="N532" s="2" t="s">
        <v>760</v>
      </c>
      <c r="O532" s="3" t="s">
        <v>39</v>
      </c>
      <c r="P532" s="2" t="s">
        <v>760</v>
      </c>
    </row>
    <row r="533" spans="1:16" x14ac:dyDescent="0.25">
      <c r="A533" s="96" t="s">
        <v>83</v>
      </c>
      <c r="B533" s="1" t="s">
        <v>756</v>
      </c>
      <c r="C533" s="1" t="s">
        <v>756</v>
      </c>
      <c r="D533" s="2" t="s">
        <v>757</v>
      </c>
      <c r="E533" s="94" t="str">
        <f t="shared" si="28"/>
        <v>GAC-S50-P500-Day20-B:PFBS</v>
      </c>
      <c r="F533" s="2" t="str">
        <f>VLOOKUP(C533,'Task 2b Sample List'!I:K,3,FALSE)</f>
        <v>GAC-S50-P500-Day20-B</v>
      </c>
      <c r="G533" s="166" t="str">
        <f t="shared" si="30"/>
        <v>GAC-S50-P500-Day20</v>
      </c>
      <c r="H533" s="2" t="str">
        <f>VLOOKUP(C533,'Task 2b Sample List'!I:L,4,FALSE)</f>
        <v>A</v>
      </c>
      <c r="I533" t="s">
        <v>193</v>
      </c>
      <c r="J533" s="2">
        <v>50</v>
      </c>
      <c r="K533" s="2">
        <v>500</v>
      </c>
      <c r="L533" s="2">
        <v>20</v>
      </c>
      <c r="M533" s="7" t="s">
        <v>25</v>
      </c>
      <c r="N533" s="4" t="s">
        <v>761</v>
      </c>
      <c r="O533" s="5" t="s">
        <v>39</v>
      </c>
      <c r="P533" s="2" t="s">
        <v>761</v>
      </c>
    </row>
    <row r="534" spans="1:16" x14ac:dyDescent="0.25">
      <c r="A534" s="96" t="s">
        <v>83</v>
      </c>
      <c r="B534" s="1" t="s">
        <v>756</v>
      </c>
      <c r="C534" s="1" t="s">
        <v>756</v>
      </c>
      <c r="D534" s="2" t="s">
        <v>757</v>
      </c>
      <c r="E534" s="94" t="str">
        <f t="shared" si="28"/>
        <v>GAC-S50-P500-Day20-B:PFOS</v>
      </c>
      <c r="F534" s="2" t="str">
        <f>VLOOKUP(C534,'Task 2b Sample List'!I:K,3,FALSE)</f>
        <v>GAC-S50-P500-Day20-B</v>
      </c>
      <c r="G534" s="166" t="str">
        <f t="shared" si="30"/>
        <v>GAC-S50-P500-Day20</v>
      </c>
      <c r="H534" s="2" t="str">
        <f>VLOOKUP(C534,'Task 2b Sample List'!I:L,4,FALSE)</f>
        <v>A</v>
      </c>
      <c r="I534" t="s">
        <v>193</v>
      </c>
      <c r="J534" s="2">
        <v>50</v>
      </c>
      <c r="K534" s="2">
        <v>500</v>
      </c>
      <c r="L534" s="2">
        <v>20</v>
      </c>
      <c r="M534" s="7" t="s">
        <v>26</v>
      </c>
      <c r="N534" s="2" t="s">
        <v>762</v>
      </c>
      <c r="O534" s="3" t="s">
        <v>39</v>
      </c>
      <c r="P534" s="2" t="s">
        <v>762</v>
      </c>
    </row>
    <row r="535" spans="1:16" ht="15.75" thickBot="1" x14ac:dyDescent="0.3">
      <c r="A535" s="96" t="s">
        <v>83</v>
      </c>
      <c r="B535" s="1" t="s">
        <v>756</v>
      </c>
      <c r="C535" s="1" t="s">
        <v>756</v>
      </c>
      <c r="D535" s="2" t="s">
        <v>757</v>
      </c>
      <c r="E535" s="94" t="str">
        <f t="shared" si="28"/>
        <v>GAC-S50-P500-Day20-B:8:2FTS</v>
      </c>
      <c r="F535" s="2" t="str">
        <f>VLOOKUP(C535,'Task 2b Sample List'!I:K,3,FALSE)</f>
        <v>GAC-S50-P500-Day20-B</v>
      </c>
      <c r="G535" s="166" t="str">
        <f t="shared" si="30"/>
        <v>GAC-S50-P500-Day20</v>
      </c>
      <c r="H535" s="2" t="str">
        <f>VLOOKUP(C535,'Task 2b Sample List'!I:L,4,FALSE)</f>
        <v>A</v>
      </c>
      <c r="I535" t="s">
        <v>193</v>
      </c>
      <c r="J535" s="2">
        <v>50</v>
      </c>
      <c r="K535" s="2">
        <v>500</v>
      </c>
      <c r="L535" s="2">
        <v>20</v>
      </c>
      <c r="M535" s="8" t="s">
        <v>27</v>
      </c>
      <c r="N535" s="4" t="s">
        <v>763</v>
      </c>
      <c r="O535" s="5" t="s">
        <v>39</v>
      </c>
      <c r="P535" s="2" t="s">
        <v>763</v>
      </c>
    </row>
    <row r="536" spans="1:16" x14ac:dyDescent="0.25">
      <c r="A536" s="96" t="s">
        <v>83</v>
      </c>
      <c r="B536" s="1" t="s">
        <v>764</v>
      </c>
      <c r="C536" s="1" t="s">
        <v>764</v>
      </c>
      <c r="D536" s="2" t="s">
        <v>765</v>
      </c>
      <c r="E536" s="94" t="str">
        <f t="shared" si="28"/>
        <v>GAC-S50-P500-Day20-C:PFHxA</v>
      </c>
      <c r="F536" s="2" t="str">
        <f>VLOOKUP(C536,'Task 2b Sample List'!I:K,3,FALSE)</f>
        <v>GAC-S50-P500-Day20-C</v>
      </c>
      <c r="G536" s="166" t="str">
        <f t="shared" si="30"/>
        <v>GAC-S50-P500-Day20</v>
      </c>
      <c r="H536" s="2" t="str">
        <f>VLOOKUP(C536,'Task 2b Sample List'!I:L,4,FALSE)</f>
        <v>A</v>
      </c>
      <c r="I536" t="s">
        <v>193</v>
      </c>
      <c r="J536" s="2">
        <v>50</v>
      </c>
      <c r="K536" s="2">
        <v>500</v>
      </c>
      <c r="L536" s="2">
        <v>20</v>
      </c>
      <c r="M536" s="6" t="s">
        <v>22</v>
      </c>
      <c r="N536" s="2" t="s">
        <v>766</v>
      </c>
      <c r="O536" s="3" t="s">
        <v>39</v>
      </c>
      <c r="P536" s="2" t="s">
        <v>766</v>
      </c>
    </row>
    <row r="537" spans="1:16" x14ac:dyDescent="0.25">
      <c r="A537" s="96" t="s">
        <v>83</v>
      </c>
      <c r="B537" s="1" t="s">
        <v>764</v>
      </c>
      <c r="C537" s="1" t="s">
        <v>764</v>
      </c>
      <c r="D537" s="2" t="s">
        <v>765</v>
      </c>
      <c r="E537" s="94" t="str">
        <f t="shared" si="28"/>
        <v>GAC-S50-P500-Day20-C:PFOA</v>
      </c>
      <c r="F537" s="2" t="str">
        <f>VLOOKUP(C537,'Task 2b Sample List'!I:K,3,FALSE)</f>
        <v>GAC-S50-P500-Day20-C</v>
      </c>
      <c r="G537" s="166" t="str">
        <f t="shared" si="30"/>
        <v>GAC-S50-P500-Day20</v>
      </c>
      <c r="H537" s="2" t="str">
        <f>VLOOKUP(C537,'Task 2b Sample List'!I:L,4,FALSE)</f>
        <v>A</v>
      </c>
      <c r="I537" t="s">
        <v>193</v>
      </c>
      <c r="J537" s="2">
        <v>50</v>
      </c>
      <c r="K537" s="2">
        <v>500</v>
      </c>
      <c r="L537" s="2">
        <v>20</v>
      </c>
      <c r="M537" s="7" t="s">
        <v>23</v>
      </c>
      <c r="N537" s="4" t="s">
        <v>767</v>
      </c>
      <c r="O537" s="5" t="s">
        <v>39</v>
      </c>
      <c r="P537" s="2" t="s">
        <v>767</v>
      </c>
    </row>
    <row r="538" spans="1:16" x14ac:dyDescent="0.25">
      <c r="A538" s="96" t="s">
        <v>83</v>
      </c>
      <c r="B538" s="1" t="s">
        <v>764</v>
      </c>
      <c r="C538" s="1" t="s">
        <v>764</v>
      </c>
      <c r="D538" s="2" t="s">
        <v>765</v>
      </c>
      <c r="E538" s="94" t="str">
        <f t="shared" si="28"/>
        <v>GAC-S50-P500-Day20-C:PFNA</v>
      </c>
      <c r="F538" s="2" t="str">
        <f>VLOOKUP(C538,'Task 2b Sample List'!I:K,3,FALSE)</f>
        <v>GAC-S50-P500-Day20-C</v>
      </c>
      <c r="G538" s="166" t="str">
        <f t="shared" si="30"/>
        <v>GAC-S50-P500-Day20</v>
      </c>
      <c r="H538" s="2" t="str">
        <f>VLOOKUP(C538,'Task 2b Sample List'!I:L,4,FALSE)</f>
        <v>A</v>
      </c>
      <c r="I538" t="s">
        <v>193</v>
      </c>
      <c r="J538" s="2">
        <v>50</v>
      </c>
      <c r="K538" s="2">
        <v>500</v>
      </c>
      <c r="L538" s="2">
        <v>20</v>
      </c>
      <c r="M538" s="7" t="s">
        <v>24</v>
      </c>
      <c r="N538" s="2" t="s">
        <v>768</v>
      </c>
      <c r="O538" s="3" t="s">
        <v>39</v>
      </c>
      <c r="P538" s="2" t="s">
        <v>768</v>
      </c>
    </row>
    <row r="539" spans="1:16" x14ac:dyDescent="0.25">
      <c r="A539" s="96" t="s">
        <v>83</v>
      </c>
      <c r="B539" s="1" t="s">
        <v>764</v>
      </c>
      <c r="C539" s="1" t="s">
        <v>764</v>
      </c>
      <c r="D539" s="2" t="s">
        <v>765</v>
      </c>
      <c r="E539" s="94" t="str">
        <f t="shared" si="28"/>
        <v>GAC-S50-P500-Day20-C:PFBS</v>
      </c>
      <c r="F539" s="2" t="str">
        <f>VLOOKUP(C539,'Task 2b Sample List'!I:K,3,FALSE)</f>
        <v>GAC-S50-P500-Day20-C</v>
      </c>
      <c r="G539" s="166" t="str">
        <f t="shared" si="30"/>
        <v>GAC-S50-P500-Day20</v>
      </c>
      <c r="H539" s="2" t="str">
        <f>VLOOKUP(C539,'Task 2b Sample List'!I:L,4,FALSE)</f>
        <v>A</v>
      </c>
      <c r="I539" t="s">
        <v>193</v>
      </c>
      <c r="J539" s="2">
        <v>50</v>
      </c>
      <c r="K539" s="2">
        <v>500</v>
      </c>
      <c r="L539" s="2">
        <v>20</v>
      </c>
      <c r="M539" s="7" t="s">
        <v>25</v>
      </c>
      <c r="N539" s="4" t="s">
        <v>769</v>
      </c>
      <c r="O539" s="5" t="s">
        <v>39</v>
      </c>
      <c r="P539" s="2" t="s">
        <v>769</v>
      </c>
    </row>
    <row r="540" spans="1:16" x14ac:dyDescent="0.25">
      <c r="A540" s="96" t="s">
        <v>83</v>
      </c>
      <c r="B540" s="1" t="s">
        <v>764</v>
      </c>
      <c r="C540" s="1" t="s">
        <v>764</v>
      </c>
      <c r="D540" s="2" t="s">
        <v>765</v>
      </c>
      <c r="E540" s="94" t="str">
        <f t="shared" si="28"/>
        <v>GAC-S50-P500-Day20-C:PFOS</v>
      </c>
      <c r="F540" s="2" t="str">
        <f>VLOOKUP(C540,'Task 2b Sample List'!I:K,3,FALSE)</f>
        <v>GAC-S50-P500-Day20-C</v>
      </c>
      <c r="G540" s="166" t="str">
        <f t="shared" si="30"/>
        <v>GAC-S50-P500-Day20</v>
      </c>
      <c r="H540" s="2" t="str">
        <f>VLOOKUP(C540,'Task 2b Sample List'!I:L,4,FALSE)</f>
        <v>A</v>
      </c>
      <c r="I540" t="s">
        <v>193</v>
      </c>
      <c r="J540" s="2">
        <v>50</v>
      </c>
      <c r="K540" s="2">
        <v>500</v>
      </c>
      <c r="L540" s="2">
        <v>20</v>
      </c>
      <c r="M540" s="7" t="s">
        <v>26</v>
      </c>
      <c r="N540" s="2" t="s">
        <v>770</v>
      </c>
      <c r="O540" s="3" t="s">
        <v>39</v>
      </c>
      <c r="P540" s="2" t="s">
        <v>770</v>
      </c>
    </row>
    <row r="541" spans="1:16" ht="15.75" thickBot="1" x14ac:dyDescent="0.3">
      <c r="A541" s="96" t="s">
        <v>83</v>
      </c>
      <c r="B541" s="1" t="s">
        <v>764</v>
      </c>
      <c r="C541" s="1" t="s">
        <v>764</v>
      </c>
      <c r="D541" s="2" t="s">
        <v>765</v>
      </c>
      <c r="E541" s="94" t="str">
        <f t="shared" si="28"/>
        <v>GAC-S50-P500-Day20-C:8:2FTS</v>
      </c>
      <c r="F541" s="2" t="str">
        <f>VLOOKUP(C541,'Task 2b Sample List'!I:K,3,FALSE)</f>
        <v>GAC-S50-P500-Day20-C</v>
      </c>
      <c r="G541" s="166" t="str">
        <f t="shared" si="30"/>
        <v>GAC-S50-P500-Day20</v>
      </c>
      <c r="H541" s="2" t="str">
        <f>VLOOKUP(C541,'Task 2b Sample List'!I:L,4,FALSE)</f>
        <v>A</v>
      </c>
      <c r="I541" t="s">
        <v>193</v>
      </c>
      <c r="J541" s="2">
        <v>50</v>
      </c>
      <c r="K541" s="2">
        <v>500</v>
      </c>
      <c r="L541" s="2">
        <v>20</v>
      </c>
      <c r="M541" s="8" t="s">
        <v>27</v>
      </c>
      <c r="N541" s="4" t="s">
        <v>771</v>
      </c>
      <c r="O541" s="5" t="s">
        <v>39</v>
      </c>
      <c r="P541" s="2" t="s">
        <v>771</v>
      </c>
    </row>
    <row r="542" spans="1:16" x14ac:dyDescent="0.25">
      <c r="A542" s="96" t="s">
        <v>83</v>
      </c>
      <c r="B542" s="1" t="s">
        <v>772</v>
      </c>
      <c r="C542" s="1" t="s">
        <v>772</v>
      </c>
      <c r="D542" s="2" t="s">
        <v>773</v>
      </c>
      <c r="E542" s="94" t="str">
        <f t="shared" si="28"/>
        <v>OTS-S50-P0-Day20-A:PFHxA</v>
      </c>
      <c r="F542" s="2" t="str">
        <f>VLOOKUP(C542,'Task 2b Sample List'!I:K,3,FALSE)</f>
        <v>OTS-S50-P0-Day20-A</v>
      </c>
      <c r="G542" s="166" t="str">
        <f t="shared" ref="G542:G559" si="31">LEFT(F542,16)</f>
        <v>OTS-S50-P0-Day20</v>
      </c>
      <c r="H542" s="2" t="str">
        <f>VLOOKUP(C542,'Task 2b Sample List'!I:L,4,FALSE)</f>
        <v>B</v>
      </c>
      <c r="I542" t="s">
        <v>196</v>
      </c>
      <c r="J542" s="2">
        <v>50</v>
      </c>
      <c r="K542" s="2">
        <v>0</v>
      </c>
      <c r="L542" s="2">
        <v>20</v>
      </c>
      <c r="M542" s="6" t="s">
        <v>22</v>
      </c>
      <c r="N542" s="2" t="s">
        <v>774</v>
      </c>
      <c r="O542" s="3" t="s">
        <v>7</v>
      </c>
      <c r="P542" s="2">
        <v>0</v>
      </c>
    </row>
    <row r="543" spans="1:16" x14ac:dyDescent="0.25">
      <c r="A543" s="96" t="s">
        <v>83</v>
      </c>
      <c r="B543" s="1" t="s">
        <v>772</v>
      </c>
      <c r="C543" s="1" t="s">
        <v>772</v>
      </c>
      <c r="D543" s="2" t="s">
        <v>773</v>
      </c>
      <c r="E543" s="94" t="str">
        <f t="shared" si="28"/>
        <v>OTS-S50-P0-Day20-A:PFOA</v>
      </c>
      <c r="F543" s="2" t="str">
        <f>VLOOKUP(C543,'Task 2b Sample List'!I:K,3,FALSE)</f>
        <v>OTS-S50-P0-Day20-A</v>
      </c>
      <c r="G543" s="166" t="str">
        <f t="shared" si="31"/>
        <v>OTS-S50-P0-Day20</v>
      </c>
      <c r="H543" s="2" t="str">
        <f>VLOOKUP(C543,'Task 2b Sample List'!I:L,4,FALSE)</f>
        <v>B</v>
      </c>
      <c r="I543" t="s">
        <v>196</v>
      </c>
      <c r="J543" s="2">
        <v>50</v>
      </c>
      <c r="K543" s="2">
        <v>0</v>
      </c>
      <c r="L543" s="2">
        <v>20</v>
      </c>
      <c r="M543" s="7" t="s">
        <v>23</v>
      </c>
      <c r="N543" s="4" t="s">
        <v>775</v>
      </c>
      <c r="O543" s="5" t="s">
        <v>7</v>
      </c>
      <c r="P543" s="2">
        <v>0</v>
      </c>
    </row>
    <row r="544" spans="1:16" x14ac:dyDescent="0.25">
      <c r="A544" s="96" t="s">
        <v>83</v>
      </c>
      <c r="B544" s="1" t="s">
        <v>772</v>
      </c>
      <c r="C544" s="1" t="s">
        <v>772</v>
      </c>
      <c r="D544" s="2" t="s">
        <v>773</v>
      </c>
      <c r="E544" s="94" t="str">
        <f t="shared" si="28"/>
        <v>OTS-S50-P0-Day20-A:PFNA</v>
      </c>
      <c r="F544" s="2" t="str">
        <f>VLOOKUP(C544,'Task 2b Sample List'!I:K,3,FALSE)</f>
        <v>OTS-S50-P0-Day20-A</v>
      </c>
      <c r="G544" s="166" t="str">
        <f t="shared" si="31"/>
        <v>OTS-S50-P0-Day20</v>
      </c>
      <c r="H544" s="2" t="str">
        <f>VLOOKUP(C544,'Task 2b Sample List'!I:L,4,FALSE)</f>
        <v>B</v>
      </c>
      <c r="I544" t="s">
        <v>196</v>
      </c>
      <c r="J544" s="2">
        <v>50</v>
      </c>
      <c r="K544" s="2">
        <v>0</v>
      </c>
      <c r="L544" s="2">
        <v>20</v>
      </c>
      <c r="M544" s="7" t="s">
        <v>24</v>
      </c>
      <c r="N544" s="2" t="s">
        <v>776</v>
      </c>
      <c r="O544" s="3" t="s">
        <v>7</v>
      </c>
      <c r="P544" s="2">
        <v>0</v>
      </c>
    </row>
    <row r="545" spans="1:16" x14ac:dyDescent="0.25">
      <c r="A545" s="96" t="s">
        <v>83</v>
      </c>
      <c r="B545" s="1" t="s">
        <v>772</v>
      </c>
      <c r="C545" s="1" t="s">
        <v>772</v>
      </c>
      <c r="D545" s="2" t="s">
        <v>773</v>
      </c>
      <c r="E545" s="94" t="str">
        <f t="shared" si="28"/>
        <v>OTS-S50-P0-Day20-A:PFBS</v>
      </c>
      <c r="F545" s="2" t="str">
        <f>VLOOKUP(C545,'Task 2b Sample List'!I:K,3,FALSE)</f>
        <v>OTS-S50-P0-Day20-A</v>
      </c>
      <c r="G545" s="166" t="str">
        <f t="shared" si="31"/>
        <v>OTS-S50-P0-Day20</v>
      </c>
      <c r="H545" s="2" t="str">
        <f>VLOOKUP(C545,'Task 2b Sample List'!I:L,4,FALSE)</f>
        <v>B</v>
      </c>
      <c r="I545" t="s">
        <v>196</v>
      </c>
      <c r="J545" s="2">
        <v>50</v>
      </c>
      <c r="K545" s="2">
        <v>0</v>
      </c>
      <c r="L545" s="2">
        <v>20</v>
      </c>
      <c r="M545" s="7" t="s">
        <v>25</v>
      </c>
      <c r="N545" s="4" t="s">
        <v>777</v>
      </c>
      <c r="O545" s="5" t="s">
        <v>7</v>
      </c>
      <c r="P545" s="2">
        <v>0</v>
      </c>
    </row>
    <row r="546" spans="1:16" x14ac:dyDescent="0.25">
      <c r="A546" s="96" t="s">
        <v>83</v>
      </c>
      <c r="B546" s="1" t="s">
        <v>772</v>
      </c>
      <c r="C546" s="1" t="s">
        <v>772</v>
      </c>
      <c r="D546" s="2" t="s">
        <v>773</v>
      </c>
      <c r="E546" s="94" t="str">
        <f t="shared" si="28"/>
        <v>OTS-S50-P0-Day20-A:PFOS</v>
      </c>
      <c r="F546" s="2" t="str">
        <f>VLOOKUP(C546,'Task 2b Sample List'!I:K,3,FALSE)</f>
        <v>OTS-S50-P0-Day20-A</v>
      </c>
      <c r="G546" s="166" t="str">
        <f t="shared" si="31"/>
        <v>OTS-S50-P0-Day20</v>
      </c>
      <c r="H546" s="2" t="str">
        <f>VLOOKUP(C546,'Task 2b Sample List'!I:L,4,FALSE)</f>
        <v>B</v>
      </c>
      <c r="I546" t="s">
        <v>196</v>
      </c>
      <c r="J546" s="2">
        <v>50</v>
      </c>
      <c r="K546" s="2">
        <v>0</v>
      </c>
      <c r="L546" s="2">
        <v>20</v>
      </c>
      <c r="M546" s="7" t="s">
        <v>26</v>
      </c>
      <c r="N546" s="2" t="s">
        <v>778</v>
      </c>
      <c r="O546" s="3" t="s">
        <v>7</v>
      </c>
      <c r="P546" s="2">
        <v>0</v>
      </c>
    </row>
    <row r="547" spans="1:16" ht="15.75" thickBot="1" x14ac:dyDescent="0.3">
      <c r="A547" s="96" t="s">
        <v>83</v>
      </c>
      <c r="B547" s="1" t="s">
        <v>772</v>
      </c>
      <c r="C547" s="1" t="s">
        <v>772</v>
      </c>
      <c r="D547" s="2" t="s">
        <v>773</v>
      </c>
      <c r="E547" s="94" t="str">
        <f t="shared" si="28"/>
        <v>OTS-S50-P0-Day20-A:8:2FTS</v>
      </c>
      <c r="F547" s="2" t="str">
        <f>VLOOKUP(C547,'Task 2b Sample List'!I:K,3,FALSE)</f>
        <v>OTS-S50-P0-Day20-A</v>
      </c>
      <c r="G547" s="166" t="str">
        <f t="shared" si="31"/>
        <v>OTS-S50-P0-Day20</v>
      </c>
      <c r="H547" s="2" t="str">
        <f>VLOOKUP(C547,'Task 2b Sample List'!I:L,4,FALSE)</f>
        <v>B</v>
      </c>
      <c r="I547" t="s">
        <v>196</v>
      </c>
      <c r="J547" s="2">
        <v>50</v>
      </c>
      <c r="K547" s="2">
        <v>0</v>
      </c>
      <c r="L547" s="2">
        <v>20</v>
      </c>
      <c r="M547" s="8" t="s">
        <v>27</v>
      </c>
      <c r="N547" s="4" t="s">
        <v>18</v>
      </c>
      <c r="O547" s="5" t="s">
        <v>7</v>
      </c>
      <c r="P547" s="2">
        <v>0</v>
      </c>
    </row>
    <row r="548" spans="1:16" x14ac:dyDescent="0.25">
      <c r="A548" s="96" t="s">
        <v>83</v>
      </c>
      <c r="B548" s="1" t="s">
        <v>779</v>
      </c>
      <c r="C548" s="1" t="s">
        <v>779</v>
      </c>
      <c r="D548" s="2" t="s">
        <v>780</v>
      </c>
      <c r="E548" s="94" t="str">
        <f t="shared" si="28"/>
        <v>OTS-S50-P0-Day20-B:PFHxA</v>
      </c>
      <c r="F548" s="2" t="str">
        <f>VLOOKUP(C548,'Task 2b Sample List'!I:K,3,FALSE)</f>
        <v>OTS-S50-P0-Day20-B</v>
      </c>
      <c r="G548" s="166" t="str">
        <f t="shared" si="31"/>
        <v>OTS-S50-P0-Day20</v>
      </c>
      <c r="H548" s="2" t="str">
        <f>VLOOKUP(C548,'Task 2b Sample List'!I:L,4,FALSE)</f>
        <v>B</v>
      </c>
      <c r="I548" t="s">
        <v>196</v>
      </c>
      <c r="J548" s="2">
        <v>50</v>
      </c>
      <c r="K548" s="2">
        <v>0</v>
      </c>
      <c r="L548" s="2">
        <v>20</v>
      </c>
      <c r="M548" s="6" t="s">
        <v>22</v>
      </c>
      <c r="N548" s="2" t="s">
        <v>360</v>
      </c>
      <c r="O548" s="3" t="s">
        <v>7</v>
      </c>
      <c r="P548" s="2">
        <v>0</v>
      </c>
    </row>
    <row r="549" spans="1:16" x14ac:dyDescent="0.25">
      <c r="A549" s="96" t="s">
        <v>83</v>
      </c>
      <c r="B549" s="1" t="s">
        <v>779</v>
      </c>
      <c r="C549" s="1" t="s">
        <v>779</v>
      </c>
      <c r="D549" s="2" t="s">
        <v>780</v>
      </c>
      <c r="E549" s="94" t="str">
        <f t="shared" si="28"/>
        <v>OTS-S50-P0-Day20-B:PFOA</v>
      </c>
      <c r="F549" s="2" t="str">
        <f>VLOOKUP(C549,'Task 2b Sample List'!I:K,3,FALSE)</f>
        <v>OTS-S50-P0-Day20-B</v>
      </c>
      <c r="G549" s="166" t="str">
        <f t="shared" si="31"/>
        <v>OTS-S50-P0-Day20</v>
      </c>
      <c r="H549" s="2" t="str">
        <f>VLOOKUP(C549,'Task 2b Sample List'!I:L,4,FALSE)</f>
        <v>B</v>
      </c>
      <c r="I549" t="s">
        <v>196</v>
      </c>
      <c r="J549" s="2">
        <v>50</v>
      </c>
      <c r="K549" s="2">
        <v>0</v>
      </c>
      <c r="L549" s="2">
        <v>20</v>
      </c>
      <c r="M549" s="7" t="s">
        <v>23</v>
      </c>
      <c r="N549" s="4" t="s">
        <v>781</v>
      </c>
      <c r="O549" s="5" t="s">
        <v>7</v>
      </c>
      <c r="P549" s="2">
        <v>0</v>
      </c>
    </row>
    <row r="550" spans="1:16" x14ac:dyDescent="0.25">
      <c r="A550" s="96" t="s">
        <v>83</v>
      </c>
      <c r="B550" s="1" t="s">
        <v>779</v>
      </c>
      <c r="C550" s="1" t="s">
        <v>779</v>
      </c>
      <c r="D550" s="2" t="s">
        <v>780</v>
      </c>
      <c r="E550" s="94" t="str">
        <f t="shared" si="28"/>
        <v>OTS-S50-P0-Day20-B:PFNA</v>
      </c>
      <c r="F550" s="2" t="str">
        <f>VLOOKUP(C550,'Task 2b Sample List'!I:K,3,FALSE)</f>
        <v>OTS-S50-P0-Day20-B</v>
      </c>
      <c r="G550" s="166" t="str">
        <f t="shared" si="31"/>
        <v>OTS-S50-P0-Day20</v>
      </c>
      <c r="H550" s="2" t="str">
        <f>VLOOKUP(C550,'Task 2b Sample List'!I:L,4,FALSE)</f>
        <v>B</v>
      </c>
      <c r="I550" t="s">
        <v>196</v>
      </c>
      <c r="J550" s="2">
        <v>50</v>
      </c>
      <c r="K550" s="2">
        <v>0</v>
      </c>
      <c r="L550" s="2">
        <v>20</v>
      </c>
      <c r="M550" s="7" t="s">
        <v>24</v>
      </c>
      <c r="N550" s="2" t="s">
        <v>782</v>
      </c>
      <c r="O550" s="3" t="s">
        <v>7</v>
      </c>
      <c r="P550" s="2">
        <v>0</v>
      </c>
    </row>
    <row r="551" spans="1:16" x14ac:dyDescent="0.25">
      <c r="A551" s="96" t="s">
        <v>83</v>
      </c>
      <c r="B551" s="1" t="s">
        <v>779</v>
      </c>
      <c r="C551" s="1" t="s">
        <v>779</v>
      </c>
      <c r="D551" s="2" t="s">
        <v>780</v>
      </c>
      <c r="E551" s="94" t="str">
        <f t="shared" si="28"/>
        <v>OTS-S50-P0-Day20-B:PFBS</v>
      </c>
      <c r="F551" s="2" t="str">
        <f>VLOOKUP(C551,'Task 2b Sample List'!I:K,3,FALSE)</f>
        <v>OTS-S50-P0-Day20-B</v>
      </c>
      <c r="G551" s="166" t="str">
        <f t="shared" si="31"/>
        <v>OTS-S50-P0-Day20</v>
      </c>
      <c r="H551" s="2" t="str">
        <f>VLOOKUP(C551,'Task 2b Sample List'!I:L,4,FALSE)</f>
        <v>B</v>
      </c>
      <c r="I551" t="s">
        <v>196</v>
      </c>
      <c r="J551" s="2">
        <v>50</v>
      </c>
      <c r="K551" s="2">
        <v>0</v>
      </c>
      <c r="L551" s="2">
        <v>20</v>
      </c>
      <c r="M551" s="7" t="s">
        <v>25</v>
      </c>
      <c r="N551" s="4" t="s">
        <v>783</v>
      </c>
      <c r="O551" s="5" t="s">
        <v>7</v>
      </c>
      <c r="P551" s="2">
        <v>0</v>
      </c>
    </row>
    <row r="552" spans="1:16" x14ac:dyDescent="0.25">
      <c r="A552" s="96" t="s">
        <v>83</v>
      </c>
      <c r="B552" s="1" t="s">
        <v>779</v>
      </c>
      <c r="C552" s="1" t="s">
        <v>779</v>
      </c>
      <c r="D552" s="2" t="s">
        <v>780</v>
      </c>
      <c r="E552" s="94" t="str">
        <f t="shared" si="28"/>
        <v>OTS-S50-P0-Day20-B:PFOS</v>
      </c>
      <c r="F552" s="2" t="str">
        <f>VLOOKUP(C552,'Task 2b Sample List'!I:K,3,FALSE)</f>
        <v>OTS-S50-P0-Day20-B</v>
      </c>
      <c r="G552" s="166" t="str">
        <f t="shared" si="31"/>
        <v>OTS-S50-P0-Day20</v>
      </c>
      <c r="H552" s="2" t="str">
        <f>VLOOKUP(C552,'Task 2b Sample List'!I:L,4,FALSE)</f>
        <v>B</v>
      </c>
      <c r="I552" t="s">
        <v>196</v>
      </c>
      <c r="J552" s="2">
        <v>50</v>
      </c>
      <c r="K552" s="2">
        <v>0</v>
      </c>
      <c r="L552" s="2">
        <v>20</v>
      </c>
      <c r="M552" s="7" t="s">
        <v>26</v>
      </c>
      <c r="N552" s="2" t="s">
        <v>784</v>
      </c>
      <c r="O552" s="3" t="s">
        <v>7</v>
      </c>
      <c r="P552" s="2">
        <v>0</v>
      </c>
    </row>
    <row r="553" spans="1:16" ht="15.75" thickBot="1" x14ac:dyDescent="0.3">
      <c r="A553" s="96" t="s">
        <v>83</v>
      </c>
      <c r="B553" s="1" t="s">
        <v>779</v>
      </c>
      <c r="C553" s="1" t="s">
        <v>779</v>
      </c>
      <c r="D553" s="2" t="s">
        <v>780</v>
      </c>
      <c r="E553" s="94" t="str">
        <f t="shared" si="28"/>
        <v>OTS-S50-P0-Day20-B:8:2FTS</v>
      </c>
      <c r="F553" s="2" t="str">
        <f>VLOOKUP(C553,'Task 2b Sample List'!I:K,3,FALSE)</f>
        <v>OTS-S50-P0-Day20-B</v>
      </c>
      <c r="G553" s="166" t="str">
        <f t="shared" si="31"/>
        <v>OTS-S50-P0-Day20</v>
      </c>
      <c r="H553" s="2" t="str">
        <f>VLOOKUP(C553,'Task 2b Sample List'!I:L,4,FALSE)</f>
        <v>B</v>
      </c>
      <c r="I553" t="s">
        <v>196</v>
      </c>
      <c r="J553" s="2">
        <v>50</v>
      </c>
      <c r="K553" s="2">
        <v>0</v>
      </c>
      <c r="L553" s="2">
        <v>20</v>
      </c>
      <c r="M553" s="8" t="s">
        <v>27</v>
      </c>
      <c r="N553" s="4" t="s">
        <v>785</v>
      </c>
      <c r="O553" s="5" t="s">
        <v>7</v>
      </c>
      <c r="P553" s="2">
        <v>0</v>
      </c>
    </row>
    <row r="554" spans="1:16" x14ac:dyDescent="0.25">
      <c r="A554" s="96" t="s">
        <v>83</v>
      </c>
      <c r="B554" s="1" t="s">
        <v>786</v>
      </c>
      <c r="C554" s="1" t="s">
        <v>786</v>
      </c>
      <c r="D554" s="2" t="s">
        <v>787</v>
      </c>
      <c r="E554" s="94" t="str">
        <f t="shared" si="28"/>
        <v>OTS-S50-P0-Day20-C:PFHxA</v>
      </c>
      <c r="F554" s="2" t="str">
        <f>VLOOKUP(C554,'Task 2b Sample List'!I:K,3,FALSE)</f>
        <v>OTS-S50-P0-Day20-C</v>
      </c>
      <c r="G554" s="166" t="str">
        <f t="shared" si="31"/>
        <v>OTS-S50-P0-Day20</v>
      </c>
      <c r="H554" s="2" t="str">
        <f>VLOOKUP(C554,'Task 2b Sample List'!I:L,4,FALSE)</f>
        <v>B</v>
      </c>
      <c r="I554" t="s">
        <v>196</v>
      </c>
      <c r="J554" s="2">
        <v>50</v>
      </c>
      <c r="K554" s="2">
        <v>0</v>
      </c>
      <c r="L554" s="2">
        <v>20</v>
      </c>
      <c r="M554" s="6" t="s">
        <v>22</v>
      </c>
      <c r="N554" s="2" t="s">
        <v>588</v>
      </c>
      <c r="O554" s="3" t="s">
        <v>7</v>
      </c>
      <c r="P554" s="2">
        <v>0</v>
      </c>
    </row>
    <row r="555" spans="1:16" x14ac:dyDescent="0.25">
      <c r="A555" s="96" t="s">
        <v>83</v>
      </c>
      <c r="B555" s="1" t="s">
        <v>786</v>
      </c>
      <c r="C555" s="1" t="s">
        <v>786</v>
      </c>
      <c r="D555" s="2" t="s">
        <v>787</v>
      </c>
      <c r="E555" s="94" t="str">
        <f t="shared" si="28"/>
        <v>OTS-S50-P0-Day20-C:PFOA</v>
      </c>
      <c r="F555" s="2" t="str">
        <f>VLOOKUP(C555,'Task 2b Sample List'!I:K,3,FALSE)</f>
        <v>OTS-S50-P0-Day20-C</v>
      </c>
      <c r="G555" s="166" t="str">
        <f t="shared" si="31"/>
        <v>OTS-S50-P0-Day20</v>
      </c>
      <c r="H555" s="2" t="str">
        <f>VLOOKUP(C555,'Task 2b Sample List'!I:L,4,FALSE)</f>
        <v>B</v>
      </c>
      <c r="I555" t="s">
        <v>196</v>
      </c>
      <c r="J555" s="2">
        <v>50</v>
      </c>
      <c r="K555" s="2">
        <v>0</v>
      </c>
      <c r="L555" s="2">
        <v>20</v>
      </c>
      <c r="M555" s="7" t="s">
        <v>23</v>
      </c>
      <c r="N555" s="4" t="s">
        <v>788</v>
      </c>
      <c r="O555" s="5" t="s">
        <v>7</v>
      </c>
      <c r="P555" s="2">
        <v>0</v>
      </c>
    </row>
    <row r="556" spans="1:16" x14ac:dyDescent="0.25">
      <c r="A556" s="96" t="s">
        <v>83</v>
      </c>
      <c r="B556" s="1" t="s">
        <v>786</v>
      </c>
      <c r="C556" s="1" t="s">
        <v>786</v>
      </c>
      <c r="D556" s="2" t="s">
        <v>787</v>
      </c>
      <c r="E556" s="94" t="str">
        <f t="shared" si="28"/>
        <v>OTS-S50-P0-Day20-C:PFNA</v>
      </c>
      <c r="F556" s="2" t="str">
        <f>VLOOKUP(C556,'Task 2b Sample List'!I:K,3,FALSE)</f>
        <v>OTS-S50-P0-Day20-C</v>
      </c>
      <c r="G556" s="166" t="str">
        <f t="shared" si="31"/>
        <v>OTS-S50-P0-Day20</v>
      </c>
      <c r="H556" s="2" t="str">
        <f>VLOOKUP(C556,'Task 2b Sample List'!I:L,4,FALSE)</f>
        <v>B</v>
      </c>
      <c r="I556" t="s">
        <v>196</v>
      </c>
      <c r="J556" s="2">
        <v>50</v>
      </c>
      <c r="K556" s="2">
        <v>0</v>
      </c>
      <c r="L556" s="2">
        <v>20</v>
      </c>
      <c r="M556" s="7" t="s">
        <v>24</v>
      </c>
      <c r="N556" s="2" t="s">
        <v>789</v>
      </c>
      <c r="O556" s="3" t="s">
        <v>7</v>
      </c>
      <c r="P556" s="2">
        <v>0</v>
      </c>
    </row>
    <row r="557" spans="1:16" x14ac:dyDescent="0.25">
      <c r="A557" s="96" t="s">
        <v>83</v>
      </c>
      <c r="B557" s="1" t="s">
        <v>786</v>
      </c>
      <c r="C557" s="1" t="s">
        <v>786</v>
      </c>
      <c r="D557" s="2" t="s">
        <v>787</v>
      </c>
      <c r="E557" s="94" t="str">
        <f t="shared" ref="E557:E620" si="32">F557&amp;":"&amp;M557</f>
        <v>OTS-S50-P0-Day20-C:PFBS</v>
      </c>
      <c r="F557" s="2" t="str">
        <f>VLOOKUP(C557,'Task 2b Sample List'!I:K,3,FALSE)</f>
        <v>OTS-S50-P0-Day20-C</v>
      </c>
      <c r="G557" s="166" t="str">
        <f t="shared" si="31"/>
        <v>OTS-S50-P0-Day20</v>
      </c>
      <c r="H557" s="2" t="str">
        <f>VLOOKUP(C557,'Task 2b Sample List'!I:L,4,FALSE)</f>
        <v>B</v>
      </c>
      <c r="I557" t="s">
        <v>196</v>
      </c>
      <c r="J557" s="2">
        <v>50</v>
      </c>
      <c r="K557" s="2">
        <v>0</v>
      </c>
      <c r="L557" s="2">
        <v>20</v>
      </c>
      <c r="M557" s="7" t="s">
        <v>25</v>
      </c>
      <c r="N557" s="4" t="s">
        <v>790</v>
      </c>
      <c r="O557" s="5" t="s">
        <v>7</v>
      </c>
      <c r="P557" s="2">
        <v>0</v>
      </c>
    </row>
    <row r="558" spans="1:16" x14ac:dyDescent="0.25">
      <c r="A558" s="96" t="s">
        <v>83</v>
      </c>
      <c r="B558" s="1" t="s">
        <v>786</v>
      </c>
      <c r="C558" s="1" t="s">
        <v>786</v>
      </c>
      <c r="D558" s="2" t="s">
        <v>787</v>
      </c>
      <c r="E558" s="94" t="str">
        <f t="shared" si="32"/>
        <v>OTS-S50-P0-Day20-C:PFOS</v>
      </c>
      <c r="F558" s="2" t="str">
        <f>VLOOKUP(C558,'Task 2b Sample List'!I:K,3,FALSE)</f>
        <v>OTS-S50-P0-Day20-C</v>
      </c>
      <c r="G558" s="166" t="str">
        <f t="shared" si="31"/>
        <v>OTS-S50-P0-Day20</v>
      </c>
      <c r="H558" s="2" t="str">
        <f>VLOOKUP(C558,'Task 2b Sample List'!I:L,4,FALSE)</f>
        <v>B</v>
      </c>
      <c r="I558" t="s">
        <v>196</v>
      </c>
      <c r="J558" s="2">
        <v>50</v>
      </c>
      <c r="K558" s="2">
        <v>0</v>
      </c>
      <c r="L558" s="2">
        <v>20</v>
      </c>
      <c r="M558" s="7" t="s">
        <v>26</v>
      </c>
      <c r="N558" s="2" t="s">
        <v>791</v>
      </c>
      <c r="O558" s="3" t="s">
        <v>7</v>
      </c>
      <c r="P558" s="2">
        <v>0</v>
      </c>
    </row>
    <row r="559" spans="1:16" ht="15.75" thickBot="1" x14ac:dyDescent="0.3">
      <c r="A559" s="96" t="s">
        <v>83</v>
      </c>
      <c r="B559" s="1" t="s">
        <v>786</v>
      </c>
      <c r="C559" s="1" t="s">
        <v>786</v>
      </c>
      <c r="D559" s="2" t="s">
        <v>787</v>
      </c>
      <c r="E559" s="94" t="str">
        <f t="shared" si="32"/>
        <v>OTS-S50-P0-Day20-C:8:2FTS</v>
      </c>
      <c r="F559" s="2" t="str">
        <f>VLOOKUP(C559,'Task 2b Sample List'!I:K,3,FALSE)</f>
        <v>OTS-S50-P0-Day20-C</v>
      </c>
      <c r="G559" s="166" t="str">
        <f t="shared" si="31"/>
        <v>OTS-S50-P0-Day20</v>
      </c>
      <c r="H559" s="2" t="str">
        <f>VLOOKUP(C559,'Task 2b Sample List'!I:L,4,FALSE)</f>
        <v>B</v>
      </c>
      <c r="I559" t="s">
        <v>196</v>
      </c>
      <c r="J559" s="2">
        <v>50</v>
      </c>
      <c r="K559" s="2">
        <v>0</v>
      </c>
      <c r="L559" s="2">
        <v>20</v>
      </c>
      <c r="M559" s="8" t="s">
        <v>27</v>
      </c>
      <c r="N559" s="4" t="s">
        <v>792</v>
      </c>
      <c r="O559" s="5" t="s">
        <v>7</v>
      </c>
      <c r="P559" s="2">
        <v>0</v>
      </c>
    </row>
    <row r="560" spans="1:16" x14ac:dyDescent="0.25">
      <c r="A560" s="96" t="s">
        <v>83</v>
      </c>
      <c r="B560" s="1" t="s">
        <v>793</v>
      </c>
      <c r="C560" s="1" t="s">
        <v>793</v>
      </c>
      <c r="D560" s="2" t="s">
        <v>794</v>
      </c>
      <c r="E560" s="94" t="str">
        <f t="shared" si="32"/>
        <v>OTS-S50-P10-Day20-A:PFHxA</v>
      </c>
      <c r="F560" s="2" t="str">
        <f>VLOOKUP(C560,'Task 2b Sample List'!I:K,3,FALSE)</f>
        <v>OTS-S50-P10-Day20-A</v>
      </c>
      <c r="G560" s="166" t="str">
        <f>LEFT(F560,17)</f>
        <v>OTS-S50-P10-Day20</v>
      </c>
      <c r="H560" s="2" t="str">
        <f>VLOOKUP(C560,'Task 2b Sample List'!I:L,4,FALSE)</f>
        <v>A</v>
      </c>
      <c r="I560" t="s">
        <v>196</v>
      </c>
      <c r="J560" s="2">
        <v>50</v>
      </c>
      <c r="K560" s="2">
        <v>10</v>
      </c>
      <c r="L560" s="2">
        <v>20</v>
      </c>
      <c r="M560" s="6" t="s">
        <v>22</v>
      </c>
      <c r="N560" s="2" t="s">
        <v>736</v>
      </c>
      <c r="O560" s="3" t="s">
        <v>39</v>
      </c>
      <c r="P560" s="2" t="s">
        <v>736</v>
      </c>
    </row>
    <row r="561" spans="1:16" x14ac:dyDescent="0.25">
      <c r="A561" s="96" t="s">
        <v>83</v>
      </c>
      <c r="B561" s="1" t="s">
        <v>793</v>
      </c>
      <c r="C561" s="1" t="s">
        <v>793</v>
      </c>
      <c r="D561" s="2" t="s">
        <v>794</v>
      </c>
      <c r="E561" s="94" t="str">
        <f t="shared" si="32"/>
        <v>OTS-S50-P10-Day20-A:PFOA</v>
      </c>
      <c r="F561" s="2" t="str">
        <f>VLOOKUP(C561,'Task 2b Sample List'!I:K,3,FALSE)</f>
        <v>OTS-S50-P10-Day20-A</v>
      </c>
      <c r="G561" s="166" t="str">
        <f t="shared" ref="G561:G595" si="33">LEFT(F561,17)</f>
        <v>OTS-S50-P10-Day20</v>
      </c>
      <c r="H561" s="2" t="str">
        <f>VLOOKUP(C561,'Task 2b Sample List'!I:L,4,FALSE)</f>
        <v>A</v>
      </c>
      <c r="I561" t="s">
        <v>196</v>
      </c>
      <c r="J561" s="2">
        <v>50</v>
      </c>
      <c r="K561" s="2">
        <v>10</v>
      </c>
      <c r="L561" s="2">
        <v>20</v>
      </c>
      <c r="M561" s="7" t="s">
        <v>23</v>
      </c>
      <c r="N561" s="4" t="s">
        <v>795</v>
      </c>
      <c r="O561" s="5" t="s">
        <v>39</v>
      </c>
      <c r="P561" s="2" t="s">
        <v>795</v>
      </c>
    </row>
    <row r="562" spans="1:16" x14ac:dyDescent="0.25">
      <c r="A562" s="96" t="s">
        <v>83</v>
      </c>
      <c r="B562" s="1" t="s">
        <v>793</v>
      </c>
      <c r="C562" s="1" t="s">
        <v>793</v>
      </c>
      <c r="D562" s="2" t="s">
        <v>794</v>
      </c>
      <c r="E562" s="94" t="str">
        <f t="shared" si="32"/>
        <v>OTS-S50-P10-Day20-A:PFNA</v>
      </c>
      <c r="F562" s="2" t="str">
        <f>VLOOKUP(C562,'Task 2b Sample List'!I:K,3,FALSE)</f>
        <v>OTS-S50-P10-Day20-A</v>
      </c>
      <c r="G562" s="166" t="str">
        <f t="shared" si="33"/>
        <v>OTS-S50-P10-Day20</v>
      </c>
      <c r="H562" s="2" t="str">
        <f>VLOOKUP(C562,'Task 2b Sample List'!I:L,4,FALSE)</f>
        <v>A</v>
      </c>
      <c r="I562" t="s">
        <v>196</v>
      </c>
      <c r="J562" s="2">
        <v>50</v>
      </c>
      <c r="K562" s="2">
        <v>10</v>
      </c>
      <c r="L562" s="2">
        <v>20</v>
      </c>
      <c r="M562" s="7" t="s">
        <v>24</v>
      </c>
      <c r="N562" s="2" t="s">
        <v>796</v>
      </c>
      <c r="O562" s="3" t="s">
        <v>39</v>
      </c>
      <c r="P562" s="2" t="s">
        <v>796</v>
      </c>
    </row>
    <row r="563" spans="1:16" x14ac:dyDescent="0.25">
      <c r="A563" s="96" t="s">
        <v>83</v>
      </c>
      <c r="B563" s="1" t="s">
        <v>793</v>
      </c>
      <c r="C563" s="1" t="s">
        <v>793</v>
      </c>
      <c r="D563" s="2" t="s">
        <v>794</v>
      </c>
      <c r="E563" s="94" t="str">
        <f t="shared" si="32"/>
        <v>OTS-S50-P10-Day20-A:PFBS</v>
      </c>
      <c r="F563" s="2" t="str">
        <f>VLOOKUP(C563,'Task 2b Sample List'!I:K,3,FALSE)</f>
        <v>OTS-S50-P10-Day20-A</v>
      </c>
      <c r="G563" s="166" t="str">
        <f t="shared" si="33"/>
        <v>OTS-S50-P10-Day20</v>
      </c>
      <c r="H563" s="2" t="str">
        <f>VLOOKUP(C563,'Task 2b Sample List'!I:L,4,FALSE)</f>
        <v>A</v>
      </c>
      <c r="I563" t="s">
        <v>196</v>
      </c>
      <c r="J563" s="2">
        <v>50</v>
      </c>
      <c r="K563" s="2">
        <v>10</v>
      </c>
      <c r="L563" s="2">
        <v>20</v>
      </c>
      <c r="M563" s="7" t="s">
        <v>25</v>
      </c>
      <c r="N563" s="4" t="s">
        <v>797</v>
      </c>
      <c r="O563" s="5" t="s">
        <v>39</v>
      </c>
      <c r="P563" s="2" t="s">
        <v>797</v>
      </c>
    </row>
    <row r="564" spans="1:16" x14ac:dyDescent="0.25">
      <c r="A564" s="96" t="s">
        <v>83</v>
      </c>
      <c r="B564" s="1" t="s">
        <v>793</v>
      </c>
      <c r="C564" s="1" t="s">
        <v>793</v>
      </c>
      <c r="D564" s="2" t="s">
        <v>794</v>
      </c>
      <c r="E564" s="94" t="str">
        <f t="shared" si="32"/>
        <v>OTS-S50-P10-Day20-A:PFOS</v>
      </c>
      <c r="F564" s="2" t="str">
        <f>VLOOKUP(C564,'Task 2b Sample List'!I:K,3,FALSE)</f>
        <v>OTS-S50-P10-Day20-A</v>
      </c>
      <c r="G564" s="166" t="str">
        <f t="shared" si="33"/>
        <v>OTS-S50-P10-Day20</v>
      </c>
      <c r="H564" s="2" t="str">
        <f>VLOOKUP(C564,'Task 2b Sample List'!I:L,4,FALSE)</f>
        <v>A</v>
      </c>
      <c r="I564" t="s">
        <v>196</v>
      </c>
      <c r="J564" s="2">
        <v>50</v>
      </c>
      <c r="K564" s="2">
        <v>10</v>
      </c>
      <c r="L564" s="2">
        <v>20</v>
      </c>
      <c r="M564" s="7" t="s">
        <v>26</v>
      </c>
      <c r="N564" s="2" t="s">
        <v>798</v>
      </c>
      <c r="O564" s="3" t="s">
        <v>39</v>
      </c>
      <c r="P564" s="2" t="s">
        <v>798</v>
      </c>
    </row>
    <row r="565" spans="1:16" ht="15.75" thickBot="1" x14ac:dyDescent="0.3">
      <c r="A565" s="96" t="s">
        <v>83</v>
      </c>
      <c r="B565" s="1" t="s">
        <v>793</v>
      </c>
      <c r="C565" s="1" t="s">
        <v>793</v>
      </c>
      <c r="D565" s="2" t="s">
        <v>794</v>
      </c>
      <c r="E565" s="94" t="str">
        <f t="shared" si="32"/>
        <v>OTS-S50-P10-Day20-A:8:2FTS</v>
      </c>
      <c r="F565" s="2" t="str">
        <f>VLOOKUP(C565,'Task 2b Sample List'!I:K,3,FALSE)</f>
        <v>OTS-S50-P10-Day20-A</v>
      </c>
      <c r="G565" s="166" t="str">
        <f t="shared" si="33"/>
        <v>OTS-S50-P10-Day20</v>
      </c>
      <c r="H565" s="2" t="str">
        <f>VLOOKUP(C565,'Task 2b Sample List'!I:L,4,FALSE)</f>
        <v>A</v>
      </c>
      <c r="I565" t="s">
        <v>196</v>
      </c>
      <c r="J565" s="2">
        <v>50</v>
      </c>
      <c r="K565" s="2">
        <v>10</v>
      </c>
      <c r="L565" s="2">
        <v>20</v>
      </c>
      <c r="M565" s="8" t="s">
        <v>27</v>
      </c>
      <c r="N565" s="4" t="s">
        <v>799</v>
      </c>
      <c r="O565" s="5" t="s">
        <v>39</v>
      </c>
      <c r="P565" s="2" t="s">
        <v>799</v>
      </c>
    </row>
    <row r="566" spans="1:16" x14ac:dyDescent="0.25">
      <c r="A566" s="96" t="s">
        <v>83</v>
      </c>
      <c r="B566" s="1" t="s">
        <v>800</v>
      </c>
      <c r="C566" s="1" t="s">
        <v>800</v>
      </c>
      <c r="D566" s="2" t="s">
        <v>801</v>
      </c>
      <c r="E566" s="94" t="str">
        <f t="shared" si="32"/>
        <v>OTS-S50-P10-Day20-B:PFHxA</v>
      </c>
      <c r="F566" s="2" t="str">
        <f>VLOOKUP(C566,'Task 2b Sample List'!I:K,3,FALSE)</f>
        <v>OTS-S50-P10-Day20-B</v>
      </c>
      <c r="G566" s="166" t="str">
        <f t="shared" si="33"/>
        <v>OTS-S50-P10-Day20</v>
      </c>
      <c r="H566" s="2" t="str">
        <f>VLOOKUP(C566,'Task 2b Sample List'!I:L,4,FALSE)</f>
        <v>A</v>
      </c>
      <c r="I566" t="s">
        <v>196</v>
      </c>
      <c r="J566" s="2">
        <v>50</v>
      </c>
      <c r="K566" s="2">
        <v>10</v>
      </c>
      <c r="L566" s="2">
        <v>20</v>
      </c>
      <c r="M566" s="6" t="s">
        <v>22</v>
      </c>
      <c r="N566" s="2" t="s">
        <v>802</v>
      </c>
      <c r="O566" s="3" t="s">
        <v>39</v>
      </c>
      <c r="P566" s="2" t="s">
        <v>802</v>
      </c>
    </row>
    <row r="567" spans="1:16" x14ac:dyDescent="0.25">
      <c r="A567" s="96" t="s">
        <v>83</v>
      </c>
      <c r="B567" s="1" t="s">
        <v>800</v>
      </c>
      <c r="C567" s="1" t="s">
        <v>800</v>
      </c>
      <c r="D567" s="2" t="s">
        <v>801</v>
      </c>
      <c r="E567" s="94" t="str">
        <f t="shared" si="32"/>
        <v>OTS-S50-P10-Day20-B:PFOA</v>
      </c>
      <c r="F567" s="2" t="str">
        <f>VLOOKUP(C567,'Task 2b Sample List'!I:K,3,FALSE)</f>
        <v>OTS-S50-P10-Day20-B</v>
      </c>
      <c r="G567" s="166" t="str">
        <f t="shared" si="33"/>
        <v>OTS-S50-P10-Day20</v>
      </c>
      <c r="H567" s="2" t="str">
        <f>VLOOKUP(C567,'Task 2b Sample List'!I:L,4,FALSE)</f>
        <v>A</v>
      </c>
      <c r="I567" t="s">
        <v>196</v>
      </c>
      <c r="J567" s="2">
        <v>50</v>
      </c>
      <c r="K567" s="2">
        <v>10</v>
      </c>
      <c r="L567" s="2">
        <v>20</v>
      </c>
      <c r="M567" s="7" t="s">
        <v>23</v>
      </c>
      <c r="N567" s="4" t="s">
        <v>286</v>
      </c>
      <c r="O567" s="5" t="s">
        <v>39</v>
      </c>
      <c r="P567" s="2" t="s">
        <v>286</v>
      </c>
    </row>
    <row r="568" spans="1:16" x14ac:dyDescent="0.25">
      <c r="A568" s="96" t="s">
        <v>83</v>
      </c>
      <c r="B568" s="1" t="s">
        <v>800</v>
      </c>
      <c r="C568" s="1" t="s">
        <v>800</v>
      </c>
      <c r="D568" s="2" t="s">
        <v>801</v>
      </c>
      <c r="E568" s="94" t="str">
        <f t="shared" si="32"/>
        <v>OTS-S50-P10-Day20-B:PFNA</v>
      </c>
      <c r="F568" s="2" t="str">
        <f>VLOOKUP(C568,'Task 2b Sample List'!I:K,3,FALSE)</f>
        <v>OTS-S50-P10-Day20-B</v>
      </c>
      <c r="G568" s="166" t="str">
        <f t="shared" si="33"/>
        <v>OTS-S50-P10-Day20</v>
      </c>
      <c r="H568" s="2" t="str">
        <f>VLOOKUP(C568,'Task 2b Sample List'!I:L,4,FALSE)</f>
        <v>A</v>
      </c>
      <c r="I568" t="s">
        <v>196</v>
      </c>
      <c r="J568" s="2">
        <v>50</v>
      </c>
      <c r="K568" s="2">
        <v>10</v>
      </c>
      <c r="L568" s="2">
        <v>20</v>
      </c>
      <c r="M568" s="7" t="s">
        <v>24</v>
      </c>
      <c r="N568" s="2" t="s">
        <v>423</v>
      </c>
      <c r="O568" s="3" t="s">
        <v>39</v>
      </c>
      <c r="P568" s="2" t="s">
        <v>423</v>
      </c>
    </row>
    <row r="569" spans="1:16" x14ac:dyDescent="0.25">
      <c r="A569" s="96" t="s">
        <v>83</v>
      </c>
      <c r="B569" s="1" t="s">
        <v>800</v>
      </c>
      <c r="C569" s="1" t="s">
        <v>800</v>
      </c>
      <c r="D569" s="2" t="s">
        <v>801</v>
      </c>
      <c r="E569" s="94" t="str">
        <f t="shared" si="32"/>
        <v>OTS-S50-P10-Day20-B:PFBS</v>
      </c>
      <c r="F569" s="2" t="str">
        <f>VLOOKUP(C569,'Task 2b Sample List'!I:K,3,FALSE)</f>
        <v>OTS-S50-P10-Day20-B</v>
      </c>
      <c r="G569" s="166" t="str">
        <f t="shared" si="33"/>
        <v>OTS-S50-P10-Day20</v>
      </c>
      <c r="H569" s="2" t="str">
        <f>VLOOKUP(C569,'Task 2b Sample List'!I:L,4,FALSE)</f>
        <v>A</v>
      </c>
      <c r="I569" t="s">
        <v>196</v>
      </c>
      <c r="J569" s="2">
        <v>50</v>
      </c>
      <c r="K569" s="2">
        <v>10</v>
      </c>
      <c r="L569" s="2">
        <v>20</v>
      </c>
      <c r="M569" s="7" t="s">
        <v>25</v>
      </c>
      <c r="N569" s="4" t="s">
        <v>803</v>
      </c>
      <c r="O569" s="5" t="s">
        <v>39</v>
      </c>
      <c r="P569" s="2" t="s">
        <v>803</v>
      </c>
    </row>
    <row r="570" spans="1:16" x14ac:dyDescent="0.25">
      <c r="A570" s="96" t="s">
        <v>83</v>
      </c>
      <c r="B570" s="1" t="s">
        <v>800</v>
      </c>
      <c r="C570" s="1" t="s">
        <v>800</v>
      </c>
      <c r="D570" s="2" t="s">
        <v>801</v>
      </c>
      <c r="E570" s="94" t="str">
        <f t="shared" si="32"/>
        <v>OTS-S50-P10-Day20-B:PFOS</v>
      </c>
      <c r="F570" s="2" t="str">
        <f>VLOOKUP(C570,'Task 2b Sample List'!I:K,3,FALSE)</f>
        <v>OTS-S50-P10-Day20-B</v>
      </c>
      <c r="G570" s="166" t="str">
        <f t="shared" si="33"/>
        <v>OTS-S50-P10-Day20</v>
      </c>
      <c r="H570" s="2" t="str">
        <f>VLOOKUP(C570,'Task 2b Sample List'!I:L,4,FALSE)</f>
        <v>A</v>
      </c>
      <c r="I570" t="s">
        <v>196</v>
      </c>
      <c r="J570" s="2">
        <v>50</v>
      </c>
      <c r="K570" s="2">
        <v>10</v>
      </c>
      <c r="L570" s="2">
        <v>20</v>
      </c>
      <c r="M570" s="7" t="s">
        <v>26</v>
      </c>
      <c r="N570" s="2" t="s">
        <v>804</v>
      </c>
      <c r="O570" s="3" t="s">
        <v>39</v>
      </c>
      <c r="P570" s="2" t="s">
        <v>804</v>
      </c>
    </row>
    <row r="571" spans="1:16" ht="15.75" thickBot="1" x14ac:dyDescent="0.3">
      <c r="A571" s="96" t="s">
        <v>83</v>
      </c>
      <c r="B571" s="1" t="s">
        <v>800</v>
      </c>
      <c r="C571" s="1" t="s">
        <v>800</v>
      </c>
      <c r="D571" s="2" t="s">
        <v>801</v>
      </c>
      <c r="E571" s="94" t="str">
        <f t="shared" si="32"/>
        <v>OTS-S50-P10-Day20-B:8:2FTS</v>
      </c>
      <c r="F571" s="2" t="str">
        <f>VLOOKUP(C571,'Task 2b Sample List'!I:K,3,FALSE)</f>
        <v>OTS-S50-P10-Day20-B</v>
      </c>
      <c r="G571" s="166" t="str">
        <f t="shared" si="33"/>
        <v>OTS-S50-P10-Day20</v>
      </c>
      <c r="H571" s="2" t="str">
        <f>VLOOKUP(C571,'Task 2b Sample List'!I:L,4,FALSE)</f>
        <v>A</v>
      </c>
      <c r="I571" t="s">
        <v>196</v>
      </c>
      <c r="J571" s="2">
        <v>50</v>
      </c>
      <c r="K571" s="2">
        <v>10</v>
      </c>
      <c r="L571" s="2">
        <v>20</v>
      </c>
      <c r="M571" s="8" t="s">
        <v>27</v>
      </c>
      <c r="N571" s="4" t="s">
        <v>805</v>
      </c>
      <c r="O571" s="5" t="s">
        <v>39</v>
      </c>
      <c r="P571" s="2" t="s">
        <v>805</v>
      </c>
    </row>
    <row r="572" spans="1:16" x14ac:dyDescent="0.25">
      <c r="A572" s="96" t="s">
        <v>83</v>
      </c>
      <c r="B572" s="1" t="s">
        <v>806</v>
      </c>
      <c r="C572" s="1" t="s">
        <v>806</v>
      </c>
      <c r="D572" s="2" t="s">
        <v>807</v>
      </c>
      <c r="E572" s="94" t="str">
        <f t="shared" si="32"/>
        <v>OTS-S50-P10-Day20-C:PFHxA</v>
      </c>
      <c r="F572" s="2" t="str">
        <f>VLOOKUP(C572,'Task 2b Sample List'!I:K,3,FALSE)</f>
        <v>OTS-S50-P10-Day20-C</v>
      </c>
      <c r="G572" s="166" t="str">
        <f t="shared" si="33"/>
        <v>OTS-S50-P10-Day20</v>
      </c>
      <c r="H572" s="2" t="str">
        <f>VLOOKUP(C572,'Task 2b Sample List'!I:L,4,FALSE)</f>
        <v>A</v>
      </c>
      <c r="I572" t="s">
        <v>196</v>
      </c>
      <c r="J572" s="2">
        <v>50</v>
      </c>
      <c r="K572" s="2">
        <v>10</v>
      </c>
      <c r="L572" s="2">
        <v>20</v>
      </c>
      <c r="M572" s="6" t="s">
        <v>22</v>
      </c>
      <c r="N572" s="2" t="s">
        <v>489</v>
      </c>
      <c r="O572" s="3" t="s">
        <v>39</v>
      </c>
      <c r="P572" s="2" t="s">
        <v>489</v>
      </c>
    </row>
    <row r="573" spans="1:16" x14ac:dyDescent="0.25">
      <c r="A573" s="96" t="s">
        <v>83</v>
      </c>
      <c r="B573" s="1" t="s">
        <v>806</v>
      </c>
      <c r="C573" s="1" t="s">
        <v>806</v>
      </c>
      <c r="D573" s="2" t="s">
        <v>807</v>
      </c>
      <c r="E573" s="94" t="str">
        <f t="shared" si="32"/>
        <v>OTS-S50-P10-Day20-C:PFOA</v>
      </c>
      <c r="F573" s="2" t="str">
        <f>VLOOKUP(C573,'Task 2b Sample List'!I:K,3,FALSE)</f>
        <v>OTS-S50-P10-Day20-C</v>
      </c>
      <c r="G573" s="166" t="str">
        <f t="shared" si="33"/>
        <v>OTS-S50-P10-Day20</v>
      </c>
      <c r="H573" s="2" t="str">
        <f>VLOOKUP(C573,'Task 2b Sample List'!I:L,4,FALSE)</f>
        <v>A</v>
      </c>
      <c r="I573" t="s">
        <v>196</v>
      </c>
      <c r="J573" s="2">
        <v>50</v>
      </c>
      <c r="K573" s="2">
        <v>10</v>
      </c>
      <c r="L573" s="2">
        <v>20</v>
      </c>
      <c r="M573" s="7" t="s">
        <v>23</v>
      </c>
      <c r="N573" s="4" t="s">
        <v>808</v>
      </c>
      <c r="O573" s="5" t="s">
        <v>39</v>
      </c>
      <c r="P573" s="2" t="s">
        <v>808</v>
      </c>
    </row>
    <row r="574" spans="1:16" x14ac:dyDescent="0.25">
      <c r="A574" s="96" t="s">
        <v>83</v>
      </c>
      <c r="B574" s="1" t="s">
        <v>806</v>
      </c>
      <c r="C574" s="1" t="s">
        <v>806</v>
      </c>
      <c r="D574" s="2" t="s">
        <v>807</v>
      </c>
      <c r="E574" s="94" t="str">
        <f t="shared" si="32"/>
        <v>OTS-S50-P10-Day20-C:PFNA</v>
      </c>
      <c r="F574" s="2" t="str">
        <f>VLOOKUP(C574,'Task 2b Sample List'!I:K,3,FALSE)</f>
        <v>OTS-S50-P10-Day20-C</v>
      </c>
      <c r="G574" s="166" t="str">
        <f t="shared" si="33"/>
        <v>OTS-S50-P10-Day20</v>
      </c>
      <c r="H574" s="2" t="str">
        <f>VLOOKUP(C574,'Task 2b Sample List'!I:L,4,FALSE)</f>
        <v>A</v>
      </c>
      <c r="I574" t="s">
        <v>196</v>
      </c>
      <c r="J574" s="2">
        <v>50</v>
      </c>
      <c r="K574" s="2">
        <v>10</v>
      </c>
      <c r="L574" s="2">
        <v>20</v>
      </c>
      <c r="M574" s="7" t="s">
        <v>24</v>
      </c>
      <c r="N574" s="2" t="s">
        <v>809</v>
      </c>
      <c r="O574" s="3" t="s">
        <v>39</v>
      </c>
      <c r="P574" s="2" t="s">
        <v>809</v>
      </c>
    </row>
    <row r="575" spans="1:16" x14ac:dyDescent="0.25">
      <c r="A575" s="96" t="s">
        <v>83</v>
      </c>
      <c r="B575" s="1" t="s">
        <v>806</v>
      </c>
      <c r="C575" s="1" t="s">
        <v>806</v>
      </c>
      <c r="D575" s="2" t="s">
        <v>807</v>
      </c>
      <c r="E575" s="94" t="str">
        <f t="shared" si="32"/>
        <v>OTS-S50-P10-Day20-C:PFBS</v>
      </c>
      <c r="F575" s="2" t="str">
        <f>VLOOKUP(C575,'Task 2b Sample List'!I:K,3,FALSE)</f>
        <v>OTS-S50-P10-Day20-C</v>
      </c>
      <c r="G575" s="166" t="str">
        <f t="shared" si="33"/>
        <v>OTS-S50-P10-Day20</v>
      </c>
      <c r="H575" s="2" t="str">
        <f>VLOOKUP(C575,'Task 2b Sample List'!I:L,4,FALSE)</f>
        <v>A</v>
      </c>
      <c r="I575" t="s">
        <v>196</v>
      </c>
      <c r="J575" s="2">
        <v>50</v>
      </c>
      <c r="K575" s="2">
        <v>10</v>
      </c>
      <c r="L575" s="2">
        <v>20</v>
      </c>
      <c r="M575" s="7" t="s">
        <v>25</v>
      </c>
      <c r="N575" s="4" t="s">
        <v>608</v>
      </c>
      <c r="O575" s="5" t="s">
        <v>39</v>
      </c>
      <c r="P575" s="2" t="s">
        <v>608</v>
      </c>
    </row>
    <row r="576" spans="1:16" x14ac:dyDescent="0.25">
      <c r="A576" s="96" t="s">
        <v>83</v>
      </c>
      <c r="B576" s="1" t="s">
        <v>806</v>
      </c>
      <c r="C576" s="1" t="s">
        <v>806</v>
      </c>
      <c r="D576" s="2" t="s">
        <v>807</v>
      </c>
      <c r="E576" s="94" t="str">
        <f t="shared" si="32"/>
        <v>OTS-S50-P10-Day20-C:PFOS</v>
      </c>
      <c r="F576" s="2" t="str">
        <f>VLOOKUP(C576,'Task 2b Sample List'!I:K,3,FALSE)</f>
        <v>OTS-S50-P10-Day20-C</v>
      </c>
      <c r="G576" s="166" t="str">
        <f t="shared" si="33"/>
        <v>OTS-S50-P10-Day20</v>
      </c>
      <c r="H576" s="2" t="str">
        <f>VLOOKUP(C576,'Task 2b Sample List'!I:L,4,FALSE)</f>
        <v>A</v>
      </c>
      <c r="I576" t="s">
        <v>196</v>
      </c>
      <c r="J576" s="2">
        <v>50</v>
      </c>
      <c r="K576" s="2">
        <v>10</v>
      </c>
      <c r="L576" s="2">
        <v>20</v>
      </c>
      <c r="M576" s="7" t="s">
        <v>26</v>
      </c>
      <c r="N576" s="2" t="s">
        <v>810</v>
      </c>
      <c r="O576" s="3" t="s">
        <v>39</v>
      </c>
      <c r="P576" s="2" t="s">
        <v>810</v>
      </c>
    </row>
    <row r="577" spans="1:16" ht="15.75" thickBot="1" x14ac:dyDescent="0.3">
      <c r="A577" s="96" t="s">
        <v>83</v>
      </c>
      <c r="B577" s="1" t="s">
        <v>806</v>
      </c>
      <c r="C577" s="1" t="s">
        <v>806</v>
      </c>
      <c r="D577" s="2" t="s">
        <v>807</v>
      </c>
      <c r="E577" s="94" t="str">
        <f t="shared" si="32"/>
        <v>OTS-S50-P10-Day20-C:8:2FTS</v>
      </c>
      <c r="F577" s="2" t="str">
        <f>VLOOKUP(C577,'Task 2b Sample List'!I:K,3,FALSE)</f>
        <v>OTS-S50-P10-Day20-C</v>
      </c>
      <c r="G577" s="166" t="str">
        <f t="shared" si="33"/>
        <v>OTS-S50-P10-Day20</v>
      </c>
      <c r="H577" s="2" t="str">
        <f>VLOOKUP(C577,'Task 2b Sample List'!I:L,4,FALSE)</f>
        <v>A</v>
      </c>
      <c r="I577" t="s">
        <v>196</v>
      </c>
      <c r="J577" s="2">
        <v>50</v>
      </c>
      <c r="K577" s="2">
        <v>10</v>
      </c>
      <c r="L577" s="2">
        <v>20</v>
      </c>
      <c r="M577" s="8" t="s">
        <v>27</v>
      </c>
      <c r="N577" s="4" t="s">
        <v>811</v>
      </c>
      <c r="O577" s="5" t="s">
        <v>39</v>
      </c>
      <c r="P577" s="2" t="s">
        <v>811</v>
      </c>
    </row>
    <row r="578" spans="1:16" x14ac:dyDescent="0.25">
      <c r="A578" s="96" t="s">
        <v>83</v>
      </c>
      <c r="B578" s="1" t="s">
        <v>812</v>
      </c>
      <c r="C578" s="1" t="s">
        <v>812</v>
      </c>
      <c r="D578" s="2" t="s">
        <v>813</v>
      </c>
      <c r="E578" s="94" t="str">
        <f t="shared" si="32"/>
        <v>OTS-S50-P50-Day20-A:PFHxA</v>
      </c>
      <c r="F578" s="2" t="str">
        <f>VLOOKUP(C578,'Task 2b Sample List'!I:K,3,FALSE)</f>
        <v>OTS-S50-P50-Day20-A</v>
      </c>
      <c r="G578" s="166" t="str">
        <f t="shared" si="33"/>
        <v>OTS-S50-P50-Day20</v>
      </c>
      <c r="H578" s="2" t="str">
        <f>VLOOKUP(C578,'Task 2b Sample List'!I:L,4,FALSE)</f>
        <v>A</v>
      </c>
      <c r="I578" t="s">
        <v>196</v>
      </c>
      <c r="J578" s="2">
        <v>50</v>
      </c>
      <c r="K578" s="2">
        <v>50</v>
      </c>
      <c r="L578" s="2">
        <v>20</v>
      </c>
      <c r="M578" s="6" t="s">
        <v>22</v>
      </c>
      <c r="N578" s="2" t="s">
        <v>814</v>
      </c>
      <c r="O578" s="3" t="s">
        <v>39</v>
      </c>
      <c r="P578" s="2" t="s">
        <v>814</v>
      </c>
    </row>
    <row r="579" spans="1:16" x14ac:dyDescent="0.25">
      <c r="A579" s="96" t="s">
        <v>83</v>
      </c>
      <c r="B579" s="1" t="s">
        <v>812</v>
      </c>
      <c r="C579" s="1" t="s">
        <v>812</v>
      </c>
      <c r="D579" s="2" t="s">
        <v>813</v>
      </c>
      <c r="E579" s="94" t="str">
        <f t="shared" si="32"/>
        <v>OTS-S50-P50-Day20-A:PFOA</v>
      </c>
      <c r="F579" s="2" t="str">
        <f>VLOOKUP(C579,'Task 2b Sample List'!I:K,3,FALSE)</f>
        <v>OTS-S50-P50-Day20-A</v>
      </c>
      <c r="G579" s="166" t="str">
        <f t="shared" si="33"/>
        <v>OTS-S50-P50-Day20</v>
      </c>
      <c r="H579" s="2" t="str">
        <f>VLOOKUP(C579,'Task 2b Sample List'!I:L,4,FALSE)</f>
        <v>A</v>
      </c>
      <c r="I579" t="s">
        <v>196</v>
      </c>
      <c r="J579" s="2">
        <v>50</v>
      </c>
      <c r="K579" s="2">
        <v>50</v>
      </c>
      <c r="L579" s="2">
        <v>20</v>
      </c>
      <c r="M579" s="7" t="s">
        <v>23</v>
      </c>
      <c r="N579" s="4" t="s">
        <v>815</v>
      </c>
      <c r="O579" s="5" t="s">
        <v>39</v>
      </c>
      <c r="P579" s="2" t="s">
        <v>815</v>
      </c>
    </row>
    <row r="580" spans="1:16" x14ac:dyDescent="0.25">
      <c r="A580" s="96" t="s">
        <v>83</v>
      </c>
      <c r="B580" s="1" t="s">
        <v>812</v>
      </c>
      <c r="C580" s="1" t="s">
        <v>812</v>
      </c>
      <c r="D580" s="2" t="s">
        <v>813</v>
      </c>
      <c r="E580" s="94" t="str">
        <f t="shared" si="32"/>
        <v>OTS-S50-P50-Day20-A:PFNA</v>
      </c>
      <c r="F580" s="2" t="str">
        <f>VLOOKUP(C580,'Task 2b Sample List'!I:K,3,FALSE)</f>
        <v>OTS-S50-P50-Day20-A</v>
      </c>
      <c r="G580" s="166" t="str">
        <f t="shared" si="33"/>
        <v>OTS-S50-P50-Day20</v>
      </c>
      <c r="H580" s="2" t="str">
        <f>VLOOKUP(C580,'Task 2b Sample List'!I:L,4,FALSE)</f>
        <v>A</v>
      </c>
      <c r="I580" t="s">
        <v>196</v>
      </c>
      <c r="J580" s="2">
        <v>50</v>
      </c>
      <c r="K580" s="2">
        <v>50</v>
      </c>
      <c r="L580" s="2">
        <v>20</v>
      </c>
      <c r="M580" s="7" t="s">
        <v>24</v>
      </c>
      <c r="N580" s="2" t="s">
        <v>816</v>
      </c>
      <c r="O580" s="3" t="s">
        <v>39</v>
      </c>
      <c r="P580" s="2" t="s">
        <v>816</v>
      </c>
    </row>
    <row r="581" spans="1:16" x14ac:dyDescent="0.25">
      <c r="A581" s="96" t="s">
        <v>83</v>
      </c>
      <c r="B581" s="1" t="s">
        <v>812</v>
      </c>
      <c r="C581" s="1" t="s">
        <v>812</v>
      </c>
      <c r="D581" s="2" t="s">
        <v>813</v>
      </c>
      <c r="E581" s="94" t="str">
        <f t="shared" si="32"/>
        <v>OTS-S50-P50-Day20-A:PFBS</v>
      </c>
      <c r="F581" s="2" t="str">
        <f>VLOOKUP(C581,'Task 2b Sample List'!I:K,3,FALSE)</f>
        <v>OTS-S50-P50-Day20-A</v>
      </c>
      <c r="G581" s="166" t="str">
        <f t="shared" si="33"/>
        <v>OTS-S50-P50-Day20</v>
      </c>
      <c r="H581" s="2" t="str">
        <f>VLOOKUP(C581,'Task 2b Sample List'!I:L,4,FALSE)</f>
        <v>A</v>
      </c>
      <c r="I581" t="s">
        <v>196</v>
      </c>
      <c r="J581" s="2">
        <v>50</v>
      </c>
      <c r="K581" s="2">
        <v>50</v>
      </c>
      <c r="L581" s="2">
        <v>20</v>
      </c>
      <c r="M581" s="7" t="s">
        <v>25</v>
      </c>
      <c r="N581" s="4" t="s">
        <v>817</v>
      </c>
      <c r="O581" s="5" t="s">
        <v>39</v>
      </c>
      <c r="P581" s="2" t="s">
        <v>817</v>
      </c>
    </row>
    <row r="582" spans="1:16" x14ac:dyDescent="0.25">
      <c r="A582" s="96" t="s">
        <v>83</v>
      </c>
      <c r="B582" s="1" t="s">
        <v>812</v>
      </c>
      <c r="C582" s="1" t="s">
        <v>812</v>
      </c>
      <c r="D582" s="2" t="s">
        <v>813</v>
      </c>
      <c r="E582" s="94" t="str">
        <f t="shared" si="32"/>
        <v>OTS-S50-P50-Day20-A:PFOS</v>
      </c>
      <c r="F582" s="2" t="str">
        <f>VLOOKUP(C582,'Task 2b Sample List'!I:K,3,FALSE)</f>
        <v>OTS-S50-P50-Day20-A</v>
      </c>
      <c r="G582" s="166" t="str">
        <f t="shared" si="33"/>
        <v>OTS-S50-P50-Day20</v>
      </c>
      <c r="H582" s="2" t="str">
        <f>VLOOKUP(C582,'Task 2b Sample List'!I:L,4,FALSE)</f>
        <v>A</v>
      </c>
      <c r="I582" t="s">
        <v>196</v>
      </c>
      <c r="J582" s="2">
        <v>50</v>
      </c>
      <c r="K582" s="2">
        <v>50</v>
      </c>
      <c r="L582" s="2">
        <v>20</v>
      </c>
      <c r="M582" s="7" t="s">
        <v>26</v>
      </c>
      <c r="N582" s="2" t="s">
        <v>631</v>
      </c>
      <c r="O582" s="3" t="s">
        <v>39</v>
      </c>
      <c r="P582" s="2" t="s">
        <v>631</v>
      </c>
    </row>
    <row r="583" spans="1:16" ht="15.75" thickBot="1" x14ac:dyDescent="0.3">
      <c r="A583" s="96" t="s">
        <v>83</v>
      </c>
      <c r="B583" s="1" t="s">
        <v>812</v>
      </c>
      <c r="C583" s="1" t="s">
        <v>812</v>
      </c>
      <c r="D583" s="2" t="s">
        <v>813</v>
      </c>
      <c r="E583" s="94" t="str">
        <f t="shared" si="32"/>
        <v>OTS-S50-P50-Day20-A:8:2FTS</v>
      </c>
      <c r="F583" s="2" t="str">
        <f>VLOOKUP(C583,'Task 2b Sample List'!I:K,3,FALSE)</f>
        <v>OTS-S50-P50-Day20-A</v>
      </c>
      <c r="G583" s="166" t="str">
        <f t="shared" si="33"/>
        <v>OTS-S50-P50-Day20</v>
      </c>
      <c r="H583" s="2" t="str">
        <f>VLOOKUP(C583,'Task 2b Sample List'!I:L,4,FALSE)</f>
        <v>A</v>
      </c>
      <c r="I583" t="s">
        <v>196</v>
      </c>
      <c r="J583" s="2">
        <v>50</v>
      </c>
      <c r="K583" s="2">
        <v>50</v>
      </c>
      <c r="L583" s="2">
        <v>20</v>
      </c>
      <c r="M583" s="8" t="s">
        <v>27</v>
      </c>
      <c r="N583" s="4" t="s">
        <v>818</v>
      </c>
      <c r="O583" s="5" t="s">
        <v>39</v>
      </c>
      <c r="P583" s="2" t="s">
        <v>818</v>
      </c>
    </row>
    <row r="584" spans="1:16" x14ac:dyDescent="0.25">
      <c r="A584" s="96" t="s">
        <v>83</v>
      </c>
      <c r="B584" s="1" t="s">
        <v>819</v>
      </c>
      <c r="C584" s="1" t="s">
        <v>819</v>
      </c>
      <c r="D584" s="2" t="s">
        <v>820</v>
      </c>
      <c r="E584" s="94" t="str">
        <f t="shared" si="32"/>
        <v>OTS-S50-P50-Day20-B:PFHxA</v>
      </c>
      <c r="F584" s="2" t="str">
        <f>VLOOKUP(C584,'Task 2b Sample List'!I:K,3,FALSE)</f>
        <v>OTS-S50-P50-Day20-B</v>
      </c>
      <c r="G584" s="166" t="str">
        <f t="shared" si="33"/>
        <v>OTS-S50-P50-Day20</v>
      </c>
      <c r="H584" s="2" t="str">
        <f>VLOOKUP(C584,'Task 2b Sample List'!I:L,4,FALSE)</f>
        <v>A</v>
      </c>
      <c r="I584" t="s">
        <v>196</v>
      </c>
      <c r="J584" s="2">
        <v>50</v>
      </c>
      <c r="K584" s="2">
        <v>50</v>
      </c>
      <c r="L584" s="2">
        <v>20</v>
      </c>
      <c r="M584" s="6" t="s">
        <v>22</v>
      </c>
      <c r="N584" s="2" t="s">
        <v>821</v>
      </c>
      <c r="O584" s="3" t="s">
        <v>39</v>
      </c>
      <c r="P584" s="2" t="s">
        <v>821</v>
      </c>
    </row>
    <row r="585" spans="1:16" x14ac:dyDescent="0.25">
      <c r="A585" s="96" t="s">
        <v>83</v>
      </c>
      <c r="B585" s="1" t="s">
        <v>819</v>
      </c>
      <c r="C585" s="1" t="s">
        <v>819</v>
      </c>
      <c r="D585" s="2" t="s">
        <v>820</v>
      </c>
      <c r="E585" s="94" t="str">
        <f t="shared" si="32"/>
        <v>OTS-S50-P50-Day20-B:PFOA</v>
      </c>
      <c r="F585" s="2" t="str">
        <f>VLOOKUP(C585,'Task 2b Sample List'!I:K,3,FALSE)</f>
        <v>OTS-S50-P50-Day20-B</v>
      </c>
      <c r="G585" s="166" t="str">
        <f t="shared" si="33"/>
        <v>OTS-S50-P50-Day20</v>
      </c>
      <c r="H585" s="2" t="str">
        <f>VLOOKUP(C585,'Task 2b Sample List'!I:L,4,FALSE)</f>
        <v>A</v>
      </c>
      <c r="I585" t="s">
        <v>196</v>
      </c>
      <c r="J585" s="2">
        <v>50</v>
      </c>
      <c r="K585" s="2">
        <v>50</v>
      </c>
      <c r="L585" s="2">
        <v>20</v>
      </c>
      <c r="M585" s="7" t="s">
        <v>23</v>
      </c>
      <c r="N585" s="4" t="s">
        <v>822</v>
      </c>
      <c r="O585" s="5" t="s">
        <v>39</v>
      </c>
      <c r="P585" s="2" t="s">
        <v>822</v>
      </c>
    </row>
    <row r="586" spans="1:16" x14ac:dyDescent="0.25">
      <c r="A586" s="96" t="s">
        <v>83</v>
      </c>
      <c r="B586" s="1" t="s">
        <v>819</v>
      </c>
      <c r="C586" s="1" t="s">
        <v>819</v>
      </c>
      <c r="D586" s="2" t="s">
        <v>820</v>
      </c>
      <c r="E586" s="94" t="str">
        <f t="shared" si="32"/>
        <v>OTS-S50-P50-Day20-B:PFNA</v>
      </c>
      <c r="F586" s="2" t="str">
        <f>VLOOKUP(C586,'Task 2b Sample List'!I:K,3,FALSE)</f>
        <v>OTS-S50-P50-Day20-B</v>
      </c>
      <c r="G586" s="166" t="str">
        <f t="shared" si="33"/>
        <v>OTS-S50-P50-Day20</v>
      </c>
      <c r="H586" s="2" t="str">
        <f>VLOOKUP(C586,'Task 2b Sample List'!I:L,4,FALSE)</f>
        <v>A</v>
      </c>
      <c r="I586" t="s">
        <v>196</v>
      </c>
      <c r="J586" s="2">
        <v>50</v>
      </c>
      <c r="K586" s="2">
        <v>50</v>
      </c>
      <c r="L586" s="2">
        <v>20</v>
      </c>
      <c r="M586" s="7" t="s">
        <v>24</v>
      </c>
      <c r="N586" s="2" t="s">
        <v>823</v>
      </c>
      <c r="O586" s="3" t="s">
        <v>39</v>
      </c>
      <c r="P586" s="2" t="s">
        <v>823</v>
      </c>
    </row>
    <row r="587" spans="1:16" x14ac:dyDescent="0.25">
      <c r="A587" s="96" t="s">
        <v>83</v>
      </c>
      <c r="B587" s="1" t="s">
        <v>819</v>
      </c>
      <c r="C587" s="1" t="s">
        <v>819</v>
      </c>
      <c r="D587" s="2" t="s">
        <v>820</v>
      </c>
      <c r="E587" s="94" t="str">
        <f t="shared" si="32"/>
        <v>OTS-S50-P50-Day20-B:PFBS</v>
      </c>
      <c r="F587" s="2" t="str">
        <f>VLOOKUP(C587,'Task 2b Sample List'!I:K,3,FALSE)</f>
        <v>OTS-S50-P50-Day20-B</v>
      </c>
      <c r="G587" s="166" t="str">
        <f t="shared" si="33"/>
        <v>OTS-S50-P50-Day20</v>
      </c>
      <c r="H587" s="2" t="str">
        <f>VLOOKUP(C587,'Task 2b Sample List'!I:L,4,FALSE)</f>
        <v>A</v>
      </c>
      <c r="I587" t="s">
        <v>196</v>
      </c>
      <c r="J587" s="2">
        <v>50</v>
      </c>
      <c r="K587" s="2">
        <v>50</v>
      </c>
      <c r="L587" s="2">
        <v>20</v>
      </c>
      <c r="M587" s="7" t="s">
        <v>25</v>
      </c>
      <c r="N587" s="4" t="s">
        <v>824</v>
      </c>
      <c r="O587" s="5" t="s">
        <v>39</v>
      </c>
      <c r="P587" s="2" t="s">
        <v>824</v>
      </c>
    </row>
    <row r="588" spans="1:16" x14ac:dyDescent="0.25">
      <c r="A588" s="96" t="s">
        <v>83</v>
      </c>
      <c r="B588" s="1" t="s">
        <v>819</v>
      </c>
      <c r="C588" s="1" t="s">
        <v>819</v>
      </c>
      <c r="D588" s="2" t="s">
        <v>820</v>
      </c>
      <c r="E588" s="94" t="str">
        <f t="shared" si="32"/>
        <v>OTS-S50-P50-Day20-B:PFOS</v>
      </c>
      <c r="F588" s="2" t="str">
        <f>VLOOKUP(C588,'Task 2b Sample List'!I:K,3,FALSE)</f>
        <v>OTS-S50-P50-Day20-B</v>
      </c>
      <c r="G588" s="166" t="str">
        <f t="shared" si="33"/>
        <v>OTS-S50-P50-Day20</v>
      </c>
      <c r="H588" s="2" t="str">
        <f>VLOOKUP(C588,'Task 2b Sample List'!I:L,4,FALSE)</f>
        <v>A</v>
      </c>
      <c r="I588" t="s">
        <v>196</v>
      </c>
      <c r="J588" s="2">
        <v>50</v>
      </c>
      <c r="K588" s="2">
        <v>50</v>
      </c>
      <c r="L588" s="2">
        <v>20</v>
      </c>
      <c r="M588" s="7" t="s">
        <v>26</v>
      </c>
      <c r="N588" s="2" t="s">
        <v>825</v>
      </c>
      <c r="O588" s="3" t="s">
        <v>39</v>
      </c>
      <c r="P588" s="2" t="s">
        <v>825</v>
      </c>
    </row>
    <row r="589" spans="1:16" ht="15.75" thickBot="1" x14ac:dyDescent="0.3">
      <c r="A589" s="96" t="s">
        <v>83</v>
      </c>
      <c r="B589" s="1" t="s">
        <v>819</v>
      </c>
      <c r="C589" s="1" t="s">
        <v>819</v>
      </c>
      <c r="D589" s="2" t="s">
        <v>820</v>
      </c>
      <c r="E589" s="94" t="str">
        <f t="shared" si="32"/>
        <v>OTS-S50-P50-Day20-B:8:2FTS</v>
      </c>
      <c r="F589" s="2" t="str">
        <f>VLOOKUP(C589,'Task 2b Sample List'!I:K,3,FALSE)</f>
        <v>OTS-S50-P50-Day20-B</v>
      </c>
      <c r="G589" s="166" t="str">
        <f t="shared" si="33"/>
        <v>OTS-S50-P50-Day20</v>
      </c>
      <c r="H589" s="2" t="str">
        <f>VLOOKUP(C589,'Task 2b Sample List'!I:L,4,FALSE)</f>
        <v>A</v>
      </c>
      <c r="I589" t="s">
        <v>196</v>
      </c>
      <c r="J589" s="2">
        <v>50</v>
      </c>
      <c r="K589" s="2">
        <v>50</v>
      </c>
      <c r="L589" s="2">
        <v>20</v>
      </c>
      <c r="M589" s="8" t="s">
        <v>27</v>
      </c>
      <c r="N589" s="4" t="s">
        <v>826</v>
      </c>
      <c r="O589" s="5" t="s">
        <v>39</v>
      </c>
      <c r="P589" s="2" t="s">
        <v>826</v>
      </c>
    </row>
    <row r="590" spans="1:16" x14ac:dyDescent="0.25">
      <c r="A590" s="96" t="s">
        <v>83</v>
      </c>
      <c r="B590" s="1" t="s">
        <v>827</v>
      </c>
      <c r="C590" s="1" t="s">
        <v>827</v>
      </c>
      <c r="D590" s="2" t="s">
        <v>828</v>
      </c>
      <c r="E590" s="94" t="str">
        <f t="shared" si="32"/>
        <v>OTS-S50-P50-Day20-C:PFHxA</v>
      </c>
      <c r="F590" s="2" t="str">
        <f>VLOOKUP(C590,'Task 2b Sample List'!I:K,3,FALSE)</f>
        <v>OTS-S50-P50-Day20-C</v>
      </c>
      <c r="G590" s="166" t="str">
        <f t="shared" si="33"/>
        <v>OTS-S50-P50-Day20</v>
      </c>
      <c r="H590" s="2" t="str">
        <f>VLOOKUP(C590,'Task 2b Sample List'!I:L,4,FALSE)</f>
        <v>A</v>
      </c>
      <c r="I590" t="s">
        <v>196</v>
      </c>
      <c r="J590" s="2">
        <v>50</v>
      </c>
      <c r="K590" s="2">
        <v>50</v>
      </c>
      <c r="L590" s="2">
        <v>20</v>
      </c>
      <c r="M590" s="6" t="s">
        <v>22</v>
      </c>
      <c r="N590" s="2" t="s">
        <v>829</v>
      </c>
      <c r="O590" s="3" t="s">
        <v>39</v>
      </c>
      <c r="P590" s="2" t="s">
        <v>829</v>
      </c>
    </row>
    <row r="591" spans="1:16" x14ac:dyDescent="0.25">
      <c r="A591" s="96" t="s">
        <v>83</v>
      </c>
      <c r="B591" s="1" t="s">
        <v>827</v>
      </c>
      <c r="C591" s="1" t="s">
        <v>827</v>
      </c>
      <c r="D591" s="2" t="s">
        <v>828</v>
      </c>
      <c r="E591" s="94" t="str">
        <f t="shared" si="32"/>
        <v>OTS-S50-P50-Day20-C:PFOA</v>
      </c>
      <c r="F591" s="2" t="str">
        <f>VLOOKUP(C591,'Task 2b Sample List'!I:K,3,FALSE)</f>
        <v>OTS-S50-P50-Day20-C</v>
      </c>
      <c r="G591" s="166" t="str">
        <f t="shared" si="33"/>
        <v>OTS-S50-P50-Day20</v>
      </c>
      <c r="H591" s="2" t="str">
        <f>VLOOKUP(C591,'Task 2b Sample List'!I:L,4,FALSE)</f>
        <v>A</v>
      </c>
      <c r="I591" t="s">
        <v>196</v>
      </c>
      <c r="J591" s="2">
        <v>50</v>
      </c>
      <c r="K591" s="2">
        <v>50</v>
      </c>
      <c r="L591" s="2">
        <v>20</v>
      </c>
      <c r="M591" s="7" t="s">
        <v>23</v>
      </c>
      <c r="N591" s="4" t="s">
        <v>640</v>
      </c>
      <c r="O591" s="5" t="s">
        <v>39</v>
      </c>
      <c r="P591" s="2" t="s">
        <v>640</v>
      </c>
    </row>
    <row r="592" spans="1:16" x14ac:dyDescent="0.25">
      <c r="A592" s="96" t="s">
        <v>83</v>
      </c>
      <c r="B592" s="1" t="s">
        <v>827</v>
      </c>
      <c r="C592" s="1" t="s">
        <v>827</v>
      </c>
      <c r="D592" s="2" t="s">
        <v>828</v>
      </c>
      <c r="E592" s="94" t="str">
        <f t="shared" si="32"/>
        <v>OTS-S50-P50-Day20-C:PFNA</v>
      </c>
      <c r="F592" s="2" t="str">
        <f>VLOOKUP(C592,'Task 2b Sample List'!I:K,3,FALSE)</f>
        <v>OTS-S50-P50-Day20-C</v>
      </c>
      <c r="G592" s="166" t="str">
        <f t="shared" si="33"/>
        <v>OTS-S50-P50-Day20</v>
      </c>
      <c r="H592" s="2" t="str">
        <f>VLOOKUP(C592,'Task 2b Sample List'!I:L,4,FALSE)</f>
        <v>A</v>
      </c>
      <c r="I592" t="s">
        <v>196</v>
      </c>
      <c r="J592" s="2">
        <v>50</v>
      </c>
      <c r="K592" s="2">
        <v>50</v>
      </c>
      <c r="L592" s="2">
        <v>20</v>
      </c>
      <c r="M592" s="7" t="s">
        <v>24</v>
      </c>
      <c r="N592" s="2" t="s">
        <v>830</v>
      </c>
      <c r="O592" s="3" t="s">
        <v>39</v>
      </c>
      <c r="P592" s="2" t="s">
        <v>830</v>
      </c>
    </row>
    <row r="593" spans="1:16" x14ac:dyDescent="0.25">
      <c r="A593" s="96" t="s">
        <v>83</v>
      </c>
      <c r="B593" s="1" t="s">
        <v>827</v>
      </c>
      <c r="C593" s="1" t="s">
        <v>827</v>
      </c>
      <c r="D593" s="2" t="s">
        <v>828</v>
      </c>
      <c r="E593" s="94" t="str">
        <f t="shared" si="32"/>
        <v>OTS-S50-P50-Day20-C:PFBS</v>
      </c>
      <c r="F593" s="2" t="str">
        <f>VLOOKUP(C593,'Task 2b Sample List'!I:K,3,FALSE)</f>
        <v>OTS-S50-P50-Day20-C</v>
      </c>
      <c r="G593" s="166" t="str">
        <f t="shared" si="33"/>
        <v>OTS-S50-P50-Day20</v>
      </c>
      <c r="H593" s="2" t="str">
        <f>VLOOKUP(C593,'Task 2b Sample List'!I:L,4,FALSE)</f>
        <v>A</v>
      </c>
      <c r="I593" t="s">
        <v>196</v>
      </c>
      <c r="J593" s="2">
        <v>50</v>
      </c>
      <c r="K593" s="2">
        <v>50</v>
      </c>
      <c r="L593" s="2">
        <v>20</v>
      </c>
      <c r="M593" s="7" t="s">
        <v>25</v>
      </c>
      <c r="N593" s="4" t="s">
        <v>831</v>
      </c>
      <c r="O593" s="5" t="s">
        <v>39</v>
      </c>
      <c r="P593" s="2" t="s">
        <v>831</v>
      </c>
    </row>
    <row r="594" spans="1:16" x14ac:dyDescent="0.25">
      <c r="A594" s="96" t="s">
        <v>83</v>
      </c>
      <c r="B594" s="1" t="s">
        <v>827</v>
      </c>
      <c r="C594" s="1" t="s">
        <v>827</v>
      </c>
      <c r="D594" s="2" t="s">
        <v>828</v>
      </c>
      <c r="E594" s="94" t="str">
        <f t="shared" si="32"/>
        <v>OTS-S50-P50-Day20-C:PFOS</v>
      </c>
      <c r="F594" s="2" t="str">
        <f>VLOOKUP(C594,'Task 2b Sample List'!I:K,3,FALSE)</f>
        <v>OTS-S50-P50-Day20-C</v>
      </c>
      <c r="G594" s="166" t="str">
        <f t="shared" si="33"/>
        <v>OTS-S50-P50-Day20</v>
      </c>
      <c r="H594" s="2" t="str">
        <f>VLOOKUP(C594,'Task 2b Sample List'!I:L,4,FALSE)</f>
        <v>A</v>
      </c>
      <c r="I594" t="s">
        <v>196</v>
      </c>
      <c r="J594" s="2">
        <v>50</v>
      </c>
      <c r="K594" s="2">
        <v>50</v>
      </c>
      <c r="L594" s="2">
        <v>20</v>
      </c>
      <c r="M594" s="7" t="s">
        <v>26</v>
      </c>
      <c r="N594" s="2" t="s">
        <v>832</v>
      </c>
      <c r="O594" s="3" t="s">
        <v>39</v>
      </c>
      <c r="P594" s="2" t="s">
        <v>832</v>
      </c>
    </row>
    <row r="595" spans="1:16" ht="15.75" thickBot="1" x14ac:dyDescent="0.3">
      <c r="A595" s="96" t="s">
        <v>83</v>
      </c>
      <c r="B595" s="1" t="s">
        <v>827</v>
      </c>
      <c r="C595" s="1" t="s">
        <v>827</v>
      </c>
      <c r="D595" s="2" t="s">
        <v>828</v>
      </c>
      <c r="E595" s="94" t="str">
        <f t="shared" si="32"/>
        <v>OTS-S50-P50-Day20-C:8:2FTS</v>
      </c>
      <c r="F595" s="2" t="str">
        <f>VLOOKUP(C595,'Task 2b Sample List'!I:K,3,FALSE)</f>
        <v>OTS-S50-P50-Day20-C</v>
      </c>
      <c r="G595" s="166" t="str">
        <f t="shared" si="33"/>
        <v>OTS-S50-P50-Day20</v>
      </c>
      <c r="H595" s="2" t="str">
        <f>VLOOKUP(C595,'Task 2b Sample List'!I:L,4,FALSE)</f>
        <v>A</v>
      </c>
      <c r="I595" t="s">
        <v>196</v>
      </c>
      <c r="J595" s="2">
        <v>50</v>
      </c>
      <c r="K595" s="2">
        <v>50</v>
      </c>
      <c r="L595" s="2">
        <v>20</v>
      </c>
      <c r="M595" s="8" t="s">
        <v>27</v>
      </c>
      <c r="N595" s="4" t="s">
        <v>833</v>
      </c>
      <c r="O595" s="5" t="s">
        <v>39</v>
      </c>
      <c r="P595" s="2" t="s">
        <v>833</v>
      </c>
    </row>
    <row r="596" spans="1:16" x14ac:dyDescent="0.25">
      <c r="A596" s="96" t="s">
        <v>83</v>
      </c>
      <c r="B596" s="102" t="s">
        <v>834</v>
      </c>
      <c r="C596" s="1" t="str">
        <f>SUBSTITUTE(B596,"19","37")</f>
        <v>55469-37-205</v>
      </c>
      <c r="D596" s="2" t="s">
        <v>835</v>
      </c>
      <c r="E596" s="94" t="str">
        <f>F596&amp;":"&amp;M596</f>
        <v>OTS-S50-P100-Day20-A:PFHxA</v>
      </c>
      <c r="F596" s="2" t="str">
        <f>VLOOKUP(C596,'Task 2b Sample List'!I:K,3,FALSE)</f>
        <v>OTS-S50-P100-Day20-A</v>
      </c>
      <c r="G596" s="166" t="str">
        <f t="shared" ref="G596:G631" si="34">LEFT(F596,18)</f>
        <v>OTS-S50-P100-Day20</v>
      </c>
      <c r="H596" s="2" t="str">
        <f>VLOOKUP(C596,'Task 2b Sample List'!I:L,4,FALSE)</f>
        <v>B</v>
      </c>
      <c r="I596" t="s">
        <v>196</v>
      </c>
      <c r="J596" s="2">
        <v>50</v>
      </c>
      <c r="K596" s="2">
        <v>100</v>
      </c>
      <c r="L596" s="2">
        <v>20</v>
      </c>
      <c r="M596" s="6" t="s">
        <v>22</v>
      </c>
      <c r="N596" s="2" t="s">
        <v>637</v>
      </c>
      <c r="O596" s="3" t="s">
        <v>39</v>
      </c>
      <c r="P596" s="2" t="s">
        <v>637</v>
      </c>
    </row>
    <row r="597" spans="1:16" x14ac:dyDescent="0.25">
      <c r="A597" s="96" t="s">
        <v>83</v>
      </c>
      <c r="B597" s="102" t="s">
        <v>834</v>
      </c>
      <c r="C597" s="1" t="str">
        <f t="shared" ref="C597:C631" si="35">SUBSTITUTE(B597,"19","37")</f>
        <v>55469-37-205</v>
      </c>
      <c r="D597" s="2" t="s">
        <v>835</v>
      </c>
      <c r="E597" s="94" t="str">
        <f t="shared" si="32"/>
        <v>OTS-S50-P100-Day20-A:PFOA</v>
      </c>
      <c r="F597" s="2" t="str">
        <f>VLOOKUP(C597,'Task 2b Sample List'!I:K,3,FALSE)</f>
        <v>OTS-S50-P100-Day20-A</v>
      </c>
      <c r="G597" s="166" t="str">
        <f t="shared" si="34"/>
        <v>OTS-S50-P100-Day20</v>
      </c>
      <c r="H597" s="2" t="str">
        <f>VLOOKUP(C597,'Task 2b Sample List'!I:L,4,FALSE)</f>
        <v>B</v>
      </c>
      <c r="I597" t="s">
        <v>196</v>
      </c>
      <c r="J597" s="2">
        <v>50</v>
      </c>
      <c r="K597" s="2">
        <v>100</v>
      </c>
      <c r="L597" s="2">
        <v>20</v>
      </c>
      <c r="M597" s="7" t="s">
        <v>23</v>
      </c>
      <c r="N597" s="4" t="s">
        <v>836</v>
      </c>
      <c r="O597" s="5" t="s">
        <v>39</v>
      </c>
      <c r="P597" s="2" t="s">
        <v>836</v>
      </c>
    </row>
    <row r="598" spans="1:16" x14ac:dyDescent="0.25">
      <c r="A598" s="96" t="s">
        <v>83</v>
      </c>
      <c r="B598" s="102" t="s">
        <v>834</v>
      </c>
      <c r="C598" s="1" t="str">
        <f t="shared" si="35"/>
        <v>55469-37-205</v>
      </c>
      <c r="D598" s="2" t="s">
        <v>835</v>
      </c>
      <c r="E598" s="94" t="str">
        <f t="shared" si="32"/>
        <v>OTS-S50-P100-Day20-A:PFNA</v>
      </c>
      <c r="F598" s="2" t="str">
        <f>VLOOKUP(C598,'Task 2b Sample List'!I:K,3,FALSE)</f>
        <v>OTS-S50-P100-Day20-A</v>
      </c>
      <c r="G598" s="166" t="str">
        <f t="shared" si="34"/>
        <v>OTS-S50-P100-Day20</v>
      </c>
      <c r="H598" s="2" t="str">
        <f>VLOOKUP(C598,'Task 2b Sample List'!I:L,4,FALSE)</f>
        <v>B</v>
      </c>
      <c r="I598" t="s">
        <v>196</v>
      </c>
      <c r="J598" s="2">
        <v>50</v>
      </c>
      <c r="K598" s="2">
        <v>100</v>
      </c>
      <c r="L598" s="2">
        <v>20</v>
      </c>
      <c r="M598" s="7" t="s">
        <v>24</v>
      </c>
      <c r="N598" s="2" t="s">
        <v>74</v>
      </c>
      <c r="O598" s="3" t="s">
        <v>39</v>
      </c>
      <c r="P598" s="2" t="s">
        <v>74</v>
      </c>
    </row>
    <row r="599" spans="1:16" x14ac:dyDescent="0.25">
      <c r="A599" s="96" t="s">
        <v>83</v>
      </c>
      <c r="B599" s="102" t="s">
        <v>834</v>
      </c>
      <c r="C599" s="1" t="str">
        <f t="shared" si="35"/>
        <v>55469-37-205</v>
      </c>
      <c r="D599" s="2" t="s">
        <v>835</v>
      </c>
      <c r="E599" s="94" t="str">
        <f t="shared" si="32"/>
        <v>OTS-S50-P100-Day20-A:PFBS</v>
      </c>
      <c r="F599" s="2" t="str">
        <f>VLOOKUP(C599,'Task 2b Sample List'!I:K,3,FALSE)</f>
        <v>OTS-S50-P100-Day20-A</v>
      </c>
      <c r="G599" s="166" t="str">
        <f t="shared" si="34"/>
        <v>OTS-S50-P100-Day20</v>
      </c>
      <c r="H599" s="2" t="str">
        <f>VLOOKUP(C599,'Task 2b Sample List'!I:L,4,FALSE)</f>
        <v>B</v>
      </c>
      <c r="I599" t="s">
        <v>196</v>
      </c>
      <c r="J599" s="2">
        <v>50</v>
      </c>
      <c r="K599" s="2">
        <v>100</v>
      </c>
      <c r="L599" s="2">
        <v>20</v>
      </c>
      <c r="M599" s="7" t="s">
        <v>25</v>
      </c>
      <c r="N599" s="4" t="s">
        <v>837</v>
      </c>
      <c r="O599" s="5" t="s">
        <v>39</v>
      </c>
      <c r="P599" s="2" t="s">
        <v>837</v>
      </c>
    </row>
    <row r="600" spans="1:16" x14ac:dyDescent="0.25">
      <c r="A600" s="96" t="s">
        <v>83</v>
      </c>
      <c r="B600" s="102" t="s">
        <v>834</v>
      </c>
      <c r="C600" s="1" t="str">
        <f t="shared" si="35"/>
        <v>55469-37-205</v>
      </c>
      <c r="D600" s="2" t="s">
        <v>835</v>
      </c>
      <c r="E600" s="94" t="str">
        <f t="shared" si="32"/>
        <v>OTS-S50-P100-Day20-A:PFOS</v>
      </c>
      <c r="F600" s="2" t="str">
        <f>VLOOKUP(C600,'Task 2b Sample List'!I:K,3,FALSE)</f>
        <v>OTS-S50-P100-Day20-A</v>
      </c>
      <c r="G600" s="166" t="str">
        <f t="shared" si="34"/>
        <v>OTS-S50-P100-Day20</v>
      </c>
      <c r="H600" s="2" t="str">
        <f>VLOOKUP(C600,'Task 2b Sample List'!I:L,4,FALSE)</f>
        <v>B</v>
      </c>
      <c r="I600" t="s">
        <v>196</v>
      </c>
      <c r="J600" s="2">
        <v>50</v>
      </c>
      <c r="K600" s="2">
        <v>100</v>
      </c>
      <c r="L600" s="2">
        <v>20</v>
      </c>
      <c r="M600" s="7" t="s">
        <v>26</v>
      </c>
      <c r="N600" s="2" t="s">
        <v>838</v>
      </c>
      <c r="O600" s="3" t="s">
        <v>39</v>
      </c>
      <c r="P600" s="2" t="s">
        <v>838</v>
      </c>
    </row>
    <row r="601" spans="1:16" ht="15.75" thickBot="1" x14ac:dyDescent="0.3">
      <c r="A601" s="96" t="s">
        <v>83</v>
      </c>
      <c r="B601" s="102" t="s">
        <v>834</v>
      </c>
      <c r="C601" s="1" t="str">
        <f t="shared" si="35"/>
        <v>55469-37-205</v>
      </c>
      <c r="D601" s="2" t="s">
        <v>835</v>
      </c>
      <c r="E601" s="94" t="str">
        <f t="shared" si="32"/>
        <v>OTS-S50-P100-Day20-A:8:2FTS</v>
      </c>
      <c r="F601" s="2" t="str">
        <f>VLOOKUP(C601,'Task 2b Sample List'!I:K,3,FALSE)</f>
        <v>OTS-S50-P100-Day20-A</v>
      </c>
      <c r="G601" s="166" t="str">
        <f t="shared" si="34"/>
        <v>OTS-S50-P100-Day20</v>
      </c>
      <c r="H601" s="2" t="str">
        <f>VLOOKUP(C601,'Task 2b Sample List'!I:L,4,FALSE)</f>
        <v>B</v>
      </c>
      <c r="I601" t="s">
        <v>196</v>
      </c>
      <c r="J601" s="2">
        <v>50</v>
      </c>
      <c r="K601" s="2">
        <v>100</v>
      </c>
      <c r="L601" s="2">
        <v>20</v>
      </c>
      <c r="M601" s="8" t="s">
        <v>27</v>
      </c>
      <c r="N601" s="4" t="s">
        <v>839</v>
      </c>
      <c r="O601" s="5" t="s">
        <v>39</v>
      </c>
      <c r="P601" s="2" t="s">
        <v>839</v>
      </c>
    </row>
    <row r="602" spans="1:16" x14ac:dyDescent="0.25">
      <c r="A602" s="96" t="s">
        <v>83</v>
      </c>
      <c r="B602" s="102" t="s">
        <v>840</v>
      </c>
      <c r="C602" s="1" t="str">
        <f t="shared" si="35"/>
        <v>55469-37-206</v>
      </c>
      <c r="D602" s="2" t="s">
        <v>841</v>
      </c>
      <c r="E602" s="94" t="str">
        <f t="shared" si="32"/>
        <v>OTS-S50-P100-Day20-B:PFHxA</v>
      </c>
      <c r="F602" s="2" t="str">
        <f>VLOOKUP(C602,'Task 2b Sample List'!I:K,3,FALSE)</f>
        <v>OTS-S50-P100-Day20-B</v>
      </c>
      <c r="G602" s="166" t="str">
        <f t="shared" si="34"/>
        <v>OTS-S50-P100-Day20</v>
      </c>
      <c r="H602" s="2" t="str">
        <f>VLOOKUP(C602,'Task 2b Sample List'!I:L,4,FALSE)</f>
        <v>B</v>
      </c>
      <c r="I602" t="s">
        <v>196</v>
      </c>
      <c r="J602" s="2">
        <v>50</v>
      </c>
      <c r="K602" s="2">
        <v>100</v>
      </c>
      <c r="L602" s="2">
        <v>20</v>
      </c>
      <c r="M602" s="6" t="s">
        <v>22</v>
      </c>
      <c r="N602" s="2" t="s">
        <v>96</v>
      </c>
      <c r="O602" s="3" t="s">
        <v>39</v>
      </c>
      <c r="P602" s="2" t="s">
        <v>96</v>
      </c>
    </row>
    <row r="603" spans="1:16" x14ac:dyDescent="0.25">
      <c r="A603" s="96" t="s">
        <v>83</v>
      </c>
      <c r="B603" s="102" t="s">
        <v>840</v>
      </c>
      <c r="C603" s="1" t="str">
        <f t="shared" si="35"/>
        <v>55469-37-206</v>
      </c>
      <c r="D603" s="2" t="s">
        <v>841</v>
      </c>
      <c r="E603" s="94" t="str">
        <f t="shared" si="32"/>
        <v>OTS-S50-P100-Day20-B:PFOA</v>
      </c>
      <c r="F603" s="2" t="str">
        <f>VLOOKUP(C603,'Task 2b Sample List'!I:K,3,FALSE)</f>
        <v>OTS-S50-P100-Day20-B</v>
      </c>
      <c r="G603" s="166" t="str">
        <f t="shared" si="34"/>
        <v>OTS-S50-P100-Day20</v>
      </c>
      <c r="H603" s="2" t="str">
        <f>VLOOKUP(C603,'Task 2b Sample List'!I:L,4,FALSE)</f>
        <v>B</v>
      </c>
      <c r="I603" t="s">
        <v>196</v>
      </c>
      <c r="J603" s="2">
        <v>50</v>
      </c>
      <c r="K603" s="2">
        <v>100</v>
      </c>
      <c r="L603" s="2">
        <v>20</v>
      </c>
      <c r="M603" s="7" t="s">
        <v>23</v>
      </c>
      <c r="N603" s="4" t="s">
        <v>842</v>
      </c>
      <c r="O603" s="5" t="s">
        <v>39</v>
      </c>
      <c r="P603" s="2" t="s">
        <v>842</v>
      </c>
    </row>
    <row r="604" spans="1:16" x14ac:dyDescent="0.25">
      <c r="A604" s="96" t="s">
        <v>83</v>
      </c>
      <c r="B604" s="102" t="s">
        <v>840</v>
      </c>
      <c r="C604" s="1" t="str">
        <f t="shared" si="35"/>
        <v>55469-37-206</v>
      </c>
      <c r="D604" s="2" t="s">
        <v>841</v>
      </c>
      <c r="E604" s="94" t="str">
        <f t="shared" si="32"/>
        <v>OTS-S50-P100-Day20-B:PFNA</v>
      </c>
      <c r="F604" s="2" t="str">
        <f>VLOOKUP(C604,'Task 2b Sample List'!I:K,3,FALSE)</f>
        <v>OTS-S50-P100-Day20-B</v>
      </c>
      <c r="G604" s="166" t="str">
        <f t="shared" si="34"/>
        <v>OTS-S50-P100-Day20</v>
      </c>
      <c r="H604" s="2" t="str">
        <f>VLOOKUP(C604,'Task 2b Sample List'!I:L,4,FALSE)</f>
        <v>B</v>
      </c>
      <c r="I604" t="s">
        <v>196</v>
      </c>
      <c r="J604" s="2">
        <v>50</v>
      </c>
      <c r="K604" s="2">
        <v>100</v>
      </c>
      <c r="L604" s="2">
        <v>20</v>
      </c>
      <c r="M604" s="7" t="s">
        <v>24</v>
      </c>
      <c r="N604" s="2" t="s">
        <v>843</v>
      </c>
      <c r="O604" s="3" t="s">
        <v>39</v>
      </c>
      <c r="P604" s="2" t="s">
        <v>843</v>
      </c>
    </row>
    <row r="605" spans="1:16" x14ac:dyDescent="0.25">
      <c r="A605" s="96" t="s">
        <v>83</v>
      </c>
      <c r="B605" s="102" t="s">
        <v>840</v>
      </c>
      <c r="C605" s="1" t="str">
        <f t="shared" si="35"/>
        <v>55469-37-206</v>
      </c>
      <c r="D605" s="2" t="s">
        <v>841</v>
      </c>
      <c r="E605" s="94" t="str">
        <f t="shared" si="32"/>
        <v>OTS-S50-P100-Day20-B:PFBS</v>
      </c>
      <c r="F605" s="2" t="str">
        <f>VLOOKUP(C605,'Task 2b Sample List'!I:K,3,FALSE)</f>
        <v>OTS-S50-P100-Day20-B</v>
      </c>
      <c r="G605" s="166" t="str">
        <f t="shared" si="34"/>
        <v>OTS-S50-P100-Day20</v>
      </c>
      <c r="H605" s="2" t="str">
        <f>VLOOKUP(C605,'Task 2b Sample List'!I:L,4,FALSE)</f>
        <v>B</v>
      </c>
      <c r="I605" t="s">
        <v>196</v>
      </c>
      <c r="J605" s="2">
        <v>50</v>
      </c>
      <c r="K605" s="2">
        <v>100</v>
      </c>
      <c r="L605" s="2">
        <v>20</v>
      </c>
      <c r="M605" s="7" t="s">
        <v>25</v>
      </c>
      <c r="N605" s="4" t="s">
        <v>844</v>
      </c>
      <c r="O605" s="5" t="s">
        <v>39</v>
      </c>
      <c r="P605" s="2" t="s">
        <v>844</v>
      </c>
    </row>
    <row r="606" spans="1:16" x14ac:dyDescent="0.25">
      <c r="A606" s="96" t="s">
        <v>83</v>
      </c>
      <c r="B606" s="102" t="s">
        <v>840</v>
      </c>
      <c r="C606" s="1" t="str">
        <f t="shared" si="35"/>
        <v>55469-37-206</v>
      </c>
      <c r="D606" s="2" t="s">
        <v>841</v>
      </c>
      <c r="E606" s="94" t="str">
        <f t="shared" si="32"/>
        <v>OTS-S50-P100-Day20-B:PFOS</v>
      </c>
      <c r="F606" s="2" t="str">
        <f>VLOOKUP(C606,'Task 2b Sample List'!I:K,3,FALSE)</f>
        <v>OTS-S50-P100-Day20-B</v>
      </c>
      <c r="G606" s="166" t="str">
        <f t="shared" si="34"/>
        <v>OTS-S50-P100-Day20</v>
      </c>
      <c r="H606" s="2" t="str">
        <f>VLOOKUP(C606,'Task 2b Sample List'!I:L,4,FALSE)</f>
        <v>B</v>
      </c>
      <c r="I606" t="s">
        <v>196</v>
      </c>
      <c r="J606" s="2">
        <v>50</v>
      </c>
      <c r="K606" s="2">
        <v>100</v>
      </c>
      <c r="L606" s="2">
        <v>20</v>
      </c>
      <c r="M606" s="7" t="s">
        <v>26</v>
      </c>
      <c r="N606" s="2" t="s">
        <v>619</v>
      </c>
      <c r="O606" s="3" t="s">
        <v>39</v>
      </c>
      <c r="P606" s="2" t="s">
        <v>619</v>
      </c>
    </row>
    <row r="607" spans="1:16" ht="15.75" thickBot="1" x14ac:dyDescent="0.3">
      <c r="A607" s="96" t="s">
        <v>83</v>
      </c>
      <c r="B607" s="102" t="s">
        <v>840</v>
      </c>
      <c r="C607" s="1" t="str">
        <f t="shared" si="35"/>
        <v>55469-37-206</v>
      </c>
      <c r="D607" s="2" t="s">
        <v>841</v>
      </c>
      <c r="E607" s="94" t="str">
        <f t="shared" si="32"/>
        <v>OTS-S50-P100-Day20-B:8:2FTS</v>
      </c>
      <c r="F607" s="2" t="str">
        <f>VLOOKUP(C607,'Task 2b Sample List'!I:K,3,FALSE)</f>
        <v>OTS-S50-P100-Day20-B</v>
      </c>
      <c r="G607" s="166" t="str">
        <f t="shared" si="34"/>
        <v>OTS-S50-P100-Day20</v>
      </c>
      <c r="H607" s="2" t="str">
        <f>VLOOKUP(C607,'Task 2b Sample List'!I:L,4,FALSE)</f>
        <v>B</v>
      </c>
      <c r="I607" t="s">
        <v>196</v>
      </c>
      <c r="J607" s="2">
        <v>50</v>
      </c>
      <c r="K607" s="2">
        <v>100</v>
      </c>
      <c r="L607" s="2">
        <v>20</v>
      </c>
      <c r="M607" s="8" t="s">
        <v>27</v>
      </c>
      <c r="N607" s="4" t="s">
        <v>845</v>
      </c>
      <c r="O607" s="5" t="s">
        <v>39</v>
      </c>
      <c r="P607" s="2" t="s">
        <v>845</v>
      </c>
    </row>
    <row r="608" spans="1:16" x14ac:dyDescent="0.25">
      <c r="A608" s="96" t="s">
        <v>83</v>
      </c>
      <c r="B608" s="102" t="s">
        <v>846</v>
      </c>
      <c r="C608" s="1" t="str">
        <f t="shared" si="35"/>
        <v>55469-37-207</v>
      </c>
      <c r="D608" s="2" t="s">
        <v>847</v>
      </c>
      <c r="E608" s="94" t="str">
        <f t="shared" si="32"/>
        <v>OTS-S50-P100-Day20-C:PFHxA</v>
      </c>
      <c r="F608" s="2" t="str">
        <f>VLOOKUP(C608,'Task 2b Sample List'!I:K,3,FALSE)</f>
        <v>OTS-S50-P100-Day20-C</v>
      </c>
      <c r="G608" s="166" t="str">
        <f t="shared" si="34"/>
        <v>OTS-S50-P100-Day20</v>
      </c>
      <c r="H608" s="2" t="str">
        <f>VLOOKUP(C608,'Task 2b Sample List'!I:L,4,FALSE)</f>
        <v>B</v>
      </c>
      <c r="I608" t="s">
        <v>196</v>
      </c>
      <c r="J608" s="2">
        <v>50</v>
      </c>
      <c r="K608" s="2">
        <v>100</v>
      </c>
      <c r="L608" s="2">
        <v>20</v>
      </c>
      <c r="M608" s="6" t="s">
        <v>22</v>
      </c>
      <c r="N608" s="2" t="s">
        <v>530</v>
      </c>
      <c r="O608" s="3" t="s">
        <v>39</v>
      </c>
      <c r="P608" s="2" t="s">
        <v>530</v>
      </c>
    </row>
    <row r="609" spans="1:16" x14ac:dyDescent="0.25">
      <c r="A609" s="96" t="s">
        <v>83</v>
      </c>
      <c r="B609" s="102" t="s">
        <v>846</v>
      </c>
      <c r="C609" s="1" t="str">
        <f t="shared" si="35"/>
        <v>55469-37-207</v>
      </c>
      <c r="D609" s="2" t="s">
        <v>847</v>
      </c>
      <c r="E609" s="94" t="str">
        <f t="shared" si="32"/>
        <v>OTS-S50-P100-Day20-C:PFOA</v>
      </c>
      <c r="F609" s="2" t="str">
        <f>VLOOKUP(C609,'Task 2b Sample List'!I:K,3,FALSE)</f>
        <v>OTS-S50-P100-Day20-C</v>
      </c>
      <c r="G609" s="166" t="str">
        <f t="shared" si="34"/>
        <v>OTS-S50-P100-Day20</v>
      </c>
      <c r="H609" s="2" t="str">
        <f>VLOOKUP(C609,'Task 2b Sample List'!I:L,4,FALSE)</f>
        <v>B</v>
      </c>
      <c r="I609" t="s">
        <v>196</v>
      </c>
      <c r="J609" s="2">
        <v>50</v>
      </c>
      <c r="K609" s="2">
        <v>100</v>
      </c>
      <c r="L609" s="2">
        <v>20</v>
      </c>
      <c r="M609" s="7" t="s">
        <v>23</v>
      </c>
      <c r="N609" s="4" t="s">
        <v>848</v>
      </c>
      <c r="O609" s="5" t="s">
        <v>39</v>
      </c>
      <c r="P609" s="2" t="s">
        <v>848</v>
      </c>
    </row>
    <row r="610" spans="1:16" x14ac:dyDescent="0.25">
      <c r="A610" s="96" t="s">
        <v>83</v>
      </c>
      <c r="B610" s="102" t="s">
        <v>846</v>
      </c>
      <c r="C610" s="1" t="str">
        <f t="shared" si="35"/>
        <v>55469-37-207</v>
      </c>
      <c r="D610" s="2" t="s">
        <v>847</v>
      </c>
      <c r="E610" s="94" t="str">
        <f t="shared" si="32"/>
        <v>OTS-S50-P100-Day20-C:PFNA</v>
      </c>
      <c r="F610" s="2" t="str">
        <f>VLOOKUP(C610,'Task 2b Sample List'!I:K,3,FALSE)</f>
        <v>OTS-S50-P100-Day20-C</v>
      </c>
      <c r="G610" s="166" t="str">
        <f t="shared" si="34"/>
        <v>OTS-S50-P100-Day20</v>
      </c>
      <c r="H610" s="2" t="str">
        <f>VLOOKUP(C610,'Task 2b Sample List'!I:L,4,FALSE)</f>
        <v>B</v>
      </c>
      <c r="I610" t="s">
        <v>196</v>
      </c>
      <c r="J610" s="2">
        <v>50</v>
      </c>
      <c r="K610" s="2">
        <v>100</v>
      </c>
      <c r="L610" s="2">
        <v>20</v>
      </c>
      <c r="M610" s="7" t="s">
        <v>24</v>
      </c>
      <c r="N610" s="2" t="s">
        <v>849</v>
      </c>
      <c r="O610" s="3" t="s">
        <v>39</v>
      </c>
      <c r="P610" s="2" t="s">
        <v>849</v>
      </c>
    </row>
    <row r="611" spans="1:16" x14ac:dyDescent="0.25">
      <c r="A611" s="96" t="s">
        <v>83</v>
      </c>
      <c r="B611" s="102" t="s">
        <v>846</v>
      </c>
      <c r="C611" s="1" t="str">
        <f t="shared" si="35"/>
        <v>55469-37-207</v>
      </c>
      <c r="D611" s="2" t="s">
        <v>847</v>
      </c>
      <c r="E611" s="94" t="str">
        <f t="shared" si="32"/>
        <v>OTS-S50-P100-Day20-C:PFBS</v>
      </c>
      <c r="F611" s="2" t="str">
        <f>VLOOKUP(C611,'Task 2b Sample List'!I:K,3,FALSE)</f>
        <v>OTS-S50-P100-Day20-C</v>
      </c>
      <c r="G611" s="166" t="str">
        <f t="shared" si="34"/>
        <v>OTS-S50-P100-Day20</v>
      </c>
      <c r="H611" s="2" t="str">
        <f>VLOOKUP(C611,'Task 2b Sample List'!I:L,4,FALSE)</f>
        <v>B</v>
      </c>
      <c r="I611" t="s">
        <v>196</v>
      </c>
      <c r="J611" s="2">
        <v>50</v>
      </c>
      <c r="K611" s="2">
        <v>100</v>
      </c>
      <c r="L611" s="2">
        <v>20</v>
      </c>
      <c r="M611" s="7" t="s">
        <v>25</v>
      </c>
      <c r="N611" s="4" t="s">
        <v>850</v>
      </c>
      <c r="O611" s="5" t="s">
        <v>39</v>
      </c>
      <c r="P611" s="2" t="s">
        <v>850</v>
      </c>
    </row>
    <row r="612" spans="1:16" x14ac:dyDescent="0.25">
      <c r="A612" s="96" t="s">
        <v>83</v>
      </c>
      <c r="B612" s="102" t="s">
        <v>846</v>
      </c>
      <c r="C612" s="1" t="str">
        <f t="shared" si="35"/>
        <v>55469-37-207</v>
      </c>
      <c r="D612" s="2" t="s">
        <v>847</v>
      </c>
      <c r="E612" s="94" t="str">
        <f t="shared" si="32"/>
        <v>OTS-S50-P100-Day20-C:PFOS</v>
      </c>
      <c r="F612" s="2" t="str">
        <f>VLOOKUP(C612,'Task 2b Sample List'!I:K,3,FALSE)</f>
        <v>OTS-S50-P100-Day20-C</v>
      </c>
      <c r="G612" s="166" t="str">
        <f t="shared" si="34"/>
        <v>OTS-S50-P100-Day20</v>
      </c>
      <c r="H612" s="2" t="str">
        <f>VLOOKUP(C612,'Task 2b Sample List'!I:L,4,FALSE)</f>
        <v>B</v>
      </c>
      <c r="I612" t="s">
        <v>196</v>
      </c>
      <c r="J612" s="2">
        <v>50</v>
      </c>
      <c r="K612" s="2">
        <v>100</v>
      </c>
      <c r="L612" s="2">
        <v>20</v>
      </c>
      <c r="M612" s="7" t="s">
        <v>26</v>
      </c>
      <c r="N612" s="2" t="s">
        <v>851</v>
      </c>
      <c r="O612" s="3" t="s">
        <v>39</v>
      </c>
      <c r="P612" s="2" t="s">
        <v>851</v>
      </c>
    </row>
    <row r="613" spans="1:16" ht="15.75" thickBot="1" x14ac:dyDescent="0.3">
      <c r="A613" s="96" t="s">
        <v>83</v>
      </c>
      <c r="B613" s="102" t="s">
        <v>846</v>
      </c>
      <c r="C613" s="1" t="str">
        <f t="shared" si="35"/>
        <v>55469-37-207</v>
      </c>
      <c r="D613" s="2" t="s">
        <v>847</v>
      </c>
      <c r="E613" s="94" t="str">
        <f t="shared" si="32"/>
        <v>OTS-S50-P100-Day20-C:8:2FTS</v>
      </c>
      <c r="F613" s="2" t="str">
        <f>VLOOKUP(C613,'Task 2b Sample List'!I:K,3,FALSE)</f>
        <v>OTS-S50-P100-Day20-C</v>
      </c>
      <c r="G613" s="166" t="str">
        <f t="shared" si="34"/>
        <v>OTS-S50-P100-Day20</v>
      </c>
      <c r="H613" s="2" t="str">
        <f>VLOOKUP(C613,'Task 2b Sample List'!I:L,4,FALSE)</f>
        <v>B</v>
      </c>
      <c r="I613" t="s">
        <v>196</v>
      </c>
      <c r="J613" s="2">
        <v>50</v>
      </c>
      <c r="K613" s="2">
        <v>100</v>
      </c>
      <c r="L613" s="2">
        <v>20</v>
      </c>
      <c r="M613" s="8" t="s">
        <v>27</v>
      </c>
      <c r="N613" s="4" t="s">
        <v>852</v>
      </c>
      <c r="O613" s="5" t="s">
        <v>39</v>
      </c>
      <c r="P613" s="2" t="s">
        <v>852</v>
      </c>
    </row>
    <row r="614" spans="1:16" x14ac:dyDescent="0.25">
      <c r="A614" s="96" t="s">
        <v>83</v>
      </c>
      <c r="B614" s="102" t="s">
        <v>853</v>
      </c>
      <c r="C614" s="1" t="str">
        <f t="shared" si="35"/>
        <v>55469-37-208</v>
      </c>
      <c r="D614" s="2" t="s">
        <v>854</v>
      </c>
      <c r="E614" s="94" t="str">
        <f t="shared" si="32"/>
        <v>OTS-S50-P500-Day20-A:PFHxA</v>
      </c>
      <c r="F614" s="2" t="str">
        <f>VLOOKUP(C614,'Task 2b Sample List'!I:K,3,FALSE)</f>
        <v>OTS-S50-P500-Day20-A</v>
      </c>
      <c r="G614" s="166" t="str">
        <f t="shared" si="34"/>
        <v>OTS-S50-P500-Day20</v>
      </c>
      <c r="H614" s="2" t="str">
        <f>VLOOKUP(C614,'Task 2b Sample List'!I:L,4,FALSE)</f>
        <v>A</v>
      </c>
      <c r="I614" t="s">
        <v>196</v>
      </c>
      <c r="J614" s="2">
        <v>50</v>
      </c>
      <c r="K614" s="2">
        <v>500</v>
      </c>
      <c r="L614" s="2">
        <v>20</v>
      </c>
      <c r="M614" s="6" t="s">
        <v>22</v>
      </c>
      <c r="N614" s="2" t="s">
        <v>855</v>
      </c>
      <c r="O614" s="3" t="s">
        <v>39</v>
      </c>
      <c r="P614" s="2" t="s">
        <v>855</v>
      </c>
    </row>
    <row r="615" spans="1:16" x14ac:dyDescent="0.25">
      <c r="A615" s="96" t="s">
        <v>83</v>
      </c>
      <c r="B615" s="102" t="s">
        <v>853</v>
      </c>
      <c r="C615" s="1" t="str">
        <f t="shared" si="35"/>
        <v>55469-37-208</v>
      </c>
      <c r="D615" s="2" t="s">
        <v>854</v>
      </c>
      <c r="E615" s="94" t="str">
        <f t="shared" si="32"/>
        <v>OTS-S50-P500-Day20-A:PFOA</v>
      </c>
      <c r="F615" s="2" t="str">
        <f>VLOOKUP(C615,'Task 2b Sample List'!I:K,3,FALSE)</f>
        <v>OTS-S50-P500-Day20-A</v>
      </c>
      <c r="G615" s="166" t="str">
        <f t="shared" si="34"/>
        <v>OTS-S50-P500-Day20</v>
      </c>
      <c r="H615" s="2" t="str">
        <f>VLOOKUP(C615,'Task 2b Sample List'!I:L,4,FALSE)</f>
        <v>A</v>
      </c>
      <c r="I615" t="s">
        <v>196</v>
      </c>
      <c r="J615" s="2">
        <v>50</v>
      </c>
      <c r="K615" s="2">
        <v>500</v>
      </c>
      <c r="L615" s="2">
        <v>20</v>
      </c>
      <c r="M615" s="7" t="s">
        <v>23</v>
      </c>
      <c r="N615" s="4" t="s">
        <v>856</v>
      </c>
      <c r="O615" s="5" t="s">
        <v>39</v>
      </c>
      <c r="P615" s="2" t="s">
        <v>856</v>
      </c>
    </row>
    <row r="616" spans="1:16" x14ac:dyDescent="0.25">
      <c r="A616" s="96" t="s">
        <v>83</v>
      </c>
      <c r="B616" s="102" t="s">
        <v>853</v>
      </c>
      <c r="C616" s="1" t="str">
        <f t="shared" si="35"/>
        <v>55469-37-208</v>
      </c>
      <c r="D616" s="2" t="s">
        <v>854</v>
      </c>
      <c r="E616" s="94" t="str">
        <f t="shared" si="32"/>
        <v>OTS-S50-P500-Day20-A:PFNA</v>
      </c>
      <c r="F616" s="2" t="str">
        <f>VLOOKUP(C616,'Task 2b Sample List'!I:K,3,FALSE)</f>
        <v>OTS-S50-P500-Day20-A</v>
      </c>
      <c r="G616" s="166" t="str">
        <f t="shared" si="34"/>
        <v>OTS-S50-P500-Day20</v>
      </c>
      <c r="H616" s="2" t="str">
        <f>VLOOKUP(C616,'Task 2b Sample List'!I:L,4,FALSE)</f>
        <v>A</v>
      </c>
      <c r="I616" t="s">
        <v>196</v>
      </c>
      <c r="J616" s="2">
        <v>50</v>
      </c>
      <c r="K616" s="2">
        <v>500</v>
      </c>
      <c r="L616" s="2">
        <v>20</v>
      </c>
      <c r="M616" s="7" t="s">
        <v>24</v>
      </c>
      <c r="N616" s="2" t="s">
        <v>857</v>
      </c>
      <c r="O616" s="3" t="s">
        <v>39</v>
      </c>
      <c r="P616" s="2" t="s">
        <v>857</v>
      </c>
    </row>
    <row r="617" spans="1:16" x14ac:dyDescent="0.25">
      <c r="A617" s="96" t="s">
        <v>83</v>
      </c>
      <c r="B617" s="102" t="s">
        <v>853</v>
      </c>
      <c r="C617" s="1" t="str">
        <f t="shared" si="35"/>
        <v>55469-37-208</v>
      </c>
      <c r="D617" s="2" t="s">
        <v>854</v>
      </c>
      <c r="E617" s="94" t="str">
        <f t="shared" si="32"/>
        <v>OTS-S50-P500-Day20-A:PFBS</v>
      </c>
      <c r="F617" s="2" t="str">
        <f>VLOOKUP(C617,'Task 2b Sample List'!I:K,3,FALSE)</f>
        <v>OTS-S50-P500-Day20-A</v>
      </c>
      <c r="G617" s="166" t="str">
        <f t="shared" si="34"/>
        <v>OTS-S50-P500-Day20</v>
      </c>
      <c r="H617" s="2" t="str">
        <f>VLOOKUP(C617,'Task 2b Sample List'!I:L,4,FALSE)</f>
        <v>A</v>
      </c>
      <c r="I617" t="s">
        <v>196</v>
      </c>
      <c r="J617" s="2">
        <v>50</v>
      </c>
      <c r="K617" s="2">
        <v>500</v>
      </c>
      <c r="L617" s="2">
        <v>20</v>
      </c>
      <c r="M617" s="7" t="s">
        <v>25</v>
      </c>
      <c r="N617" s="4" t="s">
        <v>858</v>
      </c>
      <c r="O617" s="5" t="s">
        <v>39</v>
      </c>
      <c r="P617" s="2" t="s">
        <v>858</v>
      </c>
    </row>
    <row r="618" spans="1:16" x14ac:dyDescent="0.25">
      <c r="A618" s="96" t="s">
        <v>83</v>
      </c>
      <c r="B618" s="102" t="s">
        <v>853</v>
      </c>
      <c r="C618" s="1" t="str">
        <f t="shared" si="35"/>
        <v>55469-37-208</v>
      </c>
      <c r="D618" s="2" t="s">
        <v>854</v>
      </c>
      <c r="E618" s="94" t="str">
        <f t="shared" si="32"/>
        <v>OTS-S50-P500-Day20-A:PFOS</v>
      </c>
      <c r="F618" s="2" t="str">
        <f>VLOOKUP(C618,'Task 2b Sample List'!I:K,3,FALSE)</f>
        <v>OTS-S50-P500-Day20-A</v>
      </c>
      <c r="G618" s="166" t="str">
        <f t="shared" si="34"/>
        <v>OTS-S50-P500-Day20</v>
      </c>
      <c r="H618" s="2" t="str">
        <f>VLOOKUP(C618,'Task 2b Sample List'!I:L,4,FALSE)</f>
        <v>A</v>
      </c>
      <c r="I618" t="s">
        <v>196</v>
      </c>
      <c r="J618" s="2">
        <v>50</v>
      </c>
      <c r="K618" s="2">
        <v>500</v>
      </c>
      <c r="L618" s="2">
        <v>20</v>
      </c>
      <c r="M618" s="7" t="s">
        <v>26</v>
      </c>
      <c r="N618" s="2" t="s">
        <v>137</v>
      </c>
      <c r="O618" s="3" t="s">
        <v>39</v>
      </c>
      <c r="P618" s="2" t="s">
        <v>137</v>
      </c>
    </row>
    <row r="619" spans="1:16" ht="15.75" thickBot="1" x14ac:dyDescent="0.3">
      <c r="A619" s="96" t="s">
        <v>83</v>
      </c>
      <c r="B619" s="102" t="s">
        <v>853</v>
      </c>
      <c r="C619" s="1" t="str">
        <f t="shared" si="35"/>
        <v>55469-37-208</v>
      </c>
      <c r="D619" s="2" t="s">
        <v>854</v>
      </c>
      <c r="E619" s="94" t="str">
        <f t="shared" si="32"/>
        <v>OTS-S50-P500-Day20-A:8:2FTS</v>
      </c>
      <c r="F619" s="2" t="str">
        <f>VLOOKUP(C619,'Task 2b Sample List'!I:K,3,FALSE)</f>
        <v>OTS-S50-P500-Day20-A</v>
      </c>
      <c r="G619" s="166" t="str">
        <f t="shared" si="34"/>
        <v>OTS-S50-P500-Day20</v>
      </c>
      <c r="H619" s="2" t="str">
        <f>VLOOKUP(C619,'Task 2b Sample List'!I:L,4,FALSE)</f>
        <v>A</v>
      </c>
      <c r="I619" t="s">
        <v>196</v>
      </c>
      <c r="J619" s="2">
        <v>50</v>
      </c>
      <c r="K619" s="2">
        <v>500</v>
      </c>
      <c r="L619" s="2">
        <v>20</v>
      </c>
      <c r="M619" s="8" t="s">
        <v>27</v>
      </c>
      <c r="N619" s="4" t="s">
        <v>859</v>
      </c>
      <c r="O619" s="5" t="s">
        <v>39</v>
      </c>
      <c r="P619" s="2" t="s">
        <v>859</v>
      </c>
    </row>
    <row r="620" spans="1:16" x14ac:dyDescent="0.25">
      <c r="A620" s="96" t="s">
        <v>83</v>
      </c>
      <c r="B620" s="102" t="s">
        <v>860</v>
      </c>
      <c r="C620" s="1" t="str">
        <f t="shared" si="35"/>
        <v>55469-37-209</v>
      </c>
      <c r="D620" s="2" t="s">
        <v>861</v>
      </c>
      <c r="E620" s="94" t="str">
        <f t="shared" si="32"/>
        <v>OTS-S50-P500-Day20-B:PFHxA</v>
      </c>
      <c r="F620" s="2" t="str">
        <f>VLOOKUP(C620,'Task 2b Sample List'!I:K,3,FALSE)</f>
        <v>OTS-S50-P500-Day20-B</v>
      </c>
      <c r="G620" s="166" t="str">
        <f t="shared" si="34"/>
        <v>OTS-S50-P500-Day20</v>
      </c>
      <c r="H620" s="2" t="str">
        <f>VLOOKUP(C620,'Task 2b Sample List'!I:L,4,FALSE)</f>
        <v>A</v>
      </c>
      <c r="I620" t="s">
        <v>196</v>
      </c>
      <c r="J620" s="2">
        <v>50</v>
      </c>
      <c r="K620" s="2">
        <v>500</v>
      </c>
      <c r="L620" s="2">
        <v>20</v>
      </c>
      <c r="M620" s="6" t="s">
        <v>22</v>
      </c>
      <c r="N620" s="2" t="s">
        <v>862</v>
      </c>
      <c r="O620" s="3" t="s">
        <v>39</v>
      </c>
      <c r="P620" s="2" t="s">
        <v>862</v>
      </c>
    </row>
    <row r="621" spans="1:16" x14ac:dyDescent="0.25">
      <c r="A621" s="96" t="s">
        <v>83</v>
      </c>
      <c r="B621" s="102" t="s">
        <v>860</v>
      </c>
      <c r="C621" s="1" t="str">
        <f t="shared" si="35"/>
        <v>55469-37-209</v>
      </c>
      <c r="D621" s="2" t="s">
        <v>861</v>
      </c>
      <c r="E621" s="94" t="str">
        <f t="shared" ref="E621:E630" si="36">F621&amp;":"&amp;M621</f>
        <v>OTS-S50-P500-Day20-B:PFOA</v>
      </c>
      <c r="F621" s="2" t="str">
        <f>VLOOKUP(C621,'Task 2b Sample List'!I:K,3,FALSE)</f>
        <v>OTS-S50-P500-Day20-B</v>
      </c>
      <c r="G621" s="166" t="str">
        <f t="shared" si="34"/>
        <v>OTS-S50-P500-Day20</v>
      </c>
      <c r="H621" s="2" t="str">
        <f>VLOOKUP(C621,'Task 2b Sample List'!I:L,4,FALSE)</f>
        <v>A</v>
      </c>
      <c r="I621" t="s">
        <v>196</v>
      </c>
      <c r="J621" s="2">
        <v>50</v>
      </c>
      <c r="K621" s="2">
        <v>500</v>
      </c>
      <c r="L621" s="2">
        <v>20</v>
      </c>
      <c r="M621" s="7" t="s">
        <v>23</v>
      </c>
      <c r="N621" s="4" t="s">
        <v>863</v>
      </c>
      <c r="O621" s="5" t="s">
        <v>39</v>
      </c>
      <c r="P621" s="2" t="s">
        <v>863</v>
      </c>
    </row>
    <row r="622" spans="1:16" x14ac:dyDescent="0.25">
      <c r="A622" s="96" t="s">
        <v>83</v>
      </c>
      <c r="B622" s="102" t="s">
        <v>860</v>
      </c>
      <c r="C622" s="1" t="str">
        <f t="shared" si="35"/>
        <v>55469-37-209</v>
      </c>
      <c r="D622" s="2" t="s">
        <v>861</v>
      </c>
      <c r="E622" s="94" t="str">
        <f t="shared" si="36"/>
        <v>OTS-S50-P500-Day20-B:PFNA</v>
      </c>
      <c r="F622" s="2" t="str">
        <f>VLOOKUP(C622,'Task 2b Sample List'!I:K,3,FALSE)</f>
        <v>OTS-S50-P500-Day20-B</v>
      </c>
      <c r="G622" s="166" t="str">
        <f t="shared" si="34"/>
        <v>OTS-S50-P500-Day20</v>
      </c>
      <c r="H622" s="2" t="str">
        <f>VLOOKUP(C622,'Task 2b Sample List'!I:L,4,FALSE)</f>
        <v>A</v>
      </c>
      <c r="I622" t="s">
        <v>196</v>
      </c>
      <c r="J622" s="2">
        <v>50</v>
      </c>
      <c r="K622" s="2">
        <v>500</v>
      </c>
      <c r="L622" s="2">
        <v>20</v>
      </c>
      <c r="M622" s="7" t="s">
        <v>24</v>
      </c>
      <c r="N622" s="2" t="s">
        <v>864</v>
      </c>
      <c r="O622" s="3" t="s">
        <v>39</v>
      </c>
      <c r="P622" s="2" t="s">
        <v>864</v>
      </c>
    </row>
    <row r="623" spans="1:16" x14ac:dyDescent="0.25">
      <c r="A623" s="96" t="s">
        <v>83</v>
      </c>
      <c r="B623" s="102" t="s">
        <v>860</v>
      </c>
      <c r="C623" s="1" t="str">
        <f t="shared" si="35"/>
        <v>55469-37-209</v>
      </c>
      <c r="D623" s="2" t="s">
        <v>861</v>
      </c>
      <c r="E623" s="94" t="str">
        <f t="shared" si="36"/>
        <v>OTS-S50-P500-Day20-B:PFBS</v>
      </c>
      <c r="F623" s="2" t="str">
        <f>VLOOKUP(C623,'Task 2b Sample List'!I:K,3,FALSE)</f>
        <v>OTS-S50-P500-Day20-B</v>
      </c>
      <c r="G623" s="166" t="str">
        <f t="shared" si="34"/>
        <v>OTS-S50-P500-Day20</v>
      </c>
      <c r="H623" s="2" t="str">
        <f>VLOOKUP(C623,'Task 2b Sample List'!I:L,4,FALSE)</f>
        <v>A</v>
      </c>
      <c r="I623" t="s">
        <v>196</v>
      </c>
      <c r="J623" s="2">
        <v>50</v>
      </c>
      <c r="K623" s="2">
        <v>500</v>
      </c>
      <c r="L623" s="2">
        <v>20</v>
      </c>
      <c r="M623" s="7" t="s">
        <v>25</v>
      </c>
      <c r="N623" s="4" t="s">
        <v>865</v>
      </c>
      <c r="O623" s="5" t="s">
        <v>39</v>
      </c>
      <c r="P623" s="2" t="s">
        <v>865</v>
      </c>
    </row>
    <row r="624" spans="1:16" x14ac:dyDescent="0.25">
      <c r="A624" s="96" t="s">
        <v>83</v>
      </c>
      <c r="B624" s="102" t="s">
        <v>860</v>
      </c>
      <c r="C624" s="1" t="str">
        <f t="shared" si="35"/>
        <v>55469-37-209</v>
      </c>
      <c r="D624" s="2" t="s">
        <v>861</v>
      </c>
      <c r="E624" s="94" t="str">
        <f t="shared" si="36"/>
        <v>OTS-S50-P500-Day20-B:PFOS</v>
      </c>
      <c r="F624" s="2" t="str">
        <f>VLOOKUP(C624,'Task 2b Sample List'!I:K,3,FALSE)</f>
        <v>OTS-S50-P500-Day20-B</v>
      </c>
      <c r="G624" s="166" t="str">
        <f t="shared" si="34"/>
        <v>OTS-S50-P500-Day20</v>
      </c>
      <c r="H624" s="2" t="str">
        <f>VLOOKUP(C624,'Task 2b Sample List'!I:L,4,FALSE)</f>
        <v>A</v>
      </c>
      <c r="I624" t="s">
        <v>196</v>
      </c>
      <c r="J624" s="2">
        <v>50</v>
      </c>
      <c r="K624" s="2">
        <v>500</v>
      </c>
      <c r="L624" s="2">
        <v>20</v>
      </c>
      <c r="M624" s="7" t="s">
        <v>26</v>
      </c>
      <c r="N624" s="2" t="s">
        <v>866</v>
      </c>
      <c r="O624" s="3" t="s">
        <v>39</v>
      </c>
      <c r="P624" s="2" t="s">
        <v>866</v>
      </c>
    </row>
    <row r="625" spans="1:16" ht="15.75" thickBot="1" x14ac:dyDescent="0.3">
      <c r="A625" s="96" t="s">
        <v>83</v>
      </c>
      <c r="B625" s="102" t="s">
        <v>860</v>
      </c>
      <c r="C625" s="1" t="str">
        <f t="shared" si="35"/>
        <v>55469-37-209</v>
      </c>
      <c r="D625" s="2" t="s">
        <v>861</v>
      </c>
      <c r="E625" s="94" t="str">
        <f t="shared" si="36"/>
        <v>OTS-S50-P500-Day20-B:8:2FTS</v>
      </c>
      <c r="F625" s="2" t="str">
        <f>VLOOKUP(C625,'Task 2b Sample List'!I:K,3,FALSE)</f>
        <v>OTS-S50-P500-Day20-B</v>
      </c>
      <c r="G625" s="166" t="str">
        <f t="shared" si="34"/>
        <v>OTS-S50-P500-Day20</v>
      </c>
      <c r="H625" s="2" t="str">
        <f>VLOOKUP(C625,'Task 2b Sample List'!I:L,4,FALSE)</f>
        <v>A</v>
      </c>
      <c r="I625" t="s">
        <v>196</v>
      </c>
      <c r="J625" s="2">
        <v>50</v>
      </c>
      <c r="K625" s="2">
        <v>500</v>
      </c>
      <c r="L625" s="2">
        <v>20</v>
      </c>
      <c r="M625" s="8" t="s">
        <v>27</v>
      </c>
      <c r="N625" s="4" t="s">
        <v>867</v>
      </c>
      <c r="O625" s="5" t="s">
        <v>39</v>
      </c>
      <c r="P625" s="2" t="s">
        <v>867</v>
      </c>
    </row>
    <row r="626" spans="1:16" x14ac:dyDescent="0.25">
      <c r="A626" s="96" t="s">
        <v>83</v>
      </c>
      <c r="B626" s="102" t="s">
        <v>868</v>
      </c>
      <c r="C626" s="1" t="str">
        <f t="shared" si="35"/>
        <v>55469-37-210</v>
      </c>
      <c r="D626" s="2" t="s">
        <v>869</v>
      </c>
      <c r="E626" s="94" t="str">
        <f t="shared" si="36"/>
        <v>OTS-S50-P500-Day20-C:PFHxA</v>
      </c>
      <c r="F626" s="2" t="str">
        <f>VLOOKUP(C626,'Task 2b Sample List'!I:K,3,FALSE)</f>
        <v>OTS-S50-P500-Day20-C</v>
      </c>
      <c r="G626" s="166" t="str">
        <f t="shared" si="34"/>
        <v>OTS-S50-P500-Day20</v>
      </c>
      <c r="H626" s="2" t="str">
        <f>VLOOKUP(C626,'Task 2b Sample List'!I:L,4,FALSE)</f>
        <v>A</v>
      </c>
      <c r="I626" t="s">
        <v>196</v>
      </c>
      <c r="J626" s="2">
        <v>50</v>
      </c>
      <c r="K626" s="2">
        <v>500</v>
      </c>
      <c r="L626" s="2">
        <v>20</v>
      </c>
      <c r="M626" s="6" t="s">
        <v>22</v>
      </c>
      <c r="N626" s="2" t="s">
        <v>870</v>
      </c>
      <c r="O626" s="3" t="s">
        <v>39</v>
      </c>
      <c r="P626" s="2" t="s">
        <v>870</v>
      </c>
    </row>
    <row r="627" spans="1:16" x14ac:dyDescent="0.25">
      <c r="A627" s="96" t="s">
        <v>83</v>
      </c>
      <c r="B627" s="102" t="s">
        <v>868</v>
      </c>
      <c r="C627" s="1" t="str">
        <f t="shared" si="35"/>
        <v>55469-37-210</v>
      </c>
      <c r="D627" s="2" t="s">
        <v>869</v>
      </c>
      <c r="E627" s="94" t="str">
        <f t="shared" si="36"/>
        <v>OTS-S50-P500-Day20-C:PFOA</v>
      </c>
      <c r="F627" s="2" t="str">
        <f>VLOOKUP(C627,'Task 2b Sample List'!I:K,3,FALSE)</f>
        <v>OTS-S50-P500-Day20-C</v>
      </c>
      <c r="G627" s="166" t="str">
        <f t="shared" si="34"/>
        <v>OTS-S50-P500-Day20</v>
      </c>
      <c r="H627" s="2" t="str">
        <f>VLOOKUP(C627,'Task 2b Sample List'!I:L,4,FALSE)</f>
        <v>A</v>
      </c>
      <c r="I627" t="s">
        <v>196</v>
      </c>
      <c r="J627" s="2">
        <v>50</v>
      </c>
      <c r="K627" s="2">
        <v>500</v>
      </c>
      <c r="L627" s="2">
        <v>20</v>
      </c>
      <c r="M627" s="7" t="s">
        <v>23</v>
      </c>
      <c r="N627" s="4" t="s">
        <v>871</v>
      </c>
      <c r="O627" s="5" t="s">
        <v>39</v>
      </c>
      <c r="P627" s="2" t="s">
        <v>871</v>
      </c>
    </row>
    <row r="628" spans="1:16" x14ac:dyDescent="0.25">
      <c r="A628" s="96" t="s">
        <v>83</v>
      </c>
      <c r="B628" s="102" t="s">
        <v>868</v>
      </c>
      <c r="C628" s="1" t="str">
        <f t="shared" si="35"/>
        <v>55469-37-210</v>
      </c>
      <c r="D628" s="2" t="s">
        <v>869</v>
      </c>
      <c r="E628" s="94" t="str">
        <f t="shared" si="36"/>
        <v>OTS-S50-P500-Day20-C:PFNA</v>
      </c>
      <c r="F628" s="2" t="str">
        <f>VLOOKUP(C628,'Task 2b Sample List'!I:K,3,FALSE)</f>
        <v>OTS-S50-P500-Day20-C</v>
      </c>
      <c r="G628" s="166" t="str">
        <f t="shared" si="34"/>
        <v>OTS-S50-P500-Day20</v>
      </c>
      <c r="H628" s="2" t="str">
        <f>VLOOKUP(C628,'Task 2b Sample List'!I:L,4,FALSE)</f>
        <v>A</v>
      </c>
      <c r="I628" t="s">
        <v>196</v>
      </c>
      <c r="J628" s="2">
        <v>50</v>
      </c>
      <c r="K628" s="2">
        <v>500</v>
      </c>
      <c r="L628" s="2">
        <v>20</v>
      </c>
      <c r="M628" s="7" t="s">
        <v>24</v>
      </c>
      <c r="N628" s="2" t="s">
        <v>872</v>
      </c>
      <c r="O628" s="3" t="s">
        <v>39</v>
      </c>
      <c r="P628" s="2" t="s">
        <v>872</v>
      </c>
    </row>
    <row r="629" spans="1:16" x14ac:dyDescent="0.25">
      <c r="A629" s="96" t="s">
        <v>83</v>
      </c>
      <c r="B629" s="102" t="s">
        <v>868</v>
      </c>
      <c r="C629" s="1" t="str">
        <f t="shared" si="35"/>
        <v>55469-37-210</v>
      </c>
      <c r="D629" s="2" t="s">
        <v>869</v>
      </c>
      <c r="E629" s="94" t="str">
        <f t="shared" si="36"/>
        <v>OTS-S50-P500-Day20-C:PFBS</v>
      </c>
      <c r="F629" s="2" t="str">
        <f>VLOOKUP(C629,'Task 2b Sample List'!I:K,3,FALSE)</f>
        <v>OTS-S50-P500-Day20-C</v>
      </c>
      <c r="G629" s="166" t="str">
        <f t="shared" si="34"/>
        <v>OTS-S50-P500-Day20</v>
      </c>
      <c r="H629" s="2" t="str">
        <f>VLOOKUP(C629,'Task 2b Sample List'!I:L,4,FALSE)</f>
        <v>A</v>
      </c>
      <c r="I629" t="s">
        <v>196</v>
      </c>
      <c r="J629" s="2">
        <v>50</v>
      </c>
      <c r="K629" s="2">
        <v>500</v>
      </c>
      <c r="L629" s="2">
        <v>20</v>
      </c>
      <c r="M629" s="7" t="s">
        <v>25</v>
      </c>
      <c r="N629" s="4" t="s">
        <v>873</v>
      </c>
      <c r="O629" s="5" t="s">
        <v>39</v>
      </c>
      <c r="P629" s="2" t="s">
        <v>873</v>
      </c>
    </row>
    <row r="630" spans="1:16" x14ac:dyDescent="0.25">
      <c r="A630" s="96" t="s">
        <v>83</v>
      </c>
      <c r="B630" s="102" t="s">
        <v>868</v>
      </c>
      <c r="C630" s="1" t="str">
        <f t="shared" si="35"/>
        <v>55469-37-210</v>
      </c>
      <c r="D630" s="2" t="s">
        <v>869</v>
      </c>
      <c r="E630" s="94" t="str">
        <f t="shared" si="36"/>
        <v>OTS-S50-P500-Day20-C:PFOS</v>
      </c>
      <c r="F630" s="2" t="str">
        <f>VLOOKUP(C630,'Task 2b Sample List'!I:K,3,FALSE)</f>
        <v>OTS-S50-P500-Day20-C</v>
      </c>
      <c r="G630" s="166" t="str">
        <f t="shared" si="34"/>
        <v>OTS-S50-P500-Day20</v>
      </c>
      <c r="H630" s="2" t="str">
        <f>VLOOKUP(C630,'Task 2b Sample List'!I:L,4,FALSE)</f>
        <v>A</v>
      </c>
      <c r="I630" t="s">
        <v>196</v>
      </c>
      <c r="J630" s="2">
        <v>50</v>
      </c>
      <c r="K630" s="2">
        <v>500</v>
      </c>
      <c r="L630" s="2">
        <v>20</v>
      </c>
      <c r="M630" s="7" t="s">
        <v>26</v>
      </c>
      <c r="N630" s="2" t="s">
        <v>874</v>
      </c>
      <c r="O630" s="3" t="s">
        <v>39</v>
      </c>
      <c r="P630" s="2" t="s">
        <v>874</v>
      </c>
    </row>
    <row r="631" spans="1:16" ht="15.75" thickBot="1" x14ac:dyDescent="0.3">
      <c r="A631" s="96" t="s">
        <v>83</v>
      </c>
      <c r="B631" s="102" t="s">
        <v>868</v>
      </c>
      <c r="C631" s="1" t="str">
        <f t="shared" si="35"/>
        <v>55469-37-210</v>
      </c>
      <c r="D631" s="2" t="s">
        <v>869</v>
      </c>
      <c r="E631" s="94" t="str">
        <f t="shared" ref="E631" si="37">F631&amp;":"&amp;M631</f>
        <v>OTS-S50-P500-Day20-C:8:2FTS</v>
      </c>
      <c r="F631" s="2" t="str">
        <f>VLOOKUP(C631,'Task 2b Sample List'!I:K,3,FALSE)</f>
        <v>OTS-S50-P500-Day20-C</v>
      </c>
      <c r="G631" s="166" t="str">
        <f t="shared" si="34"/>
        <v>OTS-S50-P500-Day20</v>
      </c>
      <c r="H631" s="2" t="str">
        <f>VLOOKUP(C631,'Task 2b Sample List'!I:L,4,FALSE)</f>
        <v>A</v>
      </c>
      <c r="I631" t="s">
        <v>196</v>
      </c>
      <c r="J631" s="2">
        <v>50</v>
      </c>
      <c r="K631" s="2">
        <v>500</v>
      </c>
      <c r="L631" s="2">
        <v>20</v>
      </c>
      <c r="M631" s="8" t="s">
        <v>27</v>
      </c>
      <c r="N631" s="4" t="s">
        <v>875</v>
      </c>
      <c r="O631" s="5" t="s">
        <v>39</v>
      </c>
      <c r="P631" s="2" t="s">
        <v>875</v>
      </c>
    </row>
    <row r="632" spans="1:16" x14ac:dyDescent="0.25">
      <c r="M632" s="7"/>
    </row>
    <row r="633" spans="1:16" x14ac:dyDescent="0.25">
      <c r="M633" s="7"/>
    </row>
    <row r="634" spans="1:16" x14ac:dyDescent="0.25">
      <c r="M634" s="7"/>
    </row>
    <row r="635" spans="1:16" x14ac:dyDescent="0.25">
      <c r="M635" s="7"/>
    </row>
    <row r="636" spans="1:16" x14ac:dyDescent="0.25">
      <c r="M636" s="7"/>
    </row>
    <row r="637" spans="1:16" x14ac:dyDescent="0.25">
      <c r="M637" s="93"/>
    </row>
    <row r="638" spans="1:16" x14ac:dyDescent="0.25">
      <c r="M638" s="7"/>
    </row>
    <row r="639" spans="1:16" x14ac:dyDescent="0.25">
      <c r="M639" s="7"/>
    </row>
    <row r="640" spans="1:16" x14ac:dyDescent="0.25">
      <c r="M640" s="7"/>
    </row>
    <row r="641" spans="13:13" x14ac:dyDescent="0.25">
      <c r="M641" s="7"/>
    </row>
    <row r="642" spans="13:13" x14ac:dyDescent="0.25">
      <c r="M642" s="7"/>
    </row>
    <row r="643" spans="13:13" x14ac:dyDescent="0.25">
      <c r="M643" s="93"/>
    </row>
    <row r="644" spans="13:13" x14ac:dyDescent="0.25">
      <c r="M644" s="7"/>
    </row>
    <row r="645" spans="13:13" x14ac:dyDescent="0.25">
      <c r="M645" s="7"/>
    </row>
    <row r="646" spans="13:13" x14ac:dyDescent="0.25">
      <c r="M646" s="7"/>
    </row>
    <row r="647" spans="13:13" x14ac:dyDescent="0.25">
      <c r="M647" s="7"/>
    </row>
    <row r="648" spans="13:13" x14ac:dyDescent="0.25">
      <c r="M648" s="7"/>
    </row>
    <row r="649" spans="13:13" x14ac:dyDescent="0.25">
      <c r="M649" s="93"/>
    </row>
    <row r="650" spans="13:13" x14ac:dyDescent="0.25">
      <c r="M650" s="7"/>
    </row>
    <row r="651" spans="13:13" x14ac:dyDescent="0.25">
      <c r="M651" s="7"/>
    </row>
    <row r="652" spans="13:13" x14ac:dyDescent="0.25">
      <c r="M652" s="7"/>
    </row>
    <row r="653" spans="13:13" x14ac:dyDescent="0.25">
      <c r="M653" s="7"/>
    </row>
    <row r="654" spans="13:13" x14ac:dyDescent="0.25">
      <c r="M654" s="7"/>
    </row>
    <row r="655" spans="13:13" x14ac:dyDescent="0.25">
      <c r="M655" s="93"/>
    </row>
    <row r="656" spans="13:13" x14ac:dyDescent="0.25">
      <c r="M656" s="7"/>
    </row>
    <row r="657" spans="13:13" x14ac:dyDescent="0.25">
      <c r="M657" s="7"/>
    </row>
    <row r="658" spans="13:13" x14ac:dyDescent="0.25">
      <c r="M658" s="7"/>
    </row>
    <row r="659" spans="13:13" x14ac:dyDescent="0.25">
      <c r="M659" s="7"/>
    </row>
    <row r="660" spans="13:13" x14ac:dyDescent="0.25">
      <c r="M660" s="7"/>
    </row>
    <row r="661" spans="13:13" x14ac:dyDescent="0.25">
      <c r="M661" s="93"/>
    </row>
    <row r="662" spans="13:13" x14ac:dyDescent="0.25">
      <c r="M662" s="7"/>
    </row>
    <row r="663" spans="13:13" x14ac:dyDescent="0.25">
      <c r="M663" s="7"/>
    </row>
    <row r="664" spans="13:13" x14ac:dyDescent="0.25">
      <c r="M664" s="7"/>
    </row>
    <row r="665" spans="13:13" x14ac:dyDescent="0.25">
      <c r="M665" s="7"/>
    </row>
    <row r="666" spans="13:13" x14ac:dyDescent="0.25">
      <c r="M666" s="7"/>
    </row>
    <row r="667" spans="13:13" x14ac:dyDescent="0.25">
      <c r="M667" s="93"/>
    </row>
    <row r="668" spans="13:13" x14ac:dyDescent="0.25">
      <c r="M668" s="7"/>
    </row>
    <row r="669" spans="13:13" x14ac:dyDescent="0.25">
      <c r="M669" s="7"/>
    </row>
    <row r="670" spans="13:13" x14ac:dyDescent="0.25">
      <c r="M670" s="7"/>
    </row>
    <row r="671" spans="13:13" x14ac:dyDescent="0.25">
      <c r="M671" s="7"/>
    </row>
    <row r="672" spans="13:13" x14ac:dyDescent="0.25">
      <c r="M672" s="7"/>
    </row>
    <row r="673" spans="13:13" x14ac:dyDescent="0.25">
      <c r="M673" s="93"/>
    </row>
  </sheetData>
  <autoFilter ref="A1:P1" xr:uid="{8D55C478-BFE3-4E54-8F4D-CA33F500B29F}"/>
  <phoneticPr fontId="3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9422-CAA7-4B0A-B7D8-109BF5011A99}">
  <sheetPr>
    <tabColor theme="1" tint="0.34998626667073579"/>
    <pageSetUpPr fitToPage="1"/>
  </sheetPr>
  <dimension ref="A1:S250"/>
  <sheetViews>
    <sheetView zoomScale="90" zoomScaleNormal="90" workbookViewId="0">
      <selection activeCell="D11" sqref="D11"/>
    </sheetView>
  </sheetViews>
  <sheetFormatPr defaultRowHeight="15" x14ac:dyDescent="0.25"/>
  <cols>
    <col min="1" max="1" width="46.5703125" bestFit="1" customWidth="1"/>
    <col min="2" max="2" width="17.42578125" customWidth="1"/>
    <col min="3" max="3" width="24.85546875" bestFit="1" customWidth="1"/>
    <col min="4" max="4" width="26.140625" customWidth="1"/>
    <col min="5" max="5" width="3.140625" customWidth="1"/>
    <col min="6" max="6" width="7.42578125" style="38" bestFit="1" customWidth="1"/>
    <col min="7" max="7" width="10.5703125" style="38" bestFit="1" customWidth="1"/>
    <col min="8" max="8" width="9" style="38" bestFit="1" customWidth="1"/>
    <col min="9" max="9" width="13.42578125" style="38" bestFit="1" customWidth="1"/>
    <col min="10" max="10" width="11.42578125" style="38" bestFit="1" customWidth="1"/>
    <col min="11" max="11" width="43.7109375" style="38" customWidth="1"/>
    <col min="12" max="12" width="38.42578125" style="38" customWidth="1"/>
    <col min="13" max="13" width="25.42578125" style="38" bestFit="1" customWidth="1"/>
    <col min="14" max="14" width="20.42578125" customWidth="1"/>
  </cols>
  <sheetData>
    <row r="1" spans="1:19" s="11" customFormat="1" ht="76.7" customHeight="1" x14ac:dyDescent="0.25">
      <c r="A1" s="9" t="s">
        <v>163</v>
      </c>
      <c r="B1" s="9" t="s">
        <v>164</v>
      </c>
      <c r="C1" s="9" t="s">
        <v>165</v>
      </c>
      <c r="D1" s="9" t="s">
        <v>166</v>
      </c>
      <c r="E1" s="10"/>
      <c r="F1" s="9" t="s">
        <v>167</v>
      </c>
      <c r="G1" s="9" t="s">
        <v>168</v>
      </c>
      <c r="H1" s="9" t="s">
        <v>169</v>
      </c>
      <c r="I1" s="9" t="s">
        <v>170</v>
      </c>
      <c r="J1" s="9" t="s">
        <v>171</v>
      </c>
      <c r="K1" s="9" t="s">
        <v>172</v>
      </c>
      <c r="L1" s="9" t="s">
        <v>235</v>
      </c>
      <c r="M1" s="9" t="s">
        <v>173</v>
      </c>
    </row>
    <row r="2" spans="1:19" ht="18.95" customHeight="1" x14ac:dyDescent="0.25">
      <c r="A2" s="12" t="s">
        <v>174</v>
      </c>
      <c r="B2" s="13" t="s">
        <v>175</v>
      </c>
      <c r="C2" s="13">
        <f>SUM(M32:M61,M221:M223,M239:M241)+0.2*SUM(M32:M61,M221:M223,M239:M241)</f>
        <v>2160</v>
      </c>
      <c r="D2" s="13">
        <f>C2/0.25</f>
        <v>8640</v>
      </c>
      <c r="F2" s="14">
        <v>55469</v>
      </c>
      <c r="G2" s="14">
        <v>36</v>
      </c>
      <c r="H2" s="14">
        <v>1</v>
      </c>
      <c r="I2" s="14" t="s">
        <v>886</v>
      </c>
      <c r="J2" s="14" t="s">
        <v>176</v>
      </c>
      <c r="K2" s="15" t="s">
        <v>887</v>
      </c>
      <c r="L2" s="15" t="s">
        <v>142</v>
      </c>
      <c r="M2" s="14">
        <v>0</v>
      </c>
      <c r="N2" s="258" t="s">
        <v>177</v>
      </c>
      <c r="P2">
        <v>100</v>
      </c>
      <c r="Q2" t="s">
        <v>178</v>
      </c>
      <c r="R2" t="s">
        <v>179</v>
      </c>
    </row>
    <row r="3" spans="1:19" x14ac:dyDescent="0.25">
      <c r="A3" s="16" t="s">
        <v>180</v>
      </c>
      <c r="B3" s="17" t="s">
        <v>181</v>
      </c>
      <c r="C3" s="17">
        <f>SUM(M62:M91,M215:M217,M233:M235)+0.2*SUM(M62:M91,M215:M217,M233:M235)</f>
        <v>2160</v>
      </c>
      <c r="D3" s="17">
        <f>C3/0.25</f>
        <v>8640</v>
      </c>
      <c r="F3" s="14">
        <v>55469</v>
      </c>
      <c r="G3" s="14">
        <v>36</v>
      </c>
      <c r="H3" s="14">
        <v>2</v>
      </c>
      <c r="I3" s="14" t="s">
        <v>888</v>
      </c>
      <c r="J3" s="14" t="s">
        <v>182</v>
      </c>
      <c r="K3" s="15" t="s">
        <v>889</v>
      </c>
      <c r="L3" s="15" t="s">
        <v>142</v>
      </c>
      <c r="M3" s="14">
        <v>0</v>
      </c>
      <c r="N3" s="258"/>
      <c r="P3">
        <f>COUNT(M2:M91,M93:M232)</f>
        <v>228</v>
      </c>
      <c r="Q3" t="s">
        <v>183</v>
      </c>
    </row>
    <row r="4" spans="1:19" x14ac:dyDescent="0.25">
      <c r="A4" s="18" t="s">
        <v>184</v>
      </c>
      <c r="B4" s="19" t="s">
        <v>185</v>
      </c>
      <c r="C4" s="19">
        <f>SUM(M93:M122,M218:M220,M236:M238)+0.2*SUM(M93:M122,M218:M220,M236:M238)</f>
        <v>2160</v>
      </c>
      <c r="D4" s="19">
        <f>C4/0.25</f>
        <v>8640</v>
      </c>
      <c r="F4" s="14">
        <v>55469</v>
      </c>
      <c r="G4" s="14">
        <v>36</v>
      </c>
      <c r="H4" s="14">
        <v>3</v>
      </c>
      <c r="I4" s="14" t="s">
        <v>890</v>
      </c>
      <c r="J4" s="14" t="s">
        <v>186</v>
      </c>
      <c r="K4" s="15" t="s">
        <v>891</v>
      </c>
      <c r="L4" s="15" t="s">
        <v>142</v>
      </c>
      <c r="M4" s="14">
        <v>0</v>
      </c>
      <c r="N4" s="258"/>
      <c r="P4">
        <f>P3*P2</f>
        <v>22800</v>
      </c>
      <c r="Q4" t="s">
        <v>178</v>
      </c>
      <c r="R4" t="s">
        <v>187</v>
      </c>
    </row>
    <row r="5" spans="1:19" x14ac:dyDescent="0.25">
      <c r="A5" s="20" t="s">
        <v>188</v>
      </c>
      <c r="B5" s="21" t="s">
        <v>189</v>
      </c>
      <c r="C5" s="21">
        <f>SUM(M125:M154,M224:M226,M242:M244)+0.2*SUM(M125:M154,M224:M226,M242:M244)</f>
        <v>2160</v>
      </c>
      <c r="D5" s="21">
        <f>C5/0.25</f>
        <v>8640</v>
      </c>
      <c r="F5" s="22">
        <v>55469</v>
      </c>
      <c r="G5" s="22">
        <v>36</v>
      </c>
      <c r="H5" s="22">
        <v>4</v>
      </c>
      <c r="I5" s="22" t="s">
        <v>892</v>
      </c>
      <c r="J5" s="22" t="s">
        <v>176</v>
      </c>
      <c r="K5" s="23" t="s">
        <v>893</v>
      </c>
      <c r="L5" s="23" t="s">
        <v>236</v>
      </c>
      <c r="M5" s="22">
        <v>0</v>
      </c>
      <c r="P5">
        <f>P4/1000</f>
        <v>22.8</v>
      </c>
      <c r="Q5" t="s">
        <v>190</v>
      </c>
      <c r="R5" t="s">
        <v>191</v>
      </c>
    </row>
    <row r="6" spans="1:19" x14ac:dyDescent="0.25">
      <c r="A6" s="24" t="s">
        <v>192</v>
      </c>
      <c r="B6" s="25" t="s">
        <v>193</v>
      </c>
      <c r="C6" s="25">
        <f>SUM(M155:M184,M227:M229,M245:M247)+0.2*SUM(M155:M184,M227:M229,M245:M247)</f>
        <v>2160</v>
      </c>
      <c r="D6" s="26">
        <f t="shared" ref="D6:D7" si="0">C6/0.25</f>
        <v>8640</v>
      </c>
      <c r="F6" s="22">
        <v>55469</v>
      </c>
      <c r="G6" s="22">
        <v>36</v>
      </c>
      <c r="H6" s="22">
        <v>5</v>
      </c>
      <c r="I6" s="22" t="s">
        <v>894</v>
      </c>
      <c r="J6" s="22" t="s">
        <v>182</v>
      </c>
      <c r="K6" s="23" t="s">
        <v>895</v>
      </c>
      <c r="L6" s="23" t="s">
        <v>236</v>
      </c>
      <c r="M6" s="22">
        <v>0</v>
      </c>
      <c r="P6" t="s">
        <v>194</v>
      </c>
    </row>
    <row r="7" spans="1:19" x14ac:dyDescent="0.25">
      <c r="A7" s="27" t="s">
        <v>195</v>
      </c>
      <c r="B7" s="28" t="s">
        <v>196</v>
      </c>
      <c r="C7" s="28">
        <f>SUM(M185:M214,M230:M232,M248:M250)+0.2*SUM(M185:M214,M230:M232,M248:M250)</f>
        <v>2160</v>
      </c>
      <c r="D7" s="28">
        <f t="shared" si="0"/>
        <v>8640</v>
      </c>
      <c r="F7" s="22">
        <v>55469</v>
      </c>
      <c r="G7" s="22">
        <v>36</v>
      </c>
      <c r="H7" s="22">
        <v>6</v>
      </c>
      <c r="I7" s="22" t="s">
        <v>896</v>
      </c>
      <c r="J7" s="22" t="s">
        <v>186</v>
      </c>
      <c r="K7" s="23" t="s">
        <v>897</v>
      </c>
      <c r="L7" s="23" t="s">
        <v>236</v>
      </c>
      <c r="M7" s="22">
        <v>0</v>
      </c>
    </row>
    <row r="8" spans="1:19" x14ac:dyDescent="0.25">
      <c r="F8" s="22">
        <v>55469</v>
      </c>
      <c r="G8" s="22">
        <v>36</v>
      </c>
      <c r="H8" s="22">
        <v>7</v>
      </c>
      <c r="I8" s="22" t="s">
        <v>898</v>
      </c>
      <c r="J8" s="22" t="s">
        <v>176</v>
      </c>
      <c r="K8" s="23" t="s">
        <v>899</v>
      </c>
      <c r="L8" s="23" t="s">
        <v>236</v>
      </c>
      <c r="M8" s="22">
        <v>0</v>
      </c>
      <c r="P8" s="259" t="s">
        <v>197</v>
      </c>
      <c r="Q8" s="259"/>
      <c r="R8" s="259"/>
      <c r="S8" s="259"/>
    </row>
    <row r="9" spans="1:19" x14ac:dyDescent="0.25">
      <c r="F9" s="22">
        <v>55469</v>
      </c>
      <c r="G9" s="22">
        <v>36</v>
      </c>
      <c r="H9" s="22">
        <v>8</v>
      </c>
      <c r="I9" s="22" t="s">
        <v>900</v>
      </c>
      <c r="J9" s="22" t="s">
        <v>182</v>
      </c>
      <c r="K9" s="23" t="s">
        <v>901</v>
      </c>
      <c r="L9" s="23" t="s">
        <v>236</v>
      </c>
      <c r="M9" s="22">
        <v>0</v>
      </c>
      <c r="P9" s="259"/>
      <c r="Q9" s="259"/>
      <c r="R9" s="259"/>
      <c r="S9" s="259"/>
    </row>
    <row r="10" spans="1:19" x14ac:dyDescent="0.25">
      <c r="F10" s="22">
        <v>55469</v>
      </c>
      <c r="G10" s="22">
        <v>36</v>
      </c>
      <c r="H10" s="22">
        <v>9</v>
      </c>
      <c r="I10" s="22" t="s">
        <v>902</v>
      </c>
      <c r="J10" s="22" t="s">
        <v>186</v>
      </c>
      <c r="K10" s="23" t="s">
        <v>903</v>
      </c>
      <c r="L10" s="23" t="s">
        <v>236</v>
      </c>
      <c r="M10" s="22">
        <v>0</v>
      </c>
      <c r="P10" s="259"/>
      <c r="Q10" s="259"/>
      <c r="R10" s="259"/>
      <c r="S10" s="259"/>
    </row>
    <row r="11" spans="1:19" x14ac:dyDescent="0.25">
      <c r="F11" s="22">
        <v>55469</v>
      </c>
      <c r="G11" s="22">
        <v>36</v>
      </c>
      <c r="H11" s="22">
        <v>10</v>
      </c>
      <c r="I11" s="22" t="s">
        <v>904</v>
      </c>
      <c r="J11" s="22" t="s">
        <v>176</v>
      </c>
      <c r="K11" s="22" t="s">
        <v>905</v>
      </c>
      <c r="L11" s="22" t="s">
        <v>142</v>
      </c>
      <c r="M11" s="22">
        <v>0</v>
      </c>
    </row>
    <row r="12" spans="1:19" x14ac:dyDescent="0.25">
      <c r="E12" s="29"/>
      <c r="F12" s="22">
        <v>55469</v>
      </c>
      <c r="G12" s="22">
        <v>36</v>
      </c>
      <c r="H12" s="22">
        <v>11</v>
      </c>
      <c r="I12" s="22" t="s">
        <v>906</v>
      </c>
      <c r="J12" s="22" t="s">
        <v>182</v>
      </c>
      <c r="K12" s="22" t="s">
        <v>907</v>
      </c>
      <c r="L12" s="22" t="s">
        <v>142</v>
      </c>
      <c r="M12" s="22">
        <v>0</v>
      </c>
    </row>
    <row r="13" spans="1:19" x14ac:dyDescent="0.25">
      <c r="C13" s="29"/>
      <c r="D13" s="29"/>
      <c r="E13" s="29"/>
      <c r="F13" s="22">
        <v>55469</v>
      </c>
      <c r="G13" s="22">
        <v>36</v>
      </c>
      <c r="H13" s="22">
        <v>12</v>
      </c>
      <c r="I13" s="22" t="s">
        <v>908</v>
      </c>
      <c r="J13" s="22" t="s">
        <v>186</v>
      </c>
      <c r="K13" s="22" t="s">
        <v>909</v>
      </c>
      <c r="L13" s="22" t="s">
        <v>142</v>
      </c>
      <c r="M13" s="22">
        <v>0</v>
      </c>
    </row>
    <row r="14" spans="1:19" x14ac:dyDescent="0.25">
      <c r="A14" s="30" t="s">
        <v>198</v>
      </c>
      <c r="B14" s="31" t="s">
        <v>199</v>
      </c>
      <c r="C14" s="29"/>
      <c r="D14" s="29"/>
      <c r="E14" s="29"/>
      <c r="F14" s="22">
        <v>55469</v>
      </c>
      <c r="G14" s="22">
        <v>36</v>
      </c>
      <c r="H14" s="22">
        <v>13</v>
      </c>
      <c r="I14" s="22" t="s">
        <v>910</v>
      </c>
      <c r="J14" s="22" t="s">
        <v>176</v>
      </c>
      <c r="K14" s="32" t="s">
        <v>911</v>
      </c>
      <c r="L14" s="32" t="s">
        <v>236</v>
      </c>
      <c r="M14" s="22">
        <v>0</v>
      </c>
    </row>
    <row r="15" spans="1:19" x14ac:dyDescent="0.25">
      <c r="A15" s="33">
        <v>0</v>
      </c>
      <c r="B15" s="33" t="s">
        <v>200</v>
      </c>
      <c r="C15" s="29"/>
      <c r="D15" s="29"/>
      <c r="F15" s="22">
        <v>55469</v>
      </c>
      <c r="G15" s="22">
        <v>36</v>
      </c>
      <c r="H15" s="22">
        <v>14</v>
      </c>
      <c r="I15" s="22" t="s">
        <v>912</v>
      </c>
      <c r="J15" s="22" t="s">
        <v>182</v>
      </c>
      <c r="K15" s="32" t="s">
        <v>913</v>
      </c>
      <c r="L15" s="32" t="s">
        <v>236</v>
      </c>
      <c r="M15" s="22">
        <v>0</v>
      </c>
    </row>
    <row r="16" spans="1:19" x14ac:dyDescent="0.25">
      <c r="A16" s="34">
        <v>50</v>
      </c>
      <c r="B16" s="33" t="s">
        <v>200</v>
      </c>
      <c r="C16" s="29"/>
      <c r="D16" s="29"/>
      <c r="F16" s="22">
        <v>55469</v>
      </c>
      <c r="G16" s="22">
        <v>36</v>
      </c>
      <c r="H16" s="22">
        <v>15</v>
      </c>
      <c r="I16" s="22" t="s">
        <v>914</v>
      </c>
      <c r="J16" s="22" t="s">
        <v>186</v>
      </c>
      <c r="K16" s="32" t="s">
        <v>915</v>
      </c>
      <c r="L16" s="32" t="s">
        <v>236</v>
      </c>
      <c r="M16" s="22">
        <v>0</v>
      </c>
    </row>
    <row r="17" spans="1:13" x14ac:dyDescent="0.25">
      <c r="B17" s="33"/>
      <c r="F17" s="14">
        <v>55469</v>
      </c>
      <c r="G17" s="14">
        <v>36</v>
      </c>
      <c r="H17" s="14">
        <v>16</v>
      </c>
      <c r="I17" s="14" t="s">
        <v>2</v>
      </c>
      <c r="J17" s="14" t="s">
        <v>201</v>
      </c>
      <c r="K17" s="15" t="s">
        <v>916</v>
      </c>
      <c r="L17" s="15" t="s">
        <v>142</v>
      </c>
      <c r="M17" s="14">
        <v>0</v>
      </c>
    </row>
    <row r="18" spans="1:13" x14ac:dyDescent="0.25">
      <c r="A18" s="30" t="s">
        <v>202</v>
      </c>
      <c r="B18" s="31" t="s">
        <v>203</v>
      </c>
      <c r="C18" s="31" t="s">
        <v>204</v>
      </c>
      <c r="D18" s="31" t="s">
        <v>205</v>
      </c>
      <c r="F18" s="14">
        <v>55469</v>
      </c>
      <c r="G18" s="14">
        <v>36</v>
      </c>
      <c r="H18" s="14">
        <v>17</v>
      </c>
      <c r="I18" s="14" t="s">
        <v>15</v>
      </c>
      <c r="J18" s="14" t="s">
        <v>206</v>
      </c>
      <c r="K18" s="15" t="s">
        <v>917</v>
      </c>
      <c r="L18" s="15" t="s">
        <v>142</v>
      </c>
      <c r="M18" s="14">
        <v>0</v>
      </c>
    </row>
    <row r="19" spans="1:13" x14ac:dyDescent="0.25">
      <c r="A19">
        <v>0</v>
      </c>
      <c r="B19" s="35" t="s">
        <v>207</v>
      </c>
      <c r="C19" s="33">
        <f>COUNT(M2:M4,M17:M19,M32:M37,M62:M67,#REF!,#REF!,M93:M98,M125:M130,M155:M160,M185:M190)</f>
        <v>42</v>
      </c>
      <c r="D19" s="33">
        <f>C19*100/1000</f>
        <v>4.2</v>
      </c>
      <c r="F19" s="14">
        <v>55469</v>
      </c>
      <c r="G19" s="14">
        <v>36</v>
      </c>
      <c r="H19" s="14">
        <v>18</v>
      </c>
      <c r="I19" s="14" t="s">
        <v>28</v>
      </c>
      <c r="J19" s="14" t="s">
        <v>208</v>
      </c>
      <c r="K19" s="15" t="s">
        <v>918</v>
      </c>
      <c r="L19" s="15" t="s">
        <v>142</v>
      </c>
      <c r="M19" s="14">
        <v>0</v>
      </c>
    </row>
    <row r="20" spans="1:13" x14ac:dyDescent="0.25">
      <c r="A20" s="33">
        <v>10</v>
      </c>
      <c r="B20" s="35" t="s">
        <v>207</v>
      </c>
      <c r="C20" s="33">
        <f>COUNT(M5:M7,M20:M22,M38:M40,M68:M70,#REF!,#REF!,M99:M101,M131:M133,M161:M163,M191:M193)</f>
        <v>24</v>
      </c>
      <c r="D20" s="33">
        <f t="shared" ref="D20:D23" si="1">C20*100/1000</f>
        <v>2.4</v>
      </c>
      <c r="F20" s="22">
        <v>55469</v>
      </c>
      <c r="G20" s="22">
        <v>36</v>
      </c>
      <c r="H20" s="22">
        <v>19</v>
      </c>
      <c r="I20" s="22" t="s">
        <v>36</v>
      </c>
      <c r="J20" s="22" t="s">
        <v>201</v>
      </c>
      <c r="K20" s="32" t="s">
        <v>246</v>
      </c>
      <c r="L20" s="32" t="s">
        <v>236</v>
      </c>
      <c r="M20" s="22">
        <v>0</v>
      </c>
    </row>
    <row r="21" spans="1:13" x14ac:dyDescent="0.25">
      <c r="A21" s="33">
        <v>50</v>
      </c>
      <c r="B21" s="35" t="s">
        <v>207</v>
      </c>
      <c r="C21" s="33">
        <f>COUNT(M8:M10,M23:M25,M41:M43,M71:M73,M102:M104,M134:M136,M164:M166,M194:M196,M215:M232)</f>
        <v>42</v>
      </c>
      <c r="D21" s="33">
        <f t="shared" si="1"/>
        <v>4.2</v>
      </c>
      <c r="F21" s="22">
        <v>55469</v>
      </c>
      <c r="G21" s="22">
        <v>36</v>
      </c>
      <c r="H21" s="22">
        <v>20</v>
      </c>
      <c r="I21" s="22" t="s">
        <v>45</v>
      </c>
      <c r="J21" s="22" t="s">
        <v>206</v>
      </c>
      <c r="K21" s="32" t="s">
        <v>247</v>
      </c>
      <c r="L21" s="32" t="s">
        <v>236</v>
      </c>
      <c r="M21" s="22">
        <v>0</v>
      </c>
    </row>
    <row r="22" spans="1:13" x14ac:dyDescent="0.25">
      <c r="A22" s="33">
        <v>100</v>
      </c>
      <c r="B22" s="35" t="s">
        <v>207</v>
      </c>
      <c r="C22" s="33">
        <f>COUNT(M11:M13,M26:M28,M44:M58,M74:M88,#REF!,#REF!,M105:M119,M137:M151,M167:M181,M197:M211)</f>
        <v>96</v>
      </c>
      <c r="D22" s="33">
        <f t="shared" si="1"/>
        <v>9.6</v>
      </c>
      <c r="F22" s="22">
        <v>55469</v>
      </c>
      <c r="G22" s="22">
        <v>36</v>
      </c>
      <c r="H22" s="22">
        <v>21</v>
      </c>
      <c r="I22" s="22" t="s">
        <v>53</v>
      </c>
      <c r="J22" s="22" t="s">
        <v>208</v>
      </c>
      <c r="K22" s="32" t="s">
        <v>248</v>
      </c>
      <c r="L22" s="32" t="s">
        <v>236</v>
      </c>
      <c r="M22" s="22">
        <v>0</v>
      </c>
    </row>
    <row r="23" spans="1:13" x14ac:dyDescent="0.25">
      <c r="A23" s="33">
        <v>500</v>
      </c>
      <c r="B23" s="35" t="s">
        <v>207</v>
      </c>
      <c r="C23" s="33">
        <f>COUNT(M14:M16,M29:M31,M59:M61,M89:M91,#REF!,#REF!,M120:M122,M152:M154,M182:M184,M212:M214)</f>
        <v>24</v>
      </c>
      <c r="D23" s="33">
        <f t="shared" si="1"/>
        <v>2.4</v>
      </c>
      <c r="F23" s="22">
        <v>55469</v>
      </c>
      <c r="G23" s="22">
        <v>36</v>
      </c>
      <c r="H23" s="22">
        <v>22</v>
      </c>
      <c r="I23" s="22" t="s">
        <v>61</v>
      </c>
      <c r="J23" s="22" t="s">
        <v>201</v>
      </c>
      <c r="K23" s="32" t="s">
        <v>249</v>
      </c>
      <c r="L23" s="32" t="s">
        <v>236</v>
      </c>
      <c r="M23" s="22">
        <v>0</v>
      </c>
    </row>
    <row r="24" spans="1:13" x14ac:dyDescent="0.25">
      <c r="D24" s="2" t="s">
        <v>209</v>
      </c>
      <c r="F24" s="22">
        <v>55469</v>
      </c>
      <c r="G24" s="22">
        <v>36</v>
      </c>
      <c r="H24" s="22">
        <v>23</v>
      </c>
      <c r="I24" s="22" t="s">
        <v>69</v>
      </c>
      <c r="J24" s="22" t="s">
        <v>206</v>
      </c>
      <c r="K24" s="32" t="s">
        <v>250</v>
      </c>
      <c r="L24" s="32" t="s">
        <v>236</v>
      </c>
      <c r="M24" s="22">
        <v>0</v>
      </c>
    </row>
    <row r="25" spans="1:13" x14ac:dyDescent="0.25">
      <c r="A25" s="31" t="s">
        <v>210</v>
      </c>
      <c r="B25" s="31" t="s">
        <v>211</v>
      </c>
      <c r="F25" s="22">
        <v>55469</v>
      </c>
      <c r="G25" s="22">
        <v>36</v>
      </c>
      <c r="H25" s="22">
        <v>24</v>
      </c>
      <c r="I25" s="22" t="s">
        <v>84</v>
      </c>
      <c r="J25" s="22" t="s">
        <v>208</v>
      </c>
      <c r="K25" s="32" t="s">
        <v>251</v>
      </c>
      <c r="L25" s="32" t="s">
        <v>236</v>
      </c>
      <c r="M25" s="22">
        <v>0</v>
      </c>
    </row>
    <row r="26" spans="1:13" x14ac:dyDescent="0.25">
      <c r="A26" s="33" t="s">
        <v>212</v>
      </c>
      <c r="B26" s="33" t="s">
        <v>213</v>
      </c>
      <c r="F26" s="22">
        <v>55469</v>
      </c>
      <c r="G26" s="22">
        <v>36</v>
      </c>
      <c r="H26" s="22">
        <v>25</v>
      </c>
      <c r="I26" s="22" t="s">
        <v>91</v>
      </c>
      <c r="J26" s="22" t="s">
        <v>201</v>
      </c>
      <c r="K26" s="22" t="s">
        <v>919</v>
      </c>
      <c r="L26" s="22" t="s">
        <v>142</v>
      </c>
      <c r="M26" s="22">
        <v>0</v>
      </c>
    </row>
    <row r="27" spans="1:13" x14ac:dyDescent="0.25">
      <c r="F27" s="22">
        <v>55469</v>
      </c>
      <c r="G27" s="22">
        <v>36</v>
      </c>
      <c r="H27" s="22">
        <v>26</v>
      </c>
      <c r="I27" s="22" t="s">
        <v>99</v>
      </c>
      <c r="J27" s="22" t="s">
        <v>206</v>
      </c>
      <c r="K27" s="22" t="s">
        <v>920</v>
      </c>
      <c r="L27" s="22" t="s">
        <v>142</v>
      </c>
      <c r="M27" s="22">
        <v>0</v>
      </c>
    </row>
    <row r="28" spans="1:13" x14ac:dyDescent="0.25">
      <c r="F28" s="22">
        <v>55469</v>
      </c>
      <c r="G28" s="22">
        <v>36</v>
      </c>
      <c r="H28" s="22">
        <v>27</v>
      </c>
      <c r="I28" s="22" t="s">
        <v>107</v>
      </c>
      <c r="J28" s="22" t="s">
        <v>208</v>
      </c>
      <c r="K28" s="22" t="s">
        <v>921</v>
      </c>
      <c r="L28" s="22" t="s">
        <v>142</v>
      </c>
      <c r="M28" s="22">
        <v>0</v>
      </c>
    </row>
    <row r="29" spans="1:13" x14ac:dyDescent="0.25">
      <c r="F29" s="22">
        <v>55469</v>
      </c>
      <c r="G29" s="22">
        <v>36</v>
      </c>
      <c r="H29" s="22">
        <v>28</v>
      </c>
      <c r="I29" s="22" t="s">
        <v>115</v>
      </c>
      <c r="J29" s="22" t="s">
        <v>201</v>
      </c>
      <c r="K29" s="32" t="s">
        <v>252</v>
      </c>
      <c r="L29" s="32" t="s">
        <v>236</v>
      </c>
      <c r="M29" s="22">
        <v>0</v>
      </c>
    </row>
    <row r="30" spans="1:13" x14ac:dyDescent="0.25">
      <c r="A30" s="36" t="s">
        <v>214</v>
      </c>
      <c r="F30" s="22">
        <v>55469</v>
      </c>
      <c r="G30" s="22">
        <v>36</v>
      </c>
      <c r="H30" s="22">
        <v>29</v>
      </c>
      <c r="I30" s="22" t="s">
        <v>123</v>
      </c>
      <c r="J30" s="22" t="s">
        <v>206</v>
      </c>
      <c r="K30" s="32" t="s">
        <v>253</v>
      </c>
      <c r="L30" s="32" t="s">
        <v>236</v>
      </c>
      <c r="M30" s="22">
        <v>0</v>
      </c>
    </row>
    <row r="31" spans="1:13" x14ac:dyDescent="0.25">
      <c r="A31" s="15" t="s">
        <v>215</v>
      </c>
      <c r="F31" s="22">
        <v>55469</v>
      </c>
      <c r="G31" s="22">
        <v>36</v>
      </c>
      <c r="H31" s="22">
        <v>30</v>
      </c>
      <c r="I31" s="22" t="s">
        <v>131</v>
      </c>
      <c r="J31" s="22" t="s">
        <v>208</v>
      </c>
      <c r="K31" s="32" t="s">
        <v>254</v>
      </c>
      <c r="L31" s="32" t="s">
        <v>236</v>
      </c>
      <c r="M31" s="22">
        <v>0</v>
      </c>
    </row>
    <row r="32" spans="1:13" x14ac:dyDescent="0.25">
      <c r="A32" s="22" t="s">
        <v>216</v>
      </c>
      <c r="F32" s="13">
        <v>55469</v>
      </c>
      <c r="G32" s="13">
        <v>36</v>
      </c>
      <c r="H32" s="13">
        <v>31</v>
      </c>
      <c r="I32" s="13" t="s">
        <v>922</v>
      </c>
      <c r="J32" s="13" t="s">
        <v>176</v>
      </c>
      <c r="K32" s="13" t="s">
        <v>923</v>
      </c>
      <c r="L32" s="13" t="s">
        <v>142</v>
      </c>
      <c r="M32" s="13">
        <v>50</v>
      </c>
    </row>
    <row r="33" spans="1:13" x14ac:dyDescent="0.25">
      <c r="A33" s="13" t="s">
        <v>174</v>
      </c>
      <c r="F33" s="13">
        <v>55469</v>
      </c>
      <c r="G33" s="13">
        <v>36</v>
      </c>
      <c r="H33" s="13">
        <v>32</v>
      </c>
      <c r="I33" s="13" t="s">
        <v>924</v>
      </c>
      <c r="J33" s="13" t="s">
        <v>182</v>
      </c>
      <c r="K33" s="13" t="s">
        <v>925</v>
      </c>
      <c r="L33" s="13" t="s">
        <v>142</v>
      </c>
      <c r="M33" s="13">
        <v>50</v>
      </c>
    </row>
    <row r="34" spans="1:13" x14ac:dyDescent="0.25">
      <c r="A34" s="17" t="s">
        <v>180</v>
      </c>
      <c r="F34" s="13">
        <v>55469</v>
      </c>
      <c r="G34" s="13">
        <v>36</v>
      </c>
      <c r="H34" s="13">
        <v>33</v>
      </c>
      <c r="I34" s="13" t="s">
        <v>926</v>
      </c>
      <c r="J34" s="13" t="s">
        <v>186</v>
      </c>
      <c r="K34" s="13" t="s">
        <v>927</v>
      </c>
      <c r="L34" s="13" t="s">
        <v>142</v>
      </c>
      <c r="M34" s="13">
        <v>50</v>
      </c>
    </row>
    <row r="35" spans="1:13" x14ac:dyDescent="0.25">
      <c r="A35" s="19" t="s">
        <v>184</v>
      </c>
      <c r="F35" s="13">
        <v>55469</v>
      </c>
      <c r="G35" s="13">
        <v>36</v>
      </c>
      <c r="H35" s="13">
        <v>34</v>
      </c>
      <c r="I35" s="13" t="s">
        <v>139</v>
      </c>
      <c r="J35" s="13" t="s">
        <v>201</v>
      </c>
      <c r="K35" s="13" t="s">
        <v>928</v>
      </c>
      <c r="L35" s="13" t="s">
        <v>142</v>
      </c>
      <c r="M35" s="13">
        <v>50</v>
      </c>
    </row>
    <row r="36" spans="1:13" x14ac:dyDescent="0.25">
      <c r="A36" s="21" t="s">
        <v>217</v>
      </c>
      <c r="F36" s="13">
        <v>55469</v>
      </c>
      <c r="G36" s="13">
        <v>36</v>
      </c>
      <c r="H36" s="13">
        <v>35</v>
      </c>
      <c r="I36" s="13" t="s">
        <v>148</v>
      </c>
      <c r="J36" s="13" t="s">
        <v>206</v>
      </c>
      <c r="K36" s="13" t="s">
        <v>929</v>
      </c>
      <c r="L36" s="13" t="s">
        <v>142</v>
      </c>
      <c r="M36" s="13">
        <v>50</v>
      </c>
    </row>
    <row r="37" spans="1:13" x14ac:dyDescent="0.25">
      <c r="A37" s="25" t="s">
        <v>192</v>
      </c>
      <c r="F37" s="13">
        <v>55469</v>
      </c>
      <c r="G37" s="13">
        <v>36</v>
      </c>
      <c r="H37" s="13">
        <v>36</v>
      </c>
      <c r="I37" s="13" t="s">
        <v>155</v>
      </c>
      <c r="J37" s="13" t="s">
        <v>208</v>
      </c>
      <c r="K37" s="13" t="s">
        <v>930</v>
      </c>
      <c r="L37" s="13" t="s">
        <v>142</v>
      </c>
      <c r="M37" s="13">
        <v>50</v>
      </c>
    </row>
    <row r="38" spans="1:13" x14ac:dyDescent="0.25">
      <c r="A38" s="28" t="s">
        <v>195</v>
      </c>
      <c r="F38" s="13">
        <v>55469</v>
      </c>
      <c r="G38" s="13">
        <v>36</v>
      </c>
      <c r="H38" s="13">
        <v>37</v>
      </c>
      <c r="I38" s="13" t="s">
        <v>255</v>
      </c>
      <c r="J38" s="13" t="s">
        <v>201</v>
      </c>
      <c r="K38" s="37" t="s">
        <v>931</v>
      </c>
      <c r="L38" s="37" t="s">
        <v>236</v>
      </c>
      <c r="M38" s="13">
        <v>50</v>
      </c>
    </row>
    <row r="39" spans="1:13" x14ac:dyDescent="0.25">
      <c r="A39" s="38"/>
      <c r="F39" s="13">
        <v>55469</v>
      </c>
      <c r="G39" s="13">
        <v>36</v>
      </c>
      <c r="H39" s="13">
        <v>38</v>
      </c>
      <c r="I39" s="13" t="s">
        <v>270</v>
      </c>
      <c r="J39" s="13" t="s">
        <v>206</v>
      </c>
      <c r="K39" s="37" t="s">
        <v>932</v>
      </c>
      <c r="L39" s="37" t="s">
        <v>236</v>
      </c>
      <c r="M39" s="13">
        <v>50</v>
      </c>
    </row>
    <row r="40" spans="1:13" x14ac:dyDescent="0.25">
      <c r="F40" s="13">
        <v>55469</v>
      </c>
      <c r="G40" s="13">
        <v>36</v>
      </c>
      <c r="H40" s="13">
        <v>39</v>
      </c>
      <c r="I40" s="13" t="s">
        <v>271</v>
      </c>
      <c r="J40" s="13" t="s">
        <v>208</v>
      </c>
      <c r="K40" s="37" t="s">
        <v>933</v>
      </c>
      <c r="L40" s="37" t="s">
        <v>236</v>
      </c>
      <c r="M40" s="13">
        <v>50</v>
      </c>
    </row>
    <row r="41" spans="1:13" x14ac:dyDescent="0.25">
      <c r="F41" s="13">
        <v>55469</v>
      </c>
      <c r="G41" s="13">
        <v>36</v>
      </c>
      <c r="H41" s="13">
        <v>40</v>
      </c>
      <c r="I41" s="13" t="s">
        <v>279</v>
      </c>
      <c r="J41" s="13" t="s">
        <v>201</v>
      </c>
      <c r="K41" s="37" t="s">
        <v>934</v>
      </c>
      <c r="L41" s="37" t="s">
        <v>236</v>
      </c>
      <c r="M41" s="13">
        <v>50</v>
      </c>
    </row>
    <row r="42" spans="1:13" x14ac:dyDescent="0.25">
      <c r="F42" s="13">
        <v>55469</v>
      </c>
      <c r="G42" s="13">
        <v>36</v>
      </c>
      <c r="H42" s="13">
        <v>41</v>
      </c>
      <c r="I42" s="13" t="s">
        <v>287</v>
      </c>
      <c r="J42" s="13" t="s">
        <v>206</v>
      </c>
      <c r="K42" s="37" t="s">
        <v>935</v>
      </c>
      <c r="L42" s="37" t="s">
        <v>236</v>
      </c>
      <c r="M42" s="13">
        <v>50</v>
      </c>
    </row>
    <row r="43" spans="1:13" x14ac:dyDescent="0.25">
      <c r="F43" s="13">
        <v>55469</v>
      </c>
      <c r="G43" s="13">
        <v>36</v>
      </c>
      <c r="H43" s="13">
        <v>42</v>
      </c>
      <c r="I43" s="13" t="s">
        <v>295</v>
      </c>
      <c r="J43" s="13" t="s">
        <v>208</v>
      </c>
      <c r="K43" s="37" t="s">
        <v>936</v>
      </c>
      <c r="L43" s="37" t="s">
        <v>236</v>
      </c>
      <c r="M43" s="13">
        <v>50</v>
      </c>
    </row>
    <row r="44" spans="1:13" x14ac:dyDescent="0.25">
      <c r="F44" s="13">
        <v>55469</v>
      </c>
      <c r="G44" s="13">
        <v>36</v>
      </c>
      <c r="H44" s="13">
        <v>43</v>
      </c>
      <c r="I44" s="13" t="s">
        <v>937</v>
      </c>
      <c r="J44" s="13" t="s">
        <v>176</v>
      </c>
      <c r="K44" s="39" t="s">
        <v>938</v>
      </c>
      <c r="L44" s="39" t="s">
        <v>237</v>
      </c>
      <c r="M44" s="13">
        <v>50</v>
      </c>
    </row>
    <row r="45" spans="1:13" x14ac:dyDescent="0.25">
      <c r="F45" s="13">
        <v>55469</v>
      </c>
      <c r="G45" s="13">
        <v>36</v>
      </c>
      <c r="H45" s="13">
        <v>44</v>
      </c>
      <c r="I45" s="13" t="s">
        <v>939</v>
      </c>
      <c r="J45" s="13" t="s">
        <v>182</v>
      </c>
      <c r="K45" s="39" t="s">
        <v>940</v>
      </c>
      <c r="L45" s="39" t="s">
        <v>237</v>
      </c>
      <c r="M45" s="13">
        <v>50</v>
      </c>
    </row>
    <row r="46" spans="1:13" x14ac:dyDescent="0.25">
      <c r="F46" s="13">
        <v>55469</v>
      </c>
      <c r="G46" s="13">
        <v>36</v>
      </c>
      <c r="H46" s="13">
        <v>45</v>
      </c>
      <c r="I46" s="13" t="s">
        <v>941</v>
      </c>
      <c r="J46" s="13" t="s">
        <v>186</v>
      </c>
      <c r="K46" s="39" t="s">
        <v>942</v>
      </c>
      <c r="L46" s="39" t="s">
        <v>237</v>
      </c>
      <c r="M46" s="13">
        <v>50</v>
      </c>
    </row>
    <row r="47" spans="1:13" x14ac:dyDescent="0.25">
      <c r="F47" s="13">
        <v>55469</v>
      </c>
      <c r="G47" s="13">
        <v>36</v>
      </c>
      <c r="H47" s="13">
        <v>46</v>
      </c>
      <c r="I47" s="13" t="s">
        <v>943</v>
      </c>
      <c r="J47" s="13" t="s">
        <v>218</v>
      </c>
      <c r="K47" s="39" t="s">
        <v>944</v>
      </c>
      <c r="L47" s="39" t="s">
        <v>237</v>
      </c>
      <c r="M47" s="13">
        <v>50</v>
      </c>
    </row>
    <row r="48" spans="1:13" x14ac:dyDescent="0.25">
      <c r="F48" s="13">
        <v>55469</v>
      </c>
      <c r="G48" s="13">
        <v>36</v>
      </c>
      <c r="H48" s="13">
        <v>47</v>
      </c>
      <c r="I48" s="13" t="s">
        <v>945</v>
      </c>
      <c r="J48" s="13" t="s">
        <v>219</v>
      </c>
      <c r="K48" s="39" t="s">
        <v>946</v>
      </c>
      <c r="L48" s="39" t="s">
        <v>237</v>
      </c>
      <c r="M48" s="13">
        <v>50</v>
      </c>
    </row>
    <row r="49" spans="6:13" x14ac:dyDescent="0.25">
      <c r="F49" s="13">
        <v>55469</v>
      </c>
      <c r="G49" s="13">
        <v>36</v>
      </c>
      <c r="H49" s="13">
        <v>48</v>
      </c>
      <c r="I49" s="13" t="s">
        <v>947</v>
      </c>
      <c r="J49" s="13" t="s">
        <v>220</v>
      </c>
      <c r="K49" s="39" t="s">
        <v>948</v>
      </c>
      <c r="L49" s="39" t="s">
        <v>237</v>
      </c>
      <c r="M49" s="13">
        <v>50</v>
      </c>
    </row>
    <row r="50" spans="6:13" x14ac:dyDescent="0.25">
      <c r="F50" s="13">
        <v>55469</v>
      </c>
      <c r="G50" s="13">
        <v>36</v>
      </c>
      <c r="H50" s="13">
        <v>49</v>
      </c>
      <c r="I50" s="13" t="s">
        <v>949</v>
      </c>
      <c r="J50" s="13" t="s">
        <v>221</v>
      </c>
      <c r="K50" s="39" t="s">
        <v>950</v>
      </c>
      <c r="L50" s="39" t="s">
        <v>237</v>
      </c>
      <c r="M50" s="13">
        <v>50</v>
      </c>
    </row>
    <row r="51" spans="6:13" x14ac:dyDescent="0.25">
      <c r="F51" s="13">
        <v>55469</v>
      </c>
      <c r="G51" s="13">
        <v>36</v>
      </c>
      <c r="H51" s="13">
        <v>50</v>
      </c>
      <c r="I51" s="13" t="s">
        <v>951</v>
      </c>
      <c r="J51" s="13" t="s">
        <v>222</v>
      </c>
      <c r="K51" s="39" t="s">
        <v>952</v>
      </c>
      <c r="L51" s="39" t="s">
        <v>237</v>
      </c>
      <c r="M51" s="13">
        <v>50</v>
      </c>
    </row>
    <row r="52" spans="6:13" x14ac:dyDescent="0.25">
      <c r="F52" s="13">
        <v>55469</v>
      </c>
      <c r="G52" s="13">
        <v>36</v>
      </c>
      <c r="H52" s="13">
        <v>51</v>
      </c>
      <c r="I52" s="13" t="s">
        <v>953</v>
      </c>
      <c r="J52" s="13" t="s">
        <v>223</v>
      </c>
      <c r="K52" s="39" t="s">
        <v>954</v>
      </c>
      <c r="L52" s="39" t="s">
        <v>237</v>
      </c>
      <c r="M52" s="13">
        <v>50</v>
      </c>
    </row>
    <row r="53" spans="6:13" x14ac:dyDescent="0.25">
      <c r="F53" s="13">
        <v>55469</v>
      </c>
      <c r="G53" s="13">
        <v>36</v>
      </c>
      <c r="H53" s="13">
        <v>52</v>
      </c>
      <c r="I53" s="13" t="s">
        <v>955</v>
      </c>
      <c r="J53" s="13" t="s">
        <v>224</v>
      </c>
      <c r="K53" s="39" t="s">
        <v>956</v>
      </c>
      <c r="L53" s="39" t="s">
        <v>237</v>
      </c>
      <c r="M53" s="13">
        <v>50</v>
      </c>
    </row>
    <row r="54" spans="6:13" x14ac:dyDescent="0.25">
      <c r="F54" s="13">
        <v>55469</v>
      </c>
      <c r="G54" s="13">
        <v>36</v>
      </c>
      <c r="H54" s="13">
        <v>53</v>
      </c>
      <c r="I54" s="13" t="s">
        <v>957</v>
      </c>
      <c r="J54" s="13" t="s">
        <v>225</v>
      </c>
      <c r="K54" s="39" t="s">
        <v>958</v>
      </c>
      <c r="L54" s="39" t="s">
        <v>237</v>
      </c>
      <c r="M54" s="13">
        <v>50</v>
      </c>
    </row>
    <row r="55" spans="6:13" x14ac:dyDescent="0.25">
      <c r="F55" s="13">
        <v>55469</v>
      </c>
      <c r="G55" s="13">
        <v>36</v>
      </c>
      <c r="H55" s="13">
        <v>54</v>
      </c>
      <c r="I55" s="13" t="s">
        <v>959</v>
      </c>
      <c r="J55" s="13" t="s">
        <v>226</v>
      </c>
      <c r="K55" s="39" t="s">
        <v>960</v>
      </c>
      <c r="L55" s="39" t="s">
        <v>237</v>
      </c>
      <c r="M55" s="13">
        <v>50</v>
      </c>
    </row>
    <row r="56" spans="6:13" x14ac:dyDescent="0.25">
      <c r="F56" s="13">
        <v>55469</v>
      </c>
      <c r="G56" s="13">
        <v>36</v>
      </c>
      <c r="H56" s="13">
        <v>55</v>
      </c>
      <c r="I56" s="13" t="s">
        <v>302</v>
      </c>
      <c r="J56" s="13" t="s">
        <v>201</v>
      </c>
      <c r="K56" s="13" t="s">
        <v>961</v>
      </c>
      <c r="L56" s="13" t="s">
        <v>142</v>
      </c>
      <c r="M56" s="13">
        <v>50</v>
      </c>
    </row>
    <row r="57" spans="6:13" x14ac:dyDescent="0.25">
      <c r="F57" s="13">
        <v>55469</v>
      </c>
      <c r="G57" s="13">
        <v>36</v>
      </c>
      <c r="H57" s="13">
        <v>56</v>
      </c>
      <c r="I57" s="13" t="s">
        <v>310</v>
      </c>
      <c r="J57" s="13" t="s">
        <v>206</v>
      </c>
      <c r="K57" s="13" t="s">
        <v>962</v>
      </c>
      <c r="L57" s="13" t="s">
        <v>142</v>
      </c>
      <c r="M57" s="13">
        <v>50</v>
      </c>
    </row>
    <row r="58" spans="6:13" x14ac:dyDescent="0.25">
      <c r="F58" s="13">
        <v>55469</v>
      </c>
      <c r="G58" s="13">
        <v>36</v>
      </c>
      <c r="H58" s="13">
        <v>57</v>
      </c>
      <c r="I58" s="13" t="s">
        <v>317</v>
      </c>
      <c r="J58" s="13" t="s">
        <v>208</v>
      </c>
      <c r="K58" s="13" t="s">
        <v>963</v>
      </c>
      <c r="L58" s="13" t="s">
        <v>142</v>
      </c>
      <c r="M58" s="13">
        <v>50</v>
      </c>
    </row>
    <row r="59" spans="6:13" x14ac:dyDescent="0.25">
      <c r="F59" s="13">
        <v>55469</v>
      </c>
      <c r="G59" s="13">
        <v>36</v>
      </c>
      <c r="H59" s="13">
        <v>58</v>
      </c>
      <c r="I59" s="13" t="s">
        <v>325</v>
      </c>
      <c r="J59" s="13" t="s">
        <v>201</v>
      </c>
      <c r="K59" s="37" t="s">
        <v>964</v>
      </c>
      <c r="L59" s="37" t="s">
        <v>236</v>
      </c>
      <c r="M59" s="13">
        <v>50</v>
      </c>
    </row>
    <row r="60" spans="6:13" x14ac:dyDescent="0.25">
      <c r="F60" s="13">
        <v>55469</v>
      </c>
      <c r="G60" s="13">
        <v>36</v>
      </c>
      <c r="H60" s="13">
        <v>59</v>
      </c>
      <c r="I60" s="13" t="s">
        <v>333</v>
      </c>
      <c r="J60" s="13" t="s">
        <v>206</v>
      </c>
      <c r="K60" s="37" t="s">
        <v>965</v>
      </c>
      <c r="L60" s="37" t="s">
        <v>236</v>
      </c>
      <c r="M60" s="13">
        <v>50</v>
      </c>
    </row>
    <row r="61" spans="6:13" x14ac:dyDescent="0.25">
      <c r="F61" s="13">
        <v>55469</v>
      </c>
      <c r="G61" s="13">
        <v>36</v>
      </c>
      <c r="H61" s="13">
        <v>60</v>
      </c>
      <c r="I61" s="13" t="s">
        <v>341</v>
      </c>
      <c r="J61" s="13" t="s">
        <v>208</v>
      </c>
      <c r="K61" s="37" t="s">
        <v>966</v>
      </c>
      <c r="L61" s="37" t="s">
        <v>236</v>
      </c>
      <c r="M61" s="13">
        <v>50</v>
      </c>
    </row>
    <row r="62" spans="6:13" x14ac:dyDescent="0.25">
      <c r="F62" s="17">
        <v>55469</v>
      </c>
      <c r="G62" s="17">
        <v>36</v>
      </c>
      <c r="H62" s="17">
        <v>61</v>
      </c>
      <c r="I62" s="17" t="s">
        <v>967</v>
      </c>
      <c r="J62" s="17" t="s">
        <v>176</v>
      </c>
      <c r="K62" s="17" t="s">
        <v>968</v>
      </c>
      <c r="L62" s="17" t="s">
        <v>142</v>
      </c>
      <c r="M62" s="17">
        <v>50</v>
      </c>
    </row>
    <row r="63" spans="6:13" x14ac:dyDescent="0.25">
      <c r="F63" s="17">
        <v>55469</v>
      </c>
      <c r="G63" s="17">
        <v>36</v>
      </c>
      <c r="H63" s="17">
        <v>62</v>
      </c>
      <c r="I63" s="17" t="s">
        <v>969</v>
      </c>
      <c r="J63" s="17" t="s">
        <v>182</v>
      </c>
      <c r="K63" s="17" t="s">
        <v>970</v>
      </c>
      <c r="L63" s="17" t="s">
        <v>142</v>
      </c>
      <c r="M63" s="17">
        <v>50</v>
      </c>
    </row>
    <row r="64" spans="6:13" x14ac:dyDescent="0.25">
      <c r="F64" s="17">
        <v>55469</v>
      </c>
      <c r="G64" s="17">
        <v>36</v>
      </c>
      <c r="H64" s="17">
        <v>63</v>
      </c>
      <c r="I64" s="17" t="s">
        <v>971</v>
      </c>
      <c r="J64" s="17" t="s">
        <v>186</v>
      </c>
      <c r="K64" s="17" t="s">
        <v>972</v>
      </c>
      <c r="L64" s="17" t="s">
        <v>142</v>
      </c>
      <c r="M64" s="17">
        <v>50</v>
      </c>
    </row>
    <row r="65" spans="6:13" x14ac:dyDescent="0.25">
      <c r="F65" s="17">
        <v>55469</v>
      </c>
      <c r="G65" s="17">
        <v>36</v>
      </c>
      <c r="H65" s="17">
        <v>64</v>
      </c>
      <c r="I65" s="17" t="s">
        <v>349</v>
      </c>
      <c r="J65" s="17" t="s">
        <v>201</v>
      </c>
      <c r="K65" s="17" t="s">
        <v>973</v>
      </c>
      <c r="L65" s="17" t="s">
        <v>142</v>
      </c>
      <c r="M65" s="17">
        <v>50</v>
      </c>
    </row>
    <row r="66" spans="6:13" x14ac:dyDescent="0.25">
      <c r="F66" s="17">
        <v>55469</v>
      </c>
      <c r="G66" s="17">
        <v>36</v>
      </c>
      <c r="H66" s="17">
        <v>65</v>
      </c>
      <c r="I66" s="17" t="s">
        <v>357</v>
      </c>
      <c r="J66" s="17" t="s">
        <v>206</v>
      </c>
      <c r="K66" s="17" t="s">
        <v>974</v>
      </c>
      <c r="L66" s="17" t="s">
        <v>142</v>
      </c>
      <c r="M66" s="17">
        <v>50</v>
      </c>
    </row>
    <row r="67" spans="6:13" x14ac:dyDescent="0.25">
      <c r="F67" s="17">
        <v>55469</v>
      </c>
      <c r="G67" s="17">
        <v>36</v>
      </c>
      <c r="H67" s="17">
        <v>66</v>
      </c>
      <c r="I67" s="17" t="s">
        <v>365</v>
      </c>
      <c r="J67" s="17" t="s">
        <v>208</v>
      </c>
      <c r="K67" s="17" t="s">
        <v>975</v>
      </c>
      <c r="L67" s="17" t="s">
        <v>142</v>
      </c>
      <c r="M67" s="17">
        <v>50</v>
      </c>
    </row>
    <row r="68" spans="6:13" x14ac:dyDescent="0.25">
      <c r="F68" s="17">
        <v>55469</v>
      </c>
      <c r="G68" s="17">
        <v>36</v>
      </c>
      <c r="H68" s="17">
        <v>67</v>
      </c>
      <c r="I68" s="17" t="s">
        <v>373</v>
      </c>
      <c r="J68" s="17" t="s">
        <v>201</v>
      </c>
      <c r="K68" s="40" t="s">
        <v>976</v>
      </c>
      <c r="L68" s="40" t="s">
        <v>236</v>
      </c>
      <c r="M68" s="17">
        <v>50</v>
      </c>
    </row>
    <row r="69" spans="6:13" x14ac:dyDescent="0.25">
      <c r="F69" s="17">
        <v>55469</v>
      </c>
      <c r="G69" s="17">
        <v>36</v>
      </c>
      <c r="H69" s="17">
        <v>68</v>
      </c>
      <c r="I69" s="17" t="s">
        <v>379</v>
      </c>
      <c r="J69" s="17" t="s">
        <v>206</v>
      </c>
      <c r="K69" s="40" t="s">
        <v>977</v>
      </c>
      <c r="L69" s="40" t="s">
        <v>236</v>
      </c>
      <c r="M69" s="17">
        <v>50</v>
      </c>
    </row>
    <row r="70" spans="6:13" x14ac:dyDescent="0.25">
      <c r="F70" s="17">
        <v>55469</v>
      </c>
      <c r="G70" s="17">
        <v>36</v>
      </c>
      <c r="H70" s="17">
        <v>69</v>
      </c>
      <c r="I70" s="17" t="s">
        <v>387</v>
      </c>
      <c r="J70" s="17" t="s">
        <v>208</v>
      </c>
      <c r="K70" s="40" t="s">
        <v>978</v>
      </c>
      <c r="L70" s="40" t="s">
        <v>236</v>
      </c>
      <c r="M70" s="17">
        <v>50</v>
      </c>
    </row>
    <row r="71" spans="6:13" x14ac:dyDescent="0.25">
      <c r="F71" s="17">
        <v>55469</v>
      </c>
      <c r="G71" s="17">
        <v>36</v>
      </c>
      <c r="H71" s="17">
        <v>70</v>
      </c>
      <c r="I71" s="17" t="s">
        <v>395</v>
      </c>
      <c r="J71" s="17" t="s">
        <v>201</v>
      </c>
      <c r="K71" s="40" t="s">
        <v>979</v>
      </c>
      <c r="L71" s="40" t="s">
        <v>236</v>
      </c>
      <c r="M71" s="17">
        <v>50</v>
      </c>
    </row>
    <row r="72" spans="6:13" x14ac:dyDescent="0.25">
      <c r="F72" s="17">
        <v>55469</v>
      </c>
      <c r="G72" s="17">
        <v>36</v>
      </c>
      <c r="H72" s="17">
        <v>71</v>
      </c>
      <c r="I72" s="17" t="s">
        <v>401</v>
      </c>
      <c r="J72" s="17" t="s">
        <v>206</v>
      </c>
      <c r="K72" s="40" t="s">
        <v>980</v>
      </c>
      <c r="L72" s="40" t="s">
        <v>236</v>
      </c>
      <c r="M72" s="17">
        <v>50</v>
      </c>
    </row>
    <row r="73" spans="6:13" x14ac:dyDescent="0.25">
      <c r="F73" s="17">
        <v>55469</v>
      </c>
      <c r="G73" s="17">
        <v>36</v>
      </c>
      <c r="H73" s="17">
        <v>72</v>
      </c>
      <c r="I73" s="17" t="s">
        <v>409</v>
      </c>
      <c r="J73" s="17" t="s">
        <v>208</v>
      </c>
      <c r="K73" s="40" t="s">
        <v>981</v>
      </c>
      <c r="L73" s="40" t="s">
        <v>236</v>
      </c>
      <c r="M73" s="17">
        <v>50</v>
      </c>
    </row>
    <row r="74" spans="6:13" x14ac:dyDescent="0.25">
      <c r="F74" s="17">
        <v>55469</v>
      </c>
      <c r="G74" s="17">
        <v>36</v>
      </c>
      <c r="H74" s="17">
        <v>73</v>
      </c>
      <c r="I74" s="17" t="s">
        <v>982</v>
      </c>
      <c r="J74" s="17" t="s">
        <v>176</v>
      </c>
      <c r="K74" s="41" t="s">
        <v>983</v>
      </c>
      <c r="L74" s="41" t="s">
        <v>237</v>
      </c>
      <c r="M74" s="17">
        <v>50</v>
      </c>
    </row>
    <row r="75" spans="6:13" x14ac:dyDescent="0.25">
      <c r="F75" s="17">
        <v>55469</v>
      </c>
      <c r="G75" s="17">
        <v>36</v>
      </c>
      <c r="H75" s="17">
        <v>74</v>
      </c>
      <c r="I75" s="17" t="s">
        <v>984</v>
      </c>
      <c r="J75" s="17" t="s">
        <v>182</v>
      </c>
      <c r="K75" s="41" t="s">
        <v>985</v>
      </c>
      <c r="L75" s="41" t="s">
        <v>237</v>
      </c>
      <c r="M75" s="17">
        <v>50</v>
      </c>
    </row>
    <row r="76" spans="6:13" x14ac:dyDescent="0.25">
      <c r="F76" s="17">
        <v>55469</v>
      </c>
      <c r="G76" s="17">
        <v>36</v>
      </c>
      <c r="H76" s="17">
        <v>75</v>
      </c>
      <c r="I76" s="17" t="s">
        <v>986</v>
      </c>
      <c r="J76" s="17" t="s">
        <v>186</v>
      </c>
      <c r="K76" s="41" t="s">
        <v>987</v>
      </c>
      <c r="L76" s="41" t="s">
        <v>237</v>
      </c>
      <c r="M76" s="17">
        <v>50</v>
      </c>
    </row>
    <row r="77" spans="6:13" x14ac:dyDescent="0.25">
      <c r="F77" s="17">
        <v>55469</v>
      </c>
      <c r="G77" s="17">
        <v>36</v>
      </c>
      <c r="H77" s="17">
        <v>76</v>
      </c>
      <c r="I77" s="17" t="s">
        <v>988</v>
      </c>
      <c r="J77" s="17" t="s">
        <v>218</v>
      </c>
      <c r="K77" s="41" t="s">
        <v>989</v>
      </c>
      <c r="L77" s="41" t="s">
        <v>237</v>
      </c>
      <c r="M77" s="17">
        <v>50</v>
      </c>
    </row>
    <row r="78" spans="6:13" x14ac:dyDescent="0.25">
      <c r="F78" s="17">
        <v>55469</v>
      </c>
      <c r="G78" s="17">
        <v>36</v>
      </c>
      <c r="H78" s="17">
        <v>77</v>
      </c>
      <c r="I78" s="17" t="s">
        <v>990</v>
      </c>
      <c r="J78" s="17" t="s">
        <v>219</v>
      </c>
      <c r="K78" s="41" t="s">
        <v>991</v>
      </c>
      <c r="L78" s="41" t="s">
        <v>237</v>
      </c>
      <c r="M78" s="17">
        <v>50</v>
      </c>
    </row>
    <row r="79" spans="6:13" x14ac:dyDescent="0.25">
      <c r="F79" s="17">
        <v>55469</v>
      </c>
      <c r="G79" s="17">
        <v>36</v>
      </c>
      <c r="H79" s="17">
        <v>78</v>
      </c>
      <c r="I79" s="17" t="s">
        <v>992</v>
      </c>
      <c r="J79" s="17" t="s">
        <v>220</v>
      </c>
      <c r="K79" s="41" t="s">
        <v>993</v>
      </c>
      <c r="L79" s="41" t="s">
        <v>237</v>
      </c>
      <c r="M79" s="17">
        <v>50</v>
      </c>
    </row>
    <row r="80" spans="6:13" x14ac:dyDescent="0.25">
      <c r="F80" s="17">
        <v>55469</v>
      </c>
      <c r="G80" s="17">
        <v>36</v>
      </c>
      <c r="H80" s="17">
        <v>79</v>
      </c>
      <c r="I80" s="17" t="s">
        <v>994</v>
      </c>
      <c r="J80" s="17" t="s">
        <v>221</v>
      </c>
      <c r="K80" s="41" t="s">
        <v>995</v>
      </c>
      <c r="L80" s="41" t="s">
        <v>237</v>
      </c>
      <c r="M80" s="17">
        <v>50</v>
      </c>
    </row>
    <row r="81" spans="6:13" x14ac:dyDescent="0.25">
      <c r="F81" s="17">
        <v>55469</v>
      </c>
      <c r="G81" s="17">
        <v>36</v>
      </c>
      <c r="H81" s="17">
        <v>80</v>
      </c>
      <c r="I81" s="17" t="s">
        <v>996</v>
      </c>
      <c r="J81" s="17" t="s">
        <v>222</v>
      </c>
      <c r="K81" s="41" t="s">
        <v>997</v>
      </c>
      <c r="L81" s="41" t="s">
        <v>237</v>
      </c>
      <c r="M81" s="17">
        <v>50</v>
      </c>
    </row>
    <row r="82" spans="6:13" x14ac:dyDescent="0.25">
      <c r="F82" s="17">
        <v>55469</v>
      </c>
      <c r="G82" s="17">
        <v>36</v>
      </c>
      <c r="H82" s="17">
        <v>81</v>
      </c>
      <c r="I82" s="17" t="s">
        <v>998</v>
      </c>
      <c r="J82" s="17" t="s">
        <v>223</v>
      </c>
      <c r="K82" s="41" t="s">
        <v>999</v>
      </c>
      <c r="L82" s="41" t="s">
        <v>237</v>
      </c>
      <c r="M82" s="17">
        <v>50</v>
      </c>
    </row>
    <row r="83" spans="6:13" x14ac:dyDescent="0.25">
      <c r="F83" s="17">
        <v>55469</v>
      </c>
      <c r="G83" s="17">
        <v>36</v>
      </c>
      <c r="H83" s="17">
        <v>82</v>
      </c>
      <c r="I83" s="17" t="s">
        <v>1000</v>
      </c>
      <c r="J83" s="17" t="s">
        <v>224</v>
      </c>
      <c r="K83" s="41" t="s">
        <v>1001</v>
      </c>
      <c r="L83" s="41" t="s">
        <v>237</v>
      </c>
      <c r="M83" s="17">
        <v>50</v>
      </c>
    </row>
    <row r="84" spans="6:13" x14ac:dyDescent="0.25">
      <c r="F84" s="17">
        <v>55469</v>
      </c>
      <c r="G84" s="17">
        <v>36</v>
      </c>
      <c r="H84" s="17">
        <v>83</v>
      </c>
      <c r="I84" s="17" t="s">
        <v>1002</v>
      </c>
      <c r="J84" s="17" t="s">
        <v>225</v>
      </c>
      <c r="K84" s="41" t="s">
        <v>1003</v>
      </c>
      <c r="L84" s="41" t="s">
        <v>237</v>
      </c>
      <c r="M84" s="17">
        <v>50</v>
      </c>
    </row>
    <row r="85" spans="6:13" x14ac:dyDescent="0.25">
      <c r="F85" s="17">
        <v>55469</v>
      </c>
      <c r="G85" s="17">
        <v>36</v>
      </c>
      <c r="H85" s="17">
        <v>84</v>
      </c>
      <c r="I85" s="17" t="s">
        <v>1004</v>
      </c>
      <c r="J85" s="17" t="s">
        <v>226</v>
      </c>
      <c r="K85" s="41" t="s">
        <v>1005</v>
      </c>
      <c r="L85" s="41" t="s">
        <v>237</v>
      </c>
      <c r="M85" s="17">
        <v>50</v>
      </c>
    </row>
    <row r="86" spans="6:13" x14ac:dyDescent="0.25">
      <c r="F86" s="17">
        <v>55469</v>
      </c>
      <c r="G86" s="17">
        <v>36</v>
      </c>
      <c r="H86" s="17">
        <v>85</v>
      </c>
      <c r="I86" s="17" t="s">
        <v>417</v>
      </c>
      <c r="J86" s="17" t="s">
        <v>201</v>
      </c>
      <c r="K86" s="17" t="s">
        <v>1006</v>
      </c>
      <c r="L86" s="17" t="s">
        <v>142</v>
      </c>
      <c r="M86" s="17">
        <v>50</v>
      </c>
    </row>
    <row r="87" spans="6:13" x14ac:dyDescent="0.25">
      <c r="F87" s="17">
        <v>55469</v>
      </c>
      <c r="G87" s="17">
        <v>36</v>
      </c>
      <c r="H87" s="17">
        <v>86</v>
      </c>
      <c r="I87" s="17" t="s">
        <v>425</v>
      </c>
      <c r="J87" s="17" t="s">
        <v>206</v>
      </c>
      <c r="K87" s="17" t="s">
        <v>1007</v>
      </c>
      <c r="L87" s="17" t="s">
        <v>142</v>
      </c>
      <c r="M87" s="17">
        <v>50</v>
      </c>
    </row>
    <row r="88" spans="6:13" x14ac:dyDescent="0.25">
      <c r="F88" s="17">
        <v>55469</v>
      </c>
      <c r="G88" s="17">
        <v>36</v>
      </c>
      <c r="H88" s="17">
        <v>87</v>
      </c>
      <c r="I88" s="17" t="s">
        <v>433</v>
      </c>
      <c r="J88" s="17" t="s">
        <v>208</v>
      </c>
      <c r="K88" s="17" t="s">
        <v>1008</v>
      </c>
      <c r="L88" s="17" t="s">
        <v>142</v>
      </c>
      <c r="M88" s="17">
        <v>50</v>
      </c>
    </row>
    <row r="89" spans="6:13" x14ac:dyDescent="0.25">
      <c r="F89" s="17">
        <v>55469</v>
      </c>
      <c r="G89" s="17">
        <v>36</v>
      </c>
      <c r="H89" s="17">
        <v>88</v>
      </c>
      <c r="I89" s="17" t="s">
        <v>440</v>
      </c>
      <c r="J89" s="17" t="s">
        <v>201</v>
      </c>
      <c r="K89" s="40" t="s">
        <v>1009</v>
      </c>
      <c r="L89" s="40" t="s">
        <v>236</v>
      </c>
      <c r="M89" s="17">
        <v>50</v>
      </c>
    </row>
    <row r="90" spans="6:13" x14ac:dyDescent="0.25">
      <c r="F90" s="17">
        <v>55469</v>
      </c>
      <c r="G90" s="17">
        <v>36</v>
      </c>
      <c r="H90" s="17">
        <v>89</v>
      </c>
      <c r="I90" s="17" t="s">
        <v>448</v>
      </c>
      <c r="J90" s="17" t="s">
        <v>206</v>
      </c>
      <c r="K90" s="40" t="s">
        <v>1010</v>
      </c>
      <c r="L90" s="40" t="s">
        <v>236</v>
      </c>
      <c r="M90" s="17">
        <v>50</v>
      </c>
    </row>
    <row r="91" spans="6:13" x14ac:dyDescent="0.25">
      <c r="F91" s="17">
        <v>55469</v>
      </c>
      <c r="G91" s="17">
        <v>36</v>
      </c>
      <c r="H91" s="17">
        <v>90</v>
      </c>
      <c r="I91" s="17" t="s">
        <v>455</v>
      </c>
      <c r="J91" s="17" t="s">
        <v>208</v>
      </c>
      <c r="K91" s="40" t="s">
        <v>1011</v>
      </c>
      <c r="L91" s="40" t="s">
        <v>236</v>
      </c>
      <c r="M91" s="17">
        <v>50</v>
      </c>
    </row>
    <row r="92" spans="6:13" ht="74.45" hidden="1" customHeight="1" x14ac:dyDescent="0.25"/>
    <row r="93" spans="6:13" x14ac:dyDescent="0.25">
      <c r="F93" s="19">
        <v>55469</v>
      </c>
      <c r="G93" s="19">
        <v>36</v>
      </c>
      <c r="H93" s="19">
        <v>91</v>
      </c>
      <c r="I93" s="19" t="s">
        <v>1012</v>
      </c>
      <c r="J93" s="19" t="s">
        <v>176</v>
      </c>
      <c r="K93" s="19" t="s">
        <v>1013</v>
      </c>
      <c r="L93" s="19" t="s">
        <v>142</v>
      </c>
      <c r="M93" s="19">
        <v>50</v>
      </c>
    </row>
    <row r="94" spans="6:13" x14ac:dyDescent="0.25">
      <c r="F94" s="19">
        <v>55469</v>
      </c>
      <c r="G94" s="19">
        <v>36</v>
      </c>
      <c r="H94" s="19">
        <v>92</v>
      </c>
      <c r="I94" s="19" t="s">
        <v>1014</v>
      </c>
      <c r="J94" s="19" t="s">
        <v>182</v>
      </c>
      <c r="K94" s="19" t="s">
        <v>1015</v>
      </c>
      <c r="L94" s="19" t="s">
        <v>142</v>
      </c>
      <c r="M94" s="19">
        <v>50</v>
      </c>
    </row>
    <row r="95" spans="6:13" x14ac:dyDescent="0.25">
      <c r="F95" s="19">
        <v>55469</v>
      </c>
      <c r="G95" s="19">
        <v>36</v>
      </c>
      <c r="H95" s="19">
        <v>93</v>
      </c>
      <c r="I95" s="19" t="s">
        <v>1016</v>
      </c>
      <c r="J95" s="19" t="s">
        <v>186</v>
      </c>
      <c r="K95" s="19" t="s">
        <v>1017</v>
      </c>
      <c r="L95" s="19" t="s">
        <v>142</v>
      </c>
      <c r="M95" s="19">
        <v>50</v>
      </c>
    </row>
    <row r="96" spans="6:13" x14ac:dyDescent="0.25">
      <c r="F96" s="19">
        <v>55469</v>
      </c>
      <c r="G96" s="19">
        <v>36</v>
      </c>
      <c r="H96" s="19">
        <v>94</v>
      </c>
      <c r="I96" s="19" t="s">
        <v>462</v>
      </c>
      <c r="J96" s="19" t="s">
        <v>201</v>
      </c>
      <c r="K96" s="19" t="s">
        <v>1018</v>
      </c>
      <c r="L96" s="19" t="s">
        <v>142</v>
      </c>
      <c r="M96" s="19">
        <v>50</v>
      </c>
    </row>
    <row r="97" spans="6:13" x14ac:dyDescent="0.25">
      <c r="F97" s="19">
        <v>55469</v>
      </c>
      <c r="G97" s="19">
        <v>36</v>
      </c>
      <c r="H97" s="19">
        <v>95</v>
      </c>
      <c r="I97" s="19" t="s">
        <v>469</v>
      </c>
      <c r="J97" s="19" t="s">
        <v>206</v>
      </c>
      <c r="K97" s="19" t="s">
        <v>1019</v>
      </c>
      <c r="L97" s="19" t="s">
        <v>142</v>
      </c>
      <c r="M97" s="19">
        <v>50</v>
      </c>
    </row>
    <row r="98" spans="6:13" x14ac:dyDescent="0.25">
      <c r="F98" s="19">
        <v>55469</v>
      </c>
      <c r="G98" s="19">
        <v>36</v>
      </c>
      <c r="H98" s="19">
        <v>96</v>
      </c>
      <c r="I98" s="19" t="s">
        <v>477</v>
      </c>
      <c r="J98" s="19" t="s">
        <v>208</v>
      </c>
      <c r="K98" s="19" t="s">
        <v>1020</v>
      </c>
      <c r="L98" s="19" t="s">
        <v>142</v>
      </c>
      <c r="M98" s="19">
        <v>50</v>
      </c>
    </row>
    <row r="99" spans="6:13" x14ac:dyDescent="0.25">
      <c r="F99" s="19">
        <v>55469</v>
      </c>
      <c r="G99" s="19">
        <v>36</v>
      </c>
      <c r="H99" s="19">
        <v>97</v>
      </c>
      <c r="I99" s="19" t="s">
        <v>484</v>
      </c>
      <c r="J99" s="19" t="s">
        <v>201</v>
      </c>
      <c r="K99" s="42" t="s">
        <v>1021</v>
      </c>
      <c r="L99" s="42" t="s">
        <v>236</v>
      </c>
      <c r="M99" s="19">
        <v>50</v>
      </c>
    </row>
    <row r="100" spans="6:13" x14ac:dyDescent="0.25">
      <c r="F100" s="19">
        <v>55469</v>
      </c>
      <c r="G100" s="19">
        <v>36</v>
      </c>
      <c r="H100" s="19">
        <v>98</v>
      </c>
      <c r="I100" s="19" t="s">
        <v>492</v>
      </c>
      <c r="J100" s="19" t="s">
        <v>206</v>
      </c>
      <c r="K100" s="42" t="s">
        <v>1022</v>
      </c>
      <c r="L100" s="42" t="s">
        <v>236</v>
      </c>
      <c r="M100" s="19">
        <v>50</v>
      </c>
    </row>
    <row r="101" spans="6:13" x14ac:dyDescent="0.25">
      <c r="F101" s="19">
        <v>55469</v>
      </c>
      <c r="G101" s="19">
        <v>36</v>
      </c>
      <c r="H101" s="19">
        <v>99</v>
      </c>
      <c r="I101" s="19" t="s">
        <v>500</v>
      </c>
      <c r="J101" s="19" t="s">
        <v>208</v>
      </c>
      <c r="K101" s="42" t="s">
        <v>1023</v>
      </c>
      <c r="L101" s="42" t="s">
        <v>236</v>
      </c>
      <c r="M101" s="19">
        <v>50</v>
      </c>
    </row>
    <row r="102" spans="6:13" x14ac:dyDescent="0.25">
      <c r="F102" s="19">
        <v>55469</v>
      </c>
      <c r="G102" s="19">
        <v>36</v>
      </c>
      <c r="H102" s="19">
        <v>100</v>
      </c>
      <c r="I102" s="19" t="s">
        <v>508</v>
      </c>
      <c r="J102" s="19" t="s">
        <v>201</v>
      </c>
      <c r="K102" s="42" t="s">
        <v>1024</v>
      </c>
      <c r="L102" s="42" t="s">
        <v>236</v>
      </c>
      <c r="M102" s="19">
        <v>50</v>
      </c>
    </row>
    <row r="103" spans="6:13" x14ac:dyDescent="0.25">
      <c r="F103" s="19">
        <v>55469</v>
      </c>
      <c r="G103" s="19">
        <v>36</v>
      </c>
      <c r="H103" s="19">
        <v>101</v>
      </c>
      <c r="I103" s="19" t="s">
        <v>514</v>
      </c>
      <c r="J103" s="19" t="s">
        <v>206</v>
      </c>
      <c r="K103" s="42" t="s">
        <v>1025</v>
      </c>
      <c r="L103" s="42" t="s">
        <v>236</v>
      </c>
      <c r="M103" s="19">
        <v>50</v>
      </c>
    </row>
    <row r="104" spans="6:13" x14ac:dyDescent="0.25">
      <c r="F104" s="19">
        <v>55469</v>
      </c>
      <c r="G104" s="19">
        <v>36</v>
      </c>
      <c r="H104" s="19">
        <v>102</v>
      </c>
      <c r="I104" s="19" t="s">
        <v>521</v>
      </c>
      <c r="J104" s="19" t="s">
        <v>208</v>
      </c>
      <c r="K104" s="42" t="s">
        <v>1026</v>
      </c>
      <c r="L104" s="42" t="s">
        <v>236</v>
      </c>
      <c r="M104" s="19">
        <v>50</v>
      </c>
    </row>
    <row r="105" spans="6:13" x14ac:dyDescent="0.25">
      <c r="F105" s="19">
        <v>55469</v>
      </c>
      <c r="G105" s="19">
        <v>36</v>
      </c>
      <c r="H105" s="19">
        <v>103</v>
      </c>
      <c r="I105" s="19" t="s">
        <v>1027</v>
      </c>
      <c r="J105" s="19" t="s">
        <v>176</v>
      </c>
      <c r="K105" s="43" t="s">
        <v>1028</v>
      </c>
      <c r="L105" s="43" t="s">
        <v>237</v>
      </c>
      <c r="M105" s="19">
        <v>50</v>
      </c>
    </row>
    <row r="106" spans="6:13" x14ac:dyDescent="0.25">
      <c r="F106" s="19">
        <v>55469</v>
      </c>
      <c r="G106" s="19">
        <v>36</v>
      </c>
      <c r="H106" s="19">
        <v>104</v>
      </c>
      <c r="I106" s="19" t="s">
        <v>1029</v>
      </c>
      <c r="J106" s="19" t="s">
        <v>182</v>
      </c>
      <c r="K106" s="43" t="s">
        <v>1030</v>
      </c>
      <c r="L106" s="43" t="s">
        <v>237</v>
      </c>
      <c r="M106" s="19">
        <v>50</v>
      </c>
    </row>
    <row r="107" spans="6:13" x14ac:dyDescent="0.25">
      <c r="F107" s="19">
        <v>55469</v>
      </c>
      <c r="G107" s="19">
        <v>36</v>
      </c>
      <c r="H107" s="19">
        <v>105</v>
      </c>
      <c r="I107" s="19" t="s">
        <v>1031</v>
      </c>
      <c r="J107" s="19" t="s">
        <v>186</v>
      </c>
      <c r="K107" s="43" t="s">
        <v>1032</v>
      </c>
      <c r="L107" s="43" t="s">
        <v>237</v>
      </c>
      <c r="M107" s="19">
        <v>50</v>
      </c>
    </row>
    <row r="108" spans="6:13" x14ac:dyDescent="0.25">
      <c r="F108" s="19">
        <v>55469</v>
      </c>
      <c r="G108" s="19">
        <v>36</v>
      </c>
      <c r="H108" s="19">
        <v>106</v>
      </c>
      <c r="I108" s="19" t="s">
        <v>1033</v>
      </c>
      <c r="J108" s="19" t="s">
        <v>218</v>
      </c>
      <c r="K108" s="43" t="s">
        <v>1034</v>
      </c>
      <c r="L108" s="43" t="s">
        <v>237</v>
      </c>
      <c r="M108" s="19">
        <v>50</v>
      </c>
    </row>
    <row r="109" spans="6:13" x14ac:dyDescent="0.25">
      <c r="F109" s="19">
        <v>55469</v>
      </c>
      <c r="G109" s="19">
        <v>36</v>
      </c>
      <c r="H109" s="19">
        <v>107</v>
      </c>
      <c r="I109" s="19" t="s">
        <v>1035</v>
      </c>
      <c r="J109" s="19" t="s">
        <v>219</v>
      </c>
      <c r="K109" s="43" t="s">
        <v>1036</v>
      </c>
      <c r="L109" s="43" t="s">
        <v>237</v>
      </c>
      <c r="M109" s="19">
        <v>50</v>
      </c>
    </row>
    <row r="110" spans="6:13" x14ac:dyDescent="0.25">
      <c r="F110" s="19">
        <v>55469</v>
      </c>
      <c r="G110" s="19">
        <v>36</v>
      </c>
      <c r="H110" s="19">
        <v>108</v>
      </c>
      <c r="I110" s="19" t="s">
        <v>1037</v>
      </c>
      <c r="J110" s="19" t="s">
        <v>220</v>
      </c>
      <c r="K110" s="43" t="s">
        <v>1038</v>
      </c>
      <c r="L110" s="43" t="s">
        <v>237</v>
      </c>
      <c r="M110" s="19">
        <v>50</v>
      </c>
    </row>
    <row r="111" spans="6:13" x14ac:dyDescent="0.25">
      <c r="F111" s="19">
        <v>55469</v>
      </c>
      <c r="G111" s="19">
        <v>36</v>
      </c>
      <c r="H111" s="19">
        <v>109</v>
      </c>
      <c r="I111" s="19" t="s">
        <v>1039</v>
      </c>
      <c r="J111" s="19" t="s">
        <v>221</v>
      </c>
      <c r="K111" s="43" t="s">
        <v>1040</v>
      </c>
      <c r="L111" s="43" t="s">
        <v>237</v>
      </c>
      <c r="M111" s="19">
        <v>50</v>
      </c>
    </row>
    <row r="112" spans="6:13" x14ac:dyDescent="0.25">
      <c r="F112" s="19">
        <v>55469</v>
      </c>
      <c r="G112" s="19">
        <v>36</v>
      </c>
      <c r="H112" s="19">
        <v>110</v>
      </c>
      <c r="I112" s="19" t="s">
        <v>1041</v>
      </c>
      <c r="J112" s="19" t="s">
        <v>222</v>
      </c>
      <c r="K112" s="43" t="s">
        <v>1042</v>
      </c>
      <c r="L112" s="43" t="s">
        <v>237</v>
      </c>
      <c r="M112" s="19">
        <v>50</v>
      </c>
    </row>
    <row r="113" spans="6:13" x14ac:dyDescent="0.25">
      <c r="F113" s="19">
        <v>55469</v>
      </c>
      <c r="G113" s="19">
        <v>36</v>
      </c>
      <c r="H113" s="19">
        <v>111</v>
      </c>
      <c r="I113" s="19" t="s">
        <v>1043</v>
      </c>
      <c r="J113" s="19" t="s">
        <v>223</v>
      </c>
      <c r="K113" s="43" t="s">
        <v>1044</v>
      </c>
      <c r="L113" s="43" t="s">
        <v>237</v>
      </c>
      <c r="M113" s="19">
        <v>50</v>
      </c>
    </row>
    <row r="114" spans="6:13" x14ac:dyDescent="0.25">
      <c r="F114" s="19">
        <v>55469</v>
      </c>
      <c r="G114" s="19">
        <v>36</v>
      </c>
      <c r="H114" s="19">
        <v>112</v>
      </c>
      <c r="I114" s="19" t="s">
        <v>1045</v>
      </c>
      <c r="J114" s="19" t="s">
        <v>224</v>
      </c>
      <c r="K114" s="43" t="s">
        <v>1046</v>
      </c>
      <c r="L114" s="43" t="s">
        <v>237</v>
      </c>
      <c r="M114" s="19">
        <v>50</v>
      </c>
    </row>
    <row r="115" spans="6:13" x14ac:dyDescent="0.25">
      <c r="F115" s="19">
        <v>55469</v>
      </c>
      <c r="G115" s="19">
        <v>36</v>
      </c>
      <c r="H115" s="19">
        <v>113</v>
      </c>
      <c r="I115" s="19" t="s">
        <v>1047</v>
      </c>
      <c r="J115" s="19" t="s">
        <v>225</v>
      </c>
      <c r="K115" s="43" t="s">
        <v>1048</v>
      </c>
      <c r="L115" s="43" t="s">
        <v>237</v>
      </c>
      <c r="M115" s="19">
        <v>50</v>
      </c>
    </row>
    <row r="116" spans="6:13" x14ac:dyDescent="0.25">
      <c r="F116" s="19">
        <v>55469</v>
      </c>
      <c r="G116" s="19">
        <v>36</v>
      </c>
      <c r="H116" s="19">
        <v>114</v>
      </c>
      <c r="I116" s="19" t="s">
        <v>1049</v>
      </c>
      <c r="J116" s="19" t="s">
        <v>226</v>
      </c>
      <c r="K116" s="43" t="s">
        <v>1050</v>
      </c>
      <c r="L116" s="43" t="s">
        <v>237</v>
      </c>
      <c r="M116" s="19">
        <v>50</v>
      </c>
    </row>
    <row r="117" spans="6:13" x14ac:dyDescent="0.25">
      <c r="F117" s="19">
        <v>55469</v>
      </c>
      <c r="G117" s="19">
        <v>36</v>
      </c>
      <c r="H117" s="19">
        <v>115</v>
      </c>
      <c r="I117" s="19" t="s">
        <v>878</v>
      </c>
      <c r="J117" s="19" t="s">
        <v>201</v>
      </c>
      <c r="K117" s="19" t="s">
        <v>1051</v>
      </c>
      <c r="L117" s="19" t="s">
        <v>142</v>
      </c>
      <c r="M117" s="19">
        <v>50</v>
      </c>
    </row>
    <row r="118" spans="6:13" x14ac:dyDescent="0.25">
      <c r="F118" s="19">
        <v>55469</v>
      </c>
      <c r="G118" s="19">
        <v>36</v>
      </c>
      <c r="H118" s="19">
        <v>116</v>
      </c>
      <c r="I118" s="19" t="s">
        <v>879</v>
      </c>
      <c r="J118" s="19" t="s">
        <v>206</v>
      </c>
      <c r="K118" s="19" t="s">
        <v>1052</v>
      </c>
      <c r="L118" s="19" t="s">
        <v>142</v>
      </c>
      <c r="M118" s="19">
        <v>50</v>
      </c>
    </row>
    <row r="119" spans="6:13" x14ac:dyDescent="0.25">
      <c r="F119" s="19">
        <v>55469</v>
      </c>
      <c r="G119" s="19">
        <v>36</v>
      </c>
      <c r="H119" s="19">
        <v>117</v>
      </c>
      <c r="I119" s="19" t="s">
        <v>880</v>
      </c>
      <c r="J119" s="19" t="s">
        <v>208</v>
      </c>
      <c r="K119" s="19" t="s">
        <v>1053</v>
      </c>
      <c r="L119" s="19" t="s">
        <v>142</v>
      </c>
      <c r="M119" s="19">
        <v>50</v>
      </c>
    </row>
    <row r="120" spans="6:13" x14ac:dyDescent="0.25">
      <c r="F120" s="19">
        <v>55469</v>
      </c>
      <c r="G120" s="19">
        <v>36</v>
      </c>
      <c r="H120" s="19">
        <v>118</v>
      </c>
      <c r="I120" s="19" t="s">
        <v>881</v>
      </c>
      <c r="J120" s="19" t="s">
        <v>201</v>
      </c>
      <c r="K120" s="42" t="s">
        <v>1054</v>
      </c>
      <c r="L120" s="42" t="s">
        <v>236</v>
      </c>
      <c r="M120" s="19">
        <v>50</v>
      </c>
    </row>
    <row r="121" spans="6:13" x14ac:dyDescent="0.25">
      <c r="F121" s="19">
        <v>55469</v>
      </c>
      <c r="G121" s="19">
        <v>36</v>
      </c>
      <c r="H121" s="19">
        <v>119</v>
      </c>
      <c r="I121" s="19" t="s">
        <v>882</v>
      </c>
      <c r="J121" s="19" t="s">
        <v>206</v>
      </c>
      <c r="K121" s="42" t="s">
        <v>1055</v>
      </c>
      <c r="L121" s="42" t="s">
        <v>236</v>
      </c>
      <c r="M121" s="19">
        <v>50</v>
      </c>
    </row>
    <row r="122" spans="6:13" x14ac:dyDescent="0.25">
      <c r="F122" s="19">
        <v>55469</v>
      </c>
      <c r="G122" s="19">
        <v>36</v>
      </c>
      <c r="H122" s="19">
        <v>120</v>
      </c>
      <c r="I122" s="19" t="s">
        <v>883</v>
      </c>
      <c r="J122" s="19" t="s">
        <v>208</v>
      </c>
      <c r="K122" s="42" t="s">
        <v>1056</v>
      </c>
      <c r="L122" s="42" t="s">
        <v>236</v>
      </c>
      <c r="M122" s="19">
        <v>50</v>
      </c>
    </row>
    <row r="123" spans="6:13" ht="52.7" customHeight="1" x14ac:dyDescent="0.25">
      <c r="K123" s="3"/>
      <c r="L123" s="3"/>
    </row>
    <row r="124" spans="6:13" ht="75" x14ac:dyDescent="0.25">
      <c r="F124" s="9" t="s">
        <v>167</v>
      </c>
      <c r="G124" s="9" t="s">
        <v>168</v>
      </c>
      <c r="H124" s="9" t="s">
        <v>169</v>
      </c>
      <c r="I124" s="9" t="s">
        <v>170</v>
      </c>
      <c r="J124" s="9" t="s">
        <v>171</v>
      </c>
      <c r="K124" s="9" t="s">
        <v>172</v>
      </c>
      <c r="L124" s="9"/>
      <c r="M124" s="9" t="s">
        <v>173</v>
      </c>
    </row>
    <row r="125" spans="6:13" x14ac:dyDescent="0.25">
      <c r="F125" s="21">
        <v>55469</v>
      </c>
      <c r="G125" s="21">
        <v>37</v>
      </c>
      <c r="H125" s="21">
        <v>121</v>
      </c>
      <c r="I125" s="21" t="s">
        <v>1057</v>
      </c>
      <c r="J125" s="21" t="s">
        <v>176</v>
      </c>
      <c r="K125" s="21" t="s">
        <v>1058</v>
      </c>
      <c r="L125" s="21" t="s">
        <v>142</v>
      </c>
      <c r="M125" s="21">
        <v>50</v>
      </c>
    </row>
    <row r="126" spans="6:13" x14ac:dyDescent="0.25">
      <c r="F126" s="21">
        <v>55469</v>
      </c>
      <c r="G126" s="21">
        <v>37</v>
      </c>
      <c r="H126" s="21">
        <v>122</v>
      </c>
      <c r="I126" s="21" t="s">
        <v>1059</v>
      </c>
      <c r="J126" s="21" t="s">
        <v>182</v>
      </c>
      <c r="K126" s="21" t="s">
        <v>1060</v>
      </c>
      <c r="L126" s="21" t="s">
        <v>142</v>
      </c>
      <c r="M126" s="21">
        <v>50</v>
      </c>
    </row>
    <row r="127" spans="6:13" x14ac:dyDescent="0.25">
      <c r="F127" s="21">
        <v>55469</v>
      </c>
      <c r="G127" s="21">
        <v>37</v>
      </c>
      <c r="H127" s="21">
        <v>123</v>
      </c>
      <c r="I127" s="21" t="s">
        <v>1061</v>
      </c>
      <c r="J127" s="21" t="s">
        <v>186</v>
      </c>
      <c r="K127" s="21" t="s">
        <v>1062</v>
      </c>
      <c r="L127" s="21" t="s">
        <v>142</v>
      </c>
      <c r="M127" s="21">
        <v>50</v>
      </c>
    </row>
    <row r="128" spans="6:13" x14ac:dyDescent="0.25">
      <c r="F128" s="21">
        <v>55469</v>
      </c>
      <c r="G128" s="21">
        <v>37</v>
      </c>
      <c r="H128" s="21">
        <v>124</v>
      </c>
      <c r="I128" s="21" t="s">
        <v>569</v>
      </c>
      <c r="J128" s="21" t="s">
        <v>201</v>
      </c>
      <c r="K128" s="21" t="s">
        <v>1063</v>
      </c>
      <c r="L128" s="21" t="s">
        <v>142</v>
      </c>
      <c r="M128" s="21">
        <v>50</v>
      </c>
    </row>
    <row r="129" spans="6:13" x14ac:dyDescent="0.25">
      <c r="F129" s="21">
        <v>55469</v>
      </c>
      <c r="G129" s="21">
        <v>37</v>
      </c>
      <c r="H129" s="21">
        <v>125</v>
      </c>
      <c r="I129" s="21" t="s">
        <v>577</v>
      </c>
      <c r="J129" s="21" t="s">
        <v>206</v>
      </c>
      <c r="K129" s="21" t="s">
        <v>1064</v>
      </c>
      <c r="L129" s="21" t="s">
        <v>142</v>
      </c>
      <c r="M129" s="21">
        <v>50</v>
      </c>
    </row>
    <row r="130" spans="6:13" x14ac:dyDescent="0.25">
      <c r="F130" s="21">
        <v>55469</v>
      </c>
      <c r="G130" s="21">
        <v>37</v>
      </c>
      <c r="H130" s="21">
        <v>126</v>
      </c>
      <c r="I130" s="21" t="s">
        <v>585</v>
      </c>
      <c r="J130" s="21" t="s">
        <v>208</v>
      </c>
      <c r="K130" s="21" t="s">
        <v>1065</v>
      </c>
      <c r="L130" s="21" t="s">
        <v>142</v>
      </c>
      <c r="M130" s="21">
        <v>50</v>
      </c>
    </row>
    <row r="131" spans="6:13" x14ac:dyDescent="0.25">
      <c r="F131" s="21">
        <v>55469</v>
      </c>
      <c r="G131" s="21">
        <v>37</v>
      </c>
      <c r="H131" s="21">
        <v>127</v>
      </c>
      <c r="I131" s="21" t="s">
        <v>591</v>
      </c>
      <c r="J131" s="21" t="s">
        <v>201</v>
      </c>
      <c r="K131" s="44" t="s">
        <v>1066</v>
      </c>
      <c r="L131" s="44" t="s">
        <v>236</v>
      </c>
      <c r="M131" s="21">
        <v>50</v>
      </c>
    </row>
    <row r="132" spans="6:13" x14ac:dyDescent="0.25">
      <c r="F132" s="21">
        <v>55469</v>
      </c>
      <c r="G132" s="21">
        <v>37</v>
      </c>
      <c r="H132" s="21">
        <v>128</v>
      </c>
      <c r="I132" s="21" t="s">
        <v>598</v>
      </c>
      <c r="J132" s="21" t="s">
        <v>206</v>
      </c>
      <c r="K132" s="44" t="s">
        <v>1067</v>
      </c>
      <c r="L132" s="44" t="s">
        <v>236</v>
      </c>
      <c r="M132" s="21">
        <v>50</v>
      </c>
    </row>
    <row r="133" spans="6:13" x14ac:dyDescent="0.25">
      <c r="F133" s="21">
        <v>55469</v>
      </c>
      <c r="G133" s="21">
        <v>37</v>
      </c>
      <c r="H133" s="21">
        <v>129</v>
      </c>
      <c r="I133" s="21" t="s">
        <v>605</v>
      </c>
      <c r="J133" s="21" t="s">
        <v>208</v>
      </c>
      <c r="K133" s="44" t="s">
        <v>1068</v>
      </c>
      <c r="L133" s="44" t="s">
        <v>236</v>
      </c>
      <c r="M133" s="21">
        <v>50</v>
      </c>
    </row>
    <row r="134" spans="6:13" x14ac:dyDescent="0.25">
      <c r="F134" s="21">
        <v>55469</v>
      </c>
      <c r="G134" s="21">
        <v>37</v>
      </c>
      <c r="H134" s="21">
        <v>130</v>
      </c>
      <c r="I134" s="21" t="s">
        <v>611</v>
      </c>
      <c r="J134" s="21" t="s">
        <v>201</v>
      </c>
      <c r="K134" s="44" t="s">
        <v>1069</v>
      </c>
      <c r="L134" s="44" t="s">
        <v>236</v>
      </c>
      <c r="M134" s="21">
        <v>50</v>
      </c>
    </row>
    <row r="135" spans="6:13" x14ac:dyDescent="0.25">
      <c r="F135" s="21">
        <v>55469</v>
      </c>
      <c r="G135" s="21">
        <v>37</v>
      </c>
      <c r="H135" s="21">
        <v>131</v>
      </c>
      <c r="I135" s="21" t="s">
        <v>615</v>
      </c>
      <c r="J135" s="21" t="s">
        <v>206</v>
      </c>
      <c r="K135" s="44" t="s">
        <v>1070</v>
      </c>
      <c r="L135" s="44" t="s">
        <v>236</v>
      </c>
      <c r="M135" s="21">
        <v>50</v>
      </c>
    </row>
    <row r="136" spans="6:13" x14ac:dyDescent="0.25">
      <c r="F136" s="21">
        <v>55469</v>
      </c>
      <c r="G136" s="21">
        <v>37</v>
      </c>
      <c r="H136" s="21">
        <v>132</v>
      </c>
      <c r="I136" s="21" t="s">
        <v>620</v>
      </c>
      <c r="J136" s="21" t="s">
        <v>208</v>
      </c>
      <c r="K136" s="44" t="s">
        <v>1071</v>
      </c>
      <c r="L136" s="44" t="s">
        <v>236</v>
      </c>
      <c r="M136" s="21">
        <v>50</v>
      </c>
    </row>
    <row r="137" spans="6:13" x14ac:dyDescent="0.25">
      <c r="F137" s="21">
        <v>55469</v>
      </c>
      <c r="G137" s="21">
        <v>37</v>
      </c>
      <c r="H137" s="21">
        <v>133</v>
      </c>
      <c r="I137" s="21" t="s">
        <v>1072</v>
      </c>
      <c r="J137" s="21" t="s">
        <v>176</v>
      </c>
      <c r="K137" s="45" t="s">
        <v>1073</v>
      </c>
      <c r="L137" s="45" t="s">
        <v>237</v>
      </c>
      <c r="M137" s="21">
        <v>50</v>
      </c>
    </row>
    <row r="138" spans="6:13" x14ac:dyDescent="0.25">
      <c r="F138" s="21">
        <v>55469</v>
      </c>
      <c r="G138" s="21">
        <v>37</v>
      </c>
      <c r="H138" s="21">
        <v>134</v>
      </c>
      <c r="I138" s="21" t="s">
        <v>1074</v>
      </c>
      <c r="J138" s="21" t="s">
        <v>182</v>
      </c>
      <c r="K138" s="45" t="s">
        <v>1075</v>
      </c>
      <c r="L138" s="45" t="s">
        <v>237</v>
      </c>
      <c r="M138" s="21">
        <v>50</v>
      </c>
    </row>
    <row r="139" spans="6:13" x14ac:dyDescent="0.25">
      <c r="F139" s="21">
        <v>55469</v>
      </c>
      <c r="G139" s="21">
        <v>37</v>
      </c>
      <c r="H139" s="21">
        <v>135</v>
      </c>
      <c r="I139" s="21" t="s">
        <v>1076</v>
      </c>
      <c r="J139" s="21" t="s">
        <v>186</v>
      </c>
      <c r="K139" s="45" t="s">
        <v>1077</v>
      </c>
      <c r="L139" s="45" t="s">
        <v>237</v>
      </c>
      <c r="M139" s="21">
        <v>50</v>
      </c>
    </row>
    <row r="140" spans="6:13" x14ac:dyDescent="0.25">
      <c r="F140" s="21">
        <v>55469</v>
      </c>
      <c r="G140" s="21">
        <v>37</v>
      </c>
      <c r="H140" s="21">
        <v>136</v>
      </c>
      <c r="I140" s="21" t="s">
        <v>1078</v>
      </c>
      <c r="J140" s="21" t="s">
        <v>218</v>
      </c>
      <c r="K140" s="45" t="s">
        <v>1079</v>
      </c>
      <c r="L140" s="45" t="s">
        <v>237</v>
      </c>
      <c r="M140" s="21">
        <v>50</v>
      </c>
    </row>
    <row r="141" spans="6:13" x14ac:dyDescent="0.25">
      <c r="F141" s="21">
        <v>55469</v>
      </c>
      <c r="G141" s="21">
        <v>37</v>
      </c>
      <c r="H141" s="21">
        <v>137</v>
      </c>
      <c r="I141" s="21" t="s">
        <v>1080</v>
      </c>
      <c r="J141" s="21" t="s">
        <v>219</v>
      </c>
      <c r="K141" s="45" t="s">
        <v>1081</v>
      </c>
      <c r="L141" s="45" t="s">
        <v>237</v>
      </c>
      <c r="M141" s="21">
        <v>50</v>
      </c>
    </row>
    <row r="142" spans="6:13" x14ac:dyDescent="0.25">
      <c r="F142" s="21">
        <v>55469</v>
      </c>
      <c r="G142" s="21">
        <v>37</v>
      </c>
      <c r="H142" s="21">
        <v>138</v>
      </c>
      <c r="I142" s="21" t="s">
        <v>1082</v>
      </c>
      <c r="J142" s="21" t="s">
        <v>220</v>
      </c>
      <c r="K142" s="45" t="s">
        <v>1083</v>
      </c>
      <c r="L142" s="45" t="s">
        <v>237</v>
      </c>
      <c r="M142" s="21">
        <v>50</v>
      </c>
    </row>
    <row r="143" spans="6:13" x14ac:dyDescent="0.25">
      <c r="F143" s="21">
        <v>55469</v>
      </c>
      <c r="G143" s="21">
        <v>37</v>
      </c>
      <c r="H143" s="21">
        <v>139</v>
      </c>
      <c r="I143" s="21" t="s">
        <v>1084</v>
      </c>
      <c r="J143" s="21" t="s">
        <v>221</v>
      </c>
      <c r="K143" s="45" t="s">
        <v>1085</v>
      </c>
      <c r="L143" s="45" t="s">
        <v>237</v>
      </c>
      <c r="M143" s="21">
        <v>50</v>
      </c>
    </row>
    <row r="144" spans="6:13" x14ac:dyDescent="0.25">
      <c r="F144" s="21">
        <v>55469</v>
      </c>
      <c r="G144" s="21">
        <v>37</v>
      </c>
      <c r="H144" s="21">
        <v>140</v>
      </c>
      <c r="I144" s="21" t="s">
        <v>1086</v>
      </c>
      <c r="J144" s="21" t="s">
        <v>222</v>
      </c>
      <c r="K144" s="45" t="s">
        <v>1087</v>
      </c>
      <c r="L144" s="45" t="s">
        <v>237</v>
      </c>
      <c r="M144" s="21">
        <v>50</v>
      </c>
    </row>
    <row r="145" spans="6:13" x14ac:dyDescent="0.25">
      <c r="F145" s="21">
        <v>55469</v>
      </c>
      <c r="G145" s="21">
        <v>37</v>
      </c>
      <c r="H145" s="21">
        <v>141</v>
      </c>
      <c r="I145" s="21" t="s">
        <v>1088</v>
      </c>
      <c r="J145" s="21" t="s">
        <v>223</v>
      </c>
      <c r="K145" s="45" t="s">
        <v>1089</v>
      </c>
      <c r="L145" s="45" t="s">
        <v>237</v>
      </c>
      <c r="M145" s="21">
        <v>50</v>
      </c>
    </row>
    <row r="146" spans="6:13" x14ac:dyDescent="0.25">
      <c r="F146" s="21">
        <v>55469</v>
      </c>
      <c r="G146" s="21">
        <v>37</v>
      </c>
      <c r="H146" s="21">
        <v>142</v>
      </c>
      <c r="I146" s="21" t="s">
        <v>1090</v>
      </c>
      <c r="J146" s="21" t="s">
        <v>224</v>
      </c>
      <c r="K146" s="45" t="s">
        <v>1091</v>
      </c>
      <c r="L146" s="45" t="s">
        <v>237</v>
      </c>
      <c r="M146" s="21">
        <v>50</v>
      </c>
    </row>
    <row r="147" spans="6:13" x14ac:dyDescent="0.25">
      <c r="F147" s="21">
        <v>55469</v>
      </c>
      <c r="G147" s="21">
        <v>37</v>
      </c>
      <c r="H147" s="21">
        <v>143</v>
      </c>
      <c r="I147" s="21" t="s">
        <v>1092</v>
      </c>
      <c r="J147" s="21" t="s">
        <v>225</v>
      </c>
      <c r="K147" s="45" t="s">
        <v>1093</v>
      </c>
      <c r="L147" s="45" t="s">
        <v>237</v>
      </c>
      <c r="M147" s="21">
        <v>50</v>
      </c>
    </row>
    <row r="148" spans="6:13" x14ac:dyDescent="0.25">
      <c r="F148" s="21">
        <v>55469</v>
      </c>
      <c r="G148" s="21">
        <v>37</v>
      </c>
      <c r="H148" s="21">
        <v>144</v>
      </c>
      <c r="I148" s="21" t="s">
        <v>1094</v>
      </c>
      <c r="J148" s="21" t="s">
        <v>226</v>
      </c>
      <c r="K148" s="45" t="s">
        <v>1095</v>
      </c>
      <c r="L148" s="45" t="s">
        <v>237</v>
      </c>
      <c r="M148" s="21">
        <v>50</v>
      </c>
    </row>
    <row r="149" spans="6:13" x14ac:dyDescent="0.25">
      <c r="F149" s="21">
        <v>55469</v>
      </c>
      <c r="G149" s="21">
        <v>37</v>
      </c>
      <c r="H149" s="21">
        <v>145</v>
      </c>
      <c r="I149" s="21" t="s">
        <v>627</v>
      </c>
      <c r="J149" s="21" t="s">
        <v>201</v>
      </c>
      <c r="K149" s="21" t="s">
        <v>1096</v>
      </c>
      <c r="L149" s="21" t="s">
        <v>142</v>
      </c>
      <c r="M149" s="21">
        <v>50</v>
      </c>
    </row>
    <row r="150" spans="6:13" x14ac:dyDescent="0.25">
      <c r="F150" s="21">
        <v>55469</v>
      </c>
      <c r="G150" s="21">
        <v>37</v>
      </c>
      <c r="H150" s="21">
        <v>146</v>
      </c>
      <c r="I150" s="21" t="s">
        <v>635</v>
      </c>
      <c r="J150" s="21" t="s">
        <v>206</v>
      </c>
      <c r="K150" s="21" t="s">
        <v>1097</v>
      </c>
      <c r="L150" s="21" t="s">
        <v>142</v>
      </c>
      <c r="M150" s="21">
        <v>50</v>
      </c>
    </row>
    <row r="151" spans="6:13" x14ac:dyDescent="0.25">
      <c r="F151" s="21">
        <v>55469</v>
      </c>
      <c r="G151" s="21">
        <v>37</v>
      </c>
      <c r="H151" s="21">
        <v>147</v>
      </c>
      <c r="I151" s="21" t="s">
        <v>642</v>
      </c>
      <c r="J151" s="21" t="s">
        <v>208</v>
      </c>
      <c r="K151" s="21" t="s">
        <v>1098</v>
      </c>
      <c r="L151" s="21" t="s">
        <v>142</v>
      </c>
      <c r="M151" s="21">
        <v>50</v>
      </c>
    </row>
    <row r="152" spans="6:13" x14ac:dyDescent="0.25">
      <c r="F152" s="21">
        <v>55469</v>
      </c>
      <c r="G152" s="21">
        <v>37</v>
      </c>
      <c r="H152" s="21">
        <v>148</v>
      </c>
      <c r="I152" s="21" t="s">
        <v>650</v>
      </c>
      <c r="J152" s="21" t="s">
        <v>201</v>
      </c>
      <c r="K152" s="44" t="s">
        <v>1099</v>
      </c>
      <c r="L152" s="44" t="s">
        <v>236</v>
      </c>
      <c r="M152" s="21">
        <v>50</v>
      </c>
    </row>
    <row r="153" spans="6:13" x14ac:dyDescent="0.25">
      <c r="F153" s="21">
        <v>55469</v>
      </c>
      <c r="G153" s="21">
        <v>37</v>
      </c>
      <c r="H153" s="21">
        <v>149</v>
      </c>
      <c r="I153" s="21" t="s">
        <v>656</v>
      </c>
      <c r="J153" s="21" t="s">
        <v>206</v>
      </c>
      <c r="K153" s="44" t="s">
        <v>1100</v>
      </c>
      <c r="L153" s="44" t="s">
        <v>236</v>
      </c>
      <c r="M153" s="21">
        <v>50</v>
      </c>
    </row>
    <row r="154" spans="6:13" x14ac:dyDescent="0.25">
      <c r="F154" s="21">
        <v>55469</v>
      </c>
      <c r="G154" s="21">
        <v>37</v>
      </c>
      <c r="H154" s="21">
        <v>150</v>
      </c>
      <c r="I154" s="21" t="s">
        <v>662</v>
      </c>
      <c r="J154" s="21" t="s">
        <v>208</v>
      </c>
      <c r="K154" s="44" t="s">
        <v>1101</v>
      </c>
      <c r="L154" s="44" t="s">
        <v>236</v>
      </c>
      <c r="M154" s="21">
        <v>50</v>
      </c>
    </row>
    <row r="155" spans="6:13" x14ac:dyDescent="0.25">
      <c r="F155" s="25">
        <v>55469</v>
      </c>
      <c r="G155" s="25">
        <v>37</v>
      </c>
      <c r="H155" s="25">
        <v>151</v>
      </c>
      <c r="I155" s="25" t="s">
        <v>1102</v>
      </c>
      <c r="J155" s="25" t="s">
        <v>176</v>
      </c>
      <c r="K155" s="25" t="s">
        <v>1103</v>
      </c>
      <c r="L155" s="25" t="s">
        <v>142</v>
      </c>
      <c r="M155" s="25">
        <v>50</v>
      </c>
    </row>
    <row r="156" spans="6:13" x14ac:dyDescent="0.25">
      <c r="F156" s="25">
        <v>55469</v>
      </c>
      <c r="G156" s="25">
        <v>37</v>
      </c>
      <c r="H156" s="25">
        <v>152</v>
      </c>
      <c r="I156" s="25" t="s">
        <v>1104</v>
      </c>
      <c r="J156" s="25" t="s">
        <v>182</v>
      </c>
      <c r="K156" s="25" t="s">
        <v>1105</v>
      </c>
      <c r="L156" s="25" t="s">
        <v>142</v>
      </c>
      <c r="M156" s="25">
        <v>50</v>
      </c>
    </row>
    <row r="157" spans="6:13" x14ac:dyDescent="0.25">
      <c r="F157" s="25">
        <v>55469</v>
      </c>
      <c r="G157" s="25">
        <v>37</v>
      </c>
      <c r="H157" s="25">
        <v>153</v>
      </c>
      <c r="I157" s="25" t="s">
        <v>1106</v>
      </c>
      <c r="J157" s="25" t="s">
        <v>186</v>
      </c>
      <c r="K157" s="25" t="s">
        <v>1107</v>
      </c>
      <c r="L157" s="25" t="s">
        <v>142</v>
      </c>
      <c r="M157" s="25">
        <v>50</v>
      </c>
    </row>
    <row r="158" spans="6:13" x14ac:dyDescent="0.25">
      <c r="F158" s="25">
        <v>55469</v>
      </c>
      <c r="G158" s="25">
        <v>37</v>
      </c>
      <c r="H158" s="25">
        <v>154</v>
      </c>
      <c r="I158" s="25" t="s">
        <v>669</v>
      </c>
      <c r="J158" s="25" t="s">
        <v>201</v>
      </c>
      <c r="K158" s="25" t="s">
        <v>1108</v>
      </c>
      <c r="L158" s="25" t="s">
        <v>142</v>
      </c>
      <c r="M158" s="25">
        <v>50</v>
      </c>
    </row>
    <row r="159" spans="6:13" x14ac:dyDescent="0.25">
      <c r="F159" s="25">
        <v>55469</v>
      </c>
      <c r="G159" s="25">
        <v>37</v>
      </c>
      <c r="H159" s="25">
        <v>155</v>
      </c>
      <c r="I159" s="25" t="s">
        <v>674</v>
      </c>
      <c r="J159" s="25" t="s">
        <v>206</v>
      </c>
      <c r="K159" s="25" t="s">
        <v>1109</v>
      </c>
      <c r="L159" s="25" t="s">
        <v>142</v>
      </c>
      <c r="M159" s="25">
        <v>50</v>
      </c>
    </row>
    <row r="160" spans="6:13" x14ac:dyDescent="0.25">
      <c r="F160" s="25">
        <v>55469</v>
      </c>
      <c r="G160" s="25">
        <v>37</v>
      </c>
      <c r="H160" s="25">
        <v>156</v>
      </c>
      <c r="I160" s="25" t="s">
        <v>682</v>
      </c>
      <c r="J160" s="25" t="s">
        <v>208</v>
      </c>
      <c r="K160" s="25" t="s">
        <v>1110</v>
      </c>
      <c r="L160" s="25" t="s">
        <v>142</v>
      </c>
      <c r="M160" s="25">
        <v>50</v>
      </c>
    </row>
    <row r="161" spans="6:13" x14ac:dyDescent="0.25">
      <c r="F161" s="25">
        <v>55469</v>
      </c>
      <c r="G161" s="25">
        <v>37</v>
      </c>
      <c r="H161" s="25">
        <v>157</v>
      </c>
      <c r="I161" s="25" t="s">
        <v>689</v>
      </c>
      <c r="J161" s="25" t="s">
        <v>201</v>
      </c>
      <c r="K161" s="46" t="s">
        <v>1111</v>
      </c>
      <c r="L161" s="46" t="s">
        <v>236</v>
      </c>
      <c r="M161" s="25">
        <v>50</v>
      </c>
    </row>
    <row r="162" spans="6:13" x14ac:dyDescent="0.25">
      <c r="F162" s="25">
        <v>55469</v>
      </c>
      <c r="G162" s="25">
        <v>37</v>
      </c>
      <c r="H162" s="25">
        <v>158</v>
      </c>
      <c r="I162" s="25" t="s">
        <v>697</v>
      </c>
      <c r="J162" s="25" t="s">
        <v>206</v>
      </c>
      <c r="K162" s="46" t="s">
        <v>1112</v>
      </c>
      <c r="L162" s="46" t="s">
        <v>236</v>
      </c>
      <c r="M162" s="25">
        <v>50</v>
      </c>
    </row>
    <row r="163" spans="6:13" x14ac:dyDescent="0.25">
      <c r="F163" s="25">
        <v>55469</v>
      </c>
      <c r="G163" s="25">
        <v>37</v>
      </c>
      <c r="H163" s="25">
        <v>159</v>
      </c>
      <c r="I163" s="25" t="s">
        <v>704</v>
      </c>
      <c r="J163" s="25" t="s">
        <v>208</v>
      </c>
      <c r="K163" s="46" t="s">
        <v>1113</v>
      </c>
      <c r="L163" s="46" t="s">
        <v>236</v>
      </c>
      <c r="M163" s="25">
        <v>50</v>
      </c>
    </row>
    <row r="164" spans="6:13" x14ac:dyDescent="0.25">
      <c r="F164" s="25">
        <v>55469</v>
      </c>
      <c r="G164" s="25">
        <v>37</v>
      </c>
      <c r="H164" s="25">
        <v>160</v>
      </c>
      <c r="I164" s="25" t="s">
        <v>711</v>
      </c>
      <c r="J164" s="25" t="s">
        <v>201</v>
      </c>
      <c r="K164" s="46" t="s">
        <v>1114</v>
      </c>
      <c r="L164" s="46" t="s">
        <v>236</v>
      </c>
      <c r="M164" s="25">
        <v>50</v>
      </c>
    </row>
    <row r="165" spans="6:13" x14ac:dyDescent="0.25">
      <c r="F165" s="25">
        <v>55469</v>
      </c>
      <c r="G165" s="25">
        <v>37</v>
      </c>
      <c r="H165" s="25">
        <v>161</v>
      </c>
      <c r="I165" s="25" t="s">
        <v>719</v>
      </c>
      <c r="J165" s="25" t="s">
        <v>206</v>
      </c>
      <c r="K165" s="46" t="s">
        <v>1115</v>
      </c>
      <c r="L165" s="46" t="s">
        <v>236</v>
      </c>
      <c r="M165" s="25">
        <v>50</v>
      </c>
    </row>
    <row r="166" spans="6:13" x14ac:dyDescent="0.25">
      <c r="F166" s="25">
        <v>55469</v>
      </c>
      <c r="G166" s="25">
        <v>37</v>
      </c>
      <c r="H166" s="25">
        <v>162</v>
      </c>
      <c r="I166" s="25" t="s">
        <v>725</v>
      </c>
      <c r="J166" s="25" t="s">
        <v>208</v>
      </c>
      <c r="K166" s="46" t="s">
        <v>1116</v>
      </c>
      <c r="L166" s="46" t="s">
        <v>236</v>
      </c>
      <c r="M166" s="25">
        <v>50</v>
      </c>
    </row>
    <row r="167" spans="6:13" x14ac:dyDescent="0.25">
      <c r="F167" s="25">
        <v>55469</v>
      </c>
      <c r="G167" s="25">
        <v>37</v>
      </c>
      <c r="H167" s="25">
        <v>163</v>
      </c>
      <c r="I167" s="25" t="s">
        <v>1117</v>
      </c>
      <c r="J167" s="25" t="s">
        <v>176</v>
      </c>
      <c r="K167" s="47" t="s">
        <v>1118</v>
      </c>
      <c r="L167" s="47" t="s">
        <v>237</v>
      </c>
      <c r="M167" s="25">
        <v>50</v>
      </c>
    </row>
    <row r="168" spans="6:13" x14ac:dyDescent="0.25">
      <c r="F168" s="25">
        <v>55469</v>
      </c>
      <c r="G168" s="25">
        <v>37</v>
      </c>
      <c r="H168" s="25">
        <v>164</v>
      </c>
      <c r="I168" s="25" t="s">
        <v>1119</v>
      </c>
      <c r="J168" s="25" t="s">
        <v>182</v>
      </c>
      <c r="K168" s="47" t="s">
        <v>1120</v>
      </c>
      <c r="L168" s="47" t="s">
        <v>237</v>
      </c>
      <c r="M168" s="25">
        <v>50</v>
      </c>
    </row>
    <row r="169" spans="6:13" x14ac:dyDescent="0.25">
      <c r="F169" s="25">
        <v>55469</v>
      </c>
      <c r="G169" s="25">
        <v>37</v>
      </c>
      <c r="H169" s="25">
        <v>165</v>
      </c>
      <c r="I169" s="25" t="s">
        <v>1121</v>
      </c>
      <c r="J169" s="25" t="s">
        <v>186</v>
      </c>
      <c r="K169" s="47" t="s">
        <v>1122</v>
      </c>
      <c r="L169" s="47" t="s">
        <v>237</v>
      </c>
      <c r="M169" s="25">
        <v>50</v>
      </c>
    </row>
    <row r="170" spans="6:13" x14ac:dyDescent="0.25">
      <c r="F170" s="25">
        <v>55469</v>
      </c>
      <c r="G170" s="25">
        <v>37</v>
      </c>
      <c r="H170" s="25">
        <v>166</v>
      </c>
      <c r="I170" s="25" t="s">
        <v>1123</v>
      </c>
      <c r="J170" s="25" t="s">
        <v>218</v>
      </c>
      <c r="K170" s="47" t="s">
        <v>1124</v>
      </c>
      <c r="L170" s="47" t="s">
        <v>237</v>
      </c>
      <c r="M170" s="25">
        <v>50</v>
      </c>
    </row>
    <row r="171" spans="6:13" x14ac:dyDescent="0.25">
      <c r="F171" s="25">
        <v>55469</v>
      </c>
      <c r="G171" s="25">
        <v>37</v>
      </c>
      <c r="H171" s="25">
        <v>167</v>
      </c>
      <c r="I171" s="25" t="s">
        <v>1125</v>
      </c>
      <c r="J171" s="25" t="s">
        <v>219</v>
      </c>
      <c r="K171" s="47" t="s">
        <v>1126</v>
      </c>
      <c r="L171" s="47" t="s">
        <v>237</v>
      </c>
      <c r="M171" s="25">
        <v>50</v>
      </c>
    </row>
    <row r="172" spans="6:13" x14ac:dyDescent="0.25">
      <c r="F172" s="25">
        <v>55469</v>
      </c>
      <c r="G172" s="25">
        <v>37</v>
      </c>
      <c r="H172" s="25">
        <v>168</v>
      </c>
      <c r="I172" s="25" t="s">
        <v>1127</v>
      </c>
      <c r="J172" s="25" t="s">
        <v>220</v>
      </c>
      <c r="K172" s="47" t="s">
        <v>1128</v>
      </c>
      <c r="L172" s="47" t="s">
        <v>237</v>
      </c>
      <c r="M172" s="25">
        <v>50</v>
      </c>
    </row>
    <row r="173" spans="6:13" x14ac:dyDescent="0.25">
      <c r="F173" s="25">
        <v>55469</v>
      </c>
      <c r="G173" s="25">
        <v>37</v>
      </c>
      <c r="H173" s="25">
        <v>169</v>
      </c>
      <c r="I173" s="25" t="s">
        <v>1129</v>
      </c>
      <c r="J173" s="25" t="s">
        <v>221</v>
      </c>
      <c r="K173" s="47" t="s">
        <v>1130</v>
      </c>
      <c r="L173" s="47" t="s">
        <v>237</v>
      </c>
      <c r="M173" s="25">
        <v>50</v>
      </c>
    </row>
    <row r="174" spans="6:13" x14ac:dyDescent="0.25">
      <c r="F174" s="25">
        <v>55469</v>
      </c>
      <c r="G174" s="25">
        <v>37</v>
      </c>
      <c r="H174" s="25">
        <v>170</v>
      </c>
      <c r="I174" s="25" t="s">
        <v>1131</v>
      </c>
      <c r="J174" s="25" t="s">
        <v>222</v>
      </c>
      <c r="K174" s="47" t="s">
        <v>1132</v>
      </c>
      <c r="L174" s="47" t="s">
        <v>237</v>
      </c>
      <c r="M174" s="25">
        <v>50</v>
      </c>
    </row>
    <row r="175" spans="6:13" x14ac:dyDescent="0.25">
      <c r="F175" s="25">
        <v>55469</v>
      </c>
      <c r="G175" s="25">
        <v>37</v>
      </c>
      <c r="H175" s="25">
        <v>171</v>
      </c>
      <c r="I175" s="25" t="s">
        <v>1133</v>
      </c>
      <c r="J175" s="25" t="s">
        <v>223</v>
      </c>
      <c r="K175" s="47" t="s">
        <v>1134</v>
      </c>
      <c r="L175" s="47" t="s">
        <v>237</v>
      </c>
      <c r="M175" s="25">
        <v>50</v>
      </c>
    </row>
    <row r="176" spans="6:13" x14ac:dyDescent="0.25">
      <c r="F176" s="25">
        <v>55469</v>
      </c>
      <c r="G176" s="25">
        <v>37</v>
      </c>
      <c r="H176" s="25">
        <v>172</v>
      </c>
      <c r="I176" s="25" t="s">
        <v>1135</v>
      </c>
      <c r="J176" s="25" t="s">
        <v>224</v>
      </c>
      <c r="K176" s="47" t="s">
        <v>1136</v>
      </c>
      <c r="L176" s="47" t="s">
        <v>237</v>
      </c>
      <c r="M176" s="25">
        <v>50</v>
      </c>
    </row>
    <row r="177" spans="6:13" x14ac:dyDescent="0.25">
      <c r="F177" s="25">
        <v>55469</v>
      </c>
      <c r="G177" s="25">
        <v>37</v>
      </c>
      <c r="H177" s="25">
        <v>173</v>
      </c>
      <c r="I177" s="25" t="s">
        <v>1137</v>
      </c>
      <c r="J177" s="25" t="s">
        <v>225</v>
      </c>
      <c r="K177" s="47" t="s">
        <v>1138</v>
      </c>
      <c r="L177" s="47" t="s">
        <v>237</v>
      </c>
      <c r="M177" s="25">
        <v>50</v>
      </c>
    </row>
    <row r="178" spans="6:13" x14ac:dyDescent="0.25">
      <c r="F178" s="25">
        <v>55469</v>
      </c>
      <c r="G178" s="25">
        <v>37</v>
      </c>
      <c r="H178" s="25">
        <v>174</v>
      </c>
      <c r="I178" s="25" t="s">
        <v>1139</v>
      </c>
      <c r="J178" s="25" t="s">
        <v>226</v>
      </c>
      <c r="K178" s="47" t="s">
        <v>1140</v>
      </c>
      <c r="L178" s="47" t="s">
        <v>237</v>
      </c>
      <c r="M178" s="25">
        <v>50</v>
      </c>
    </row>
    <row r="179" spans="6:13" x14ac:dyDescent="0.25">
      <c r="F179" s="25">
        <v>55469</v>
      </c>
      <c r="G179" s="25">
        <v>37</v>
      </c>
      <c r="H179" s="25">
        <v>175</v>
      </c>
      <c r="I179" s="25" t="s">
        <v>732</v>
      </c>
      <c r="J179" s="25" t="s">
        <v>201</v>
      </c>
      <c r="K179" s="25" t="s">
        <v>1141</v>
      </c>
      <c r="L179" s="25" t="s">
        <v>142</v>
      </c>
      <c r="M179" s="25">
        <v>50</v>
      </c>
    </row>
    <row r="180" spans="6:13" x14ac:dyDescent="0.25">
      <c r="F180" s="25">
        <v>55469</v>
      </c>
      <c r="G180" s="25">
        <v>37</v>
      </c>
      <c r="H180" s="25">
        <v>176</v>
      </c>
      <c r="I180" s="25" t="s">
        <v>737</v>
      </c>
      <c r="J180" s="25" t="s">
        <v>206</v>
      </c>
      <c r="K180" s="25" t="s">
        <v>1142</v>
      </c>
      <c r="L180" s="25" t="s">
        <v>142</v>
      </c>
      <c r="M180" s="25">
        <v>50</v>
      </c>
    </row>
    <row r="181" spans="6:13" x14ac:dyDescent="0.25">
      <c r="F181" s="25">
        <v>55469</v>
      </c>
      <c r="G181" s="25">
        <v>37</v>
      </c>
      <c r="H181" s="25">
        <v>177</v>
      </c>
      <c r="I181" s="25" t="s">
        <v>742</v>
      </c>
      <c r="J181" s="25" t="s">
        <v>208</v>
      </c>
      <c r="K181" s="25" t="s">
        <v>1143</v>
      </c>
      <c r="L181" s="25" t="s">
        <v>142</v>
      </c>
      <c r="M181" s="25">
        <v>50</v>
      </c>
    </row>
    <row r="182" spans="6:13" x14ac:dyDescent="0.25">
      <c r="F182" s="25">
        <v>55469</v>
      </c>
      <c r="G182" s="25">
        <v>37</v>
      </c>
      <c r="H182" s="25">
        <v>178</v>
      </c>
      <c r="I182" s="25" t="s">
        <v>748</v>
      </c>
      <c r="J182" s="25" t="s">
        <v>201</v>
      </c>
      <c r="K182" s="46" t="s">
        <v>1144</v>
      </c>
      <c r="L182" s="46" t="s">
        <v>236</v>
      </c>
      <c r="M182" s="25">
        <v>50</v>
      </c>
    </row>
    <row r="183" spans="6:13" x14ac:dyDescent="0.25">
      <c r="F183" s="25">
        <v>55469</v>
      </c>
      <c r="G183" s="25">
        <v>37</v>
      </c>
      <c r="H183" s="25">
        <v>179</v>
      </c>
      <c r="I183" s="25" t="s">
        <v>756</v>
      </c>
      <c r="J183" s="25" t="s">
        <v>206</v>
      </c>
      <c r="K183" s="46" t="s">
        <v>1145</v>
      </c>
      <c r="L183" s="46" t="s">
        <v>236</v>
      </c>
      <c r="M183" s="25">
        <v>50</v>
      </c>
    </row>
    <row r="184" spans="6:13" x14ac:dyDescent="0.25">
      <c r="F184" s="25">
        <v>55469</v>
      </c>
      <c r="G184" s="25">
        <v>37</v>
      </c>
      <c r="H184" s="25">
        <v>180</v>
      </c>
      <c r="I184" s="25" t="s">
        <v>764</v>
      </c>
      <c r="J184" s="25" t="s">
        <v>208</v>
      </c>
      <c r="K184" s="46" t="s">
        <v>1146</v>
      </c>
      <c r="L184" s="46" t="s">
        <v>236</v>
      </c>
      <c r="M184" s="25">
        <v>50</v>
      </c>
    </row>
    <row r="185" spans="6:13" x14ac:dyDescent="0.25">
      <c r="F185" s="28">
        <v>55469</v>
      </c>
      <c r="G185" s="28">
        <v>37</v>
      </c>
      <c r="H185" s="28">
        <v>181</v>
      </c>
      <c r="I185" s="28" t="s">
        <v>1147</v>
      </c>
      <c r="J185" s="28" t="s">
        <v>176</v>
      </c>
      <c r="K185" s="28" t="s">
        <v>1148</v>
      </c>
      <c r="L185" s="28" t="s">
        <v>142</v>
      </c>
      <c r="M185" s="28">
        <v>50</v>
      </c>
    </row>
    <row r="186" spans="6:13" x14ac:dyDescent="0.25">
      <c r="F186" s="28">
        <v>55469</v>
      </c>
      <c r="G186" s="28">
        <v>37</v>
      </c>
      <c r="H186" s="28">
        <v>182</v>
      </c>
      <c r="I186" s="28" t="s">
        <v>1149</v>
      </c>
      <c r="J186" s="28" t="s">
        <v>182</v>
      </c>
      <c r="K186" s="28" t="s">
        <v>1150</v>
      </c>
      <c r="L186" s="28" t="s">
        <v>142</v>
      </c>
      <c r="M186" s="28">
        <v>50</v>
      </c>
    </row>
    <row r="187" spans="6:13" x14ac:dyDescent="0.25">
      <c r="F187" s="28">
        <v>55469</v>
      </c>
      <c r="G187" s="28">
        <v>37</v>
      </c>
      <c r="H187" s="28">
        <v>183</v>
      </c>
      <c r="I187" s="28" t="s">
        <v>1151</v>
      </c>
      <c r="J187" s="28" t="s">
        <v>186</v>
      </c>
      <c r="K187" s="28" t="s">
        <v>1152</v>
      </c>
      <c r="L187" s="28" t="s">
        <v>142</v>
      </c>
      <c r="M187" s="28">
        <v>50</v>
      </c>
    </row>
    <row r="188" spans="6:13" x14ac:dyDescent="0.25">
      <c r="F188" s="28">
        <v>55469</v>
      </c>
      <c r="G188" s="28">
        <v>37</v>
      </c>
      <c r="H188" s="28">
        <v>184</v>
      </c>
      <c r="I188" s="28" t="s">
        <v>772</v>
      </c>
      <c r="J188" s="28" t="s">
        <v>201</v>
      </c>
      <c r="K188" s="28" t="s">
        <v>1153</v>
      </c>
      <c r="L188" s="28" t="s">
        <v>142</v>
      </c>
      <c r="M188" s="28">
        <v>50</v>
      </c>
    </row>
    <row r="189" spans="6:13" x14ac:dyDescent="0.25">
      <c r="F189" s="28">
        <v>55469</v>
      </c>
      <c r="G189" s="28">
        <v>37</v>
      </c>
      <c r="H189" s="28">
        <v>185</v>
      </c>
      <c r="I189" s="28" t="s">
        <v>779</v>
      </c>
      <c r="J189" s="28" t="s">
        <v>206</v>
      </c>
      <c r="K189" s="28" t="s">
        <v>1154</v>
      </c>
      <c r="L189" s="28" t="s">
        <v>142</v>
      </c>
      <c r="M189" s="28">
        <v>50</v>
      </c>
    </row>
    <row r="190" spans="6:13" x14ac:dyDescent="0.25">
      <c r="F190" s="28">
        <v>55469</v>
      </c>
      <c r="G190" s="28">
        <v>37</v>
      </c>
      <c r="H190" s="28">
        <v>186</v>
      </c>
      <c r="I190" s="28" t="s">
        <v>786</v>
      </c>
      <c r="J190" s="28" t="s">
        <v>208</v>
      </c>
      <c r="K190" s="28" t="s">
        <v>1155</v>
      </c>
      <c r="L190" s="28" t="s">
        <v>142</v>
      </c>
      <c r="M190" s="28">
        <v>50</v>
      </c>
    </row>
    <row r="191" spans="6:13" x14ac:dyDescent="0.25">
      <c r="F191" s="28">
        <v>55469</v>
      </c>
      <c r="G191" s="28">
        <v>37</v>
      </c>
      <c r="H191" s="28">
        <v>187</v>
      </c>
      <c r="I191" s="28" t="s">
        <v>793</v>
      </c>
      <c r="J191" s="28" t="s">
        <v>201</v>
      </c>
      <c r="K191" s="48" t="s">
        <v>1156</v>
      </c>
      <c r="L191" s="48" t="s">
        <v>236</v>
      </c>
      <c r="M191" s="28">
        <v>50</v>
      </c>
    </row>
    <row r="192" spans="6:13" x14ac:dyDescent="0.25">
      <c r="F192" s="28">
        <v>55469</v>
      </c>
      <c r="G192" s="28">
        <v>37</v>
      </c>
      <c r="H192" s="28">
        <v>188</v>
      </c>
      <c r="I192" s="28" t="s">
        <v>800</v>
      </c>
      <c r="J192" s="28" t="s">
        <v>206</v>
      </c>
      <c r="K192" s="48" t="s">
        <v>1157</v>
      </c>
      <c r="L192" s="48" t="s">
        <v>236</v>
      </c>
      <c r="M192" s="28">
        <v>50</v>
      </c>
    </row>
    <row r="193" spans="6:13" x14ac:dyDescent="0.25">
      <c r="F193" s="28">
        <v>55469</v>
      </c>
      <c r="G193" s="28">
        <v>37</v>
      </c>
      <c r="H193" s="28">
        <v>189</v>
      </c>
      <c r="I193" s="28" t="s">
        <v>806</v>
      </c>
      <c r="J193" s="28" t="s">
        <v>208</v>
      </c>
      <c r="K193" s="48" t="s">
        <v>1158</v>
      </c>
      <c r="L193" s="48" t="s">
        <v>236</v>
      </c>
      <c r="M193" s="28">
        <v>50</v>
      </c>
    </row>
    <row r="194" spans="6:13" x14ac:dyDescent="0.25">
      <c r="F194" s="28">
        <v>55469</v>
      </c>
      <c r="G194" s="28">
        <v>37</v>
      </c>
      <c r="H194" s="28">
        <v>190</v>
      </c>
      <c r="I194" s="28" t="s">
        <v>812</v>
      </c>
      <c r="J194" s="28" t="s">
        <v>201</v>
      </c>
      <c r="K194" s="48" t="s">
        <v>1159</v>
      </c>
      <c r="L194" s="48" t="s">
        <v>236</v>
      </c>
      <c r="M194" s="28">
        <v>50</v>
      </c>
    </row>
    <row r="195" spans="6:13" x14ac:dyDescent="0.25">
      <c r="F195" s="28">
        <v>55469</v>
      </c>
      <c r="G195" s="28">
        <v>37</v>
      </c>
      <c r="H195" s="28">
        <v>191</v>
      </c>
      <c r="I195" s="28" t="s">
        <v>819</v>
      </c>
      <c r="J195" s="28" t="s">
        <v>206</v>
      </c>
      <c r="K195" s="48" t="s">
        <v>1160</v>
      </c>
      <c r="L195" s="48" t="s">
        <v>236</v>
      </c>
      <c r="M195" s="28">
        <v>50</v>
      </c>
    </row>
    <row r="196" spans="6:13" x14ac:dyDescent="0.25">
      <c r="F196" s="28">
        <v>55469</v>
      </c>
      <c r="G196" s="28">
        <v>37</v>
      </c>
      <c r="H196" s="28">
        <v>192</v>
      </c>
      <c r="I196" s="28" t="s">
        <v>827</v>
      </c>
      <c r="J196" s="28" t="s">
        <v>208</v>
      </c>
      <c r="K196" s="48" t="s">
        <v>1161</v>
      </c>
      <c r="L196" s="48" t="s">
        <v>236</v>
      </c>
      <c r="M196" s="28">
        <v>50</v>
      </c>
    </row>
    <row r="197" spans="6:13" x14ac:dyDescent="0.25">
      <c r="F197" s="28">
        <v>55469</v>
      </c>
      <c r="G197" s="28">
        <v>37</v>
      </c>
      <c r="H197" s="28">
        <v>193</v>
      </c>
      <c r="I197" s="28" t="s">
        <v>1162</v>
      </c>
      <c r="J197" s="28" t="s">
        <v>176</v>
      </c>
      <c r="K197" s="49" t="s">
        <v>1163</v>
      </c>
      <c r="L197" s="49" t="s">
        <v>237</v>
      </c>
      <c r="M197" s="28">
        <v>50</v>
      </c>
    </row>
    <row r="198" spans="6:13" x14ac:dyDescent="0.25">
      <c r="F198" s="28">
        <v>55469</v>
      </c>
      <c r="G198" s="28">
        <v>37</v>
      </c>
      <c r="H198" s="28">
        <v>194</v>
      </c>
      <c r="I198" s="28" t="s">
        <v>1164</v>
      </c>
      <c r="J198" s="28" t="s">
        <v>182</v>
      </c>
      <c r="K198" s="49" t="s">
        <v>1165</v>
      </c>
      <c r="L198" s="49" t="s">
        <v>237</v>
      </c>
      <c r="M198" s="28">
        <v>50</v>
      </c>
    </row>
    <row r="199" spans="6:13" x14ac:dyDescent="0.25">
      <c r="F199" s="28">
        <v>55469</v>
      </c>
      <c r="G199" s="28">
        <v>37</v>
      </c>
      <c r="H199" s="28">
        <v>195</v>
      </c>
      <c r="I199" s="28" t="s">
        <v>1166</v>
      </c>
      <c r="J199" s="28" t="s">
        <v>186</v>
      </c>
      <c r="K199" s="49" t="s">
        <v>1167</v>
      </c>
      <c r="L199" s="49" t="s">
        <v>237</v>
      </c>
      <c r="M199" s="28">
        <v>50</v>
      </c>
    </row>
    <row r="200" spans="6:13" x14ac:dyDescent="0.25">
      <c r="F200" s="28">
        <v>55469</v>
      </c>
      <c r="G200" s="28">
        <v>37</v>
      </c>
      <c r="H200" s="28">
        <v>196</v>
      </c>
      <c r="I200" s="28" t="s">
        <v>1168</v>
      </c>
      <c r="J200" s="28" t="s">
        <v>218</v>
      </c>
      <c r="K200" s="49" t="s">
        <v>1169</v>
      </c>
      <c r="L200" s="49" t="s">
        <v>237</v>
      </c>
      <c r="M200" s="28">
        <v>50</v>
      </c>
    </row>
    <row r="201" spans="6:13" x14ac:dyDescent="0.25">
      <c r="F201" s="28">
        <v>55469</v>
      </c>
      <c r="G201" s="28">
        <v>37</v>
      </c>
      <c r="H201" s="28">
        <v>197</v>
      </c>
      <c r="I201" s="28" t="s">
        <v>1170</v>
      </c>
      <c r="J201" s="28" t="s">
        <v>219</v>
      </c>
      <c r="K201" s="49" t="s">
        <v>1171</v>
      </c>
      <c r="L201" s="49" t="s">
        <v>237</v>
      </c>
      <c r="M201" s="28">
        <v>50</v>
      </c>
    </row>
    <row r="202" spans="6:13" x14ac:dyDescent="0.25">
      <c r="F202" s="28">
        <v>55469</v>
      </c>
      <c r="G202" s="28">
        <v>37</v>
      </c>
      <c r="H202" s="28">
        <v>198</v>
      </c>
      <c r="I202" s="28" t="s">
        <v>1172</v>
      </c>
      <c r="J202" s="28" t="s">
        <v>220</v>
      </c>
      <c r="K202" s="49" t="s">
        <v>1173</v>
      </c>
      <c r="L202" s="49" t="s">
        <v>237</v>
      </c>
      <c r="M202" s="28">
        <v>50</v>
      </c>
    </row>
    <row r="203" spans="6:13" x14ac:dyDescent="0.25">
      <c r="F203" s="28">
        <v>55469</v>
      </c>
      <c r="G203" s="28">
        <v>37</v>
      </c>
      <c r="H203" s="28">
        <v>199</v>
      </c>
      <c r="I203" s="28" t="s">
        <v>1174</v>
      </c>
      <c r="J203" s="28" t="s">
        <v>221</v>
      </c>
      <c r="K203" s="49" t="s">
        <v>1175</v>
      </c>
      <c r="L203" s="49" t="s">
        <v>237</v>
      </c>
      <c r="M203" s="28">
        <v>50</v>
      </c>
    </row>
    <row r="204" spans="6:13" x14ac:dyDescent="0.25">
      <c r="F204" s="28">
        <v>55469</v>
      </c>
      <c r="G204" s="28">
        <v>37</v>
      </c>
      <c r="H204" s="28">
        <v>200</v>
      </c>
      <c r="I204" s="28" t="s">
        <v>1176</v>
      </c>
      <c r="J204" s="28" t="s">
        <v>222</v>
      </c>
      <c r="K204" s="49" t="s">
        <v>1177</v>
      </c>
      <c r="L204" s="49" t="s">
        <v>237</v>
      </c>
      <c r="M204" s="28">
        <v>50</v>
      </c>
    </row>
    <row r="205" spans="6:13" x14ac:dyDescent="0.25">
      <c r="F205" s="28">
        <v>55469</v>
      </c>
      <c r="G205" s="28">
        <v>37</v>
      </c>
      <c r="H205" s="28">
        <v>201</v>
      </c>
      <c r="I205" s="28" t="s">
        <v>1178</v>
      </c>
      <c r="J205" s="28" t="s">
        <v>223</v>
      </c>
      <c r="K205" s="49" t="s">
        <v>1179</v>
      </c>
      <c r="L205" s="49" t="s">
        <v>237</v>
      </c>
      <c r="M205" s="28">
        <v>50</v>
      </c>
    </row>
    <row r="206" spans="6:13" x14ac:dyDescent="0.25">
      <c r="F206" s="28">
        <v>55469</v>
      </c>
      <c r="G206" s="28">
        <v>37</v>
      </c>
      <c r="H206" s="28">
        <v>202</v>
      </c>
      <c r="I206" s="28" t="s">
        <v>1180</v>
      </c>
      <c r="J206" s="28" t="s">
        <v>224</v>
      </c>
      <c r="K206" s="49" t="s">
        <v>1181</v>
      </c>
      <c r="L206" s="49" t="s">
        <v>237</v>
      </c>
      <c r="M206" s="28">
        <v>50</v>
      </c>
    </row>
    <row r="207" spans="6:13" x14ac:dyDescent="0.25">
      <c r="F207" s="28">
        <v>55469</v>
      </c>
      <c r="G207" s="28">
        <v>37</v>
      </c>
      <c r="H207" s="28">
        <v>203</v>
      </c>
      <c r="I207" s="28" t="s">
        <v>1182</v>
      </c>
      <c r="J207" s="28" t="s">
        <v>225</v>
      </c>
      <c r="K207" s="49" t="s">
        <v>1183</v>
      </c>
      <c r="L207" s="49" t="s">
        <v>237</v>
      </c>
      <c r="M207" s="28">
        <v>50</v>
      </c>
    </row>
    <row r="208" spans="6:13" x14ac:dyDescent="0.25">
      <c r="F208" s="28">
        <v>55469</v>
      </c>
      <c r="G208" s="28">
        <v>37</v>
      </c>
      <c r="H208" s="28">
        <v>204</v>
      </c>
      <c r="I208" s="28" t="s">
        <v>1184</v>
      </c>
      <c r="J208" s="28" t="s">
        <v>226</v>
      </c>
      <c r="K208" s="49" t="s">
        <v>1185</v>
      </c>
      <c r="L208" s="49" t="s">
        <v>237</v>
      </c>
      <c r="M208" s="28">
        <v>50</v>
      </c>
    </row>
    <row r="209" spans="4:13" x14ac:dyDescent="0.25">
      <c r="F209" s="28">
        <v>55469</v>
      </c>
      <c r="G209" s="28">
        <v>37</v>
      </c>
      <c r="H209" s="28">
        <v>205</v>
      </c>
      <c r="I209" s="28" t="s">
        <v>877</v>
      </c>
      <c r="J209" s="28" t="s">
        <v>201</v>
      </c>
      <c r="K209" s="28" t="s">
        <v>1186</v>
      </c>
      <c r="L209" s="28" t="s">
        <v>142</v>
      </c>
      <c r="M209" s="28">
        <v>50</v>
      </c>
    </row>
    <row r="210" spans="4:13" x14ac:dyDescent="0.25">
      <c r="F210" s="28">
        <v>55469</v>
      </c>
      <c r="G210" s="28">
        <v>37</v>
      </c>
      <c r="H210" s="28">
        <v>206</v>
      </c>
      <c r="I210" s="28" t="s">
        <v>1187</v>
      </c>
      <c r="J210" s="28" t="s">
        <v>206</v>
      </c>
      <c r="K210" s="28" t="s">
        <v>1188</v>
      </c>
      <c r="L210" s="28" t="s">
        <v>142</v>
      </c>
      <c r="M210" s="28">
        <v>50</v>
      </c>
    </row>
    <row r="211" spans="4:13" x14ac:dyDescent="0.25">
      <c r="F211" s="28">
        <v>55469</v>
      </c>
      <c r="G211" s="28">
        <v>37</v>
      </c>
      <c r="H211" s="28">
        <v>207</v>
      </c>
      <c r="I211" s="28" t="s">
        <v>1189</v>
      </c>
      <c r="J211" s="28" t="s">
        <v>208</v>
      </c>
      <c r="K211" s="28" t="s">
        <v>1190</v>
      </c>
      <c r="L211" s="28" t="s">
        <v>142</v>
      </c>
      <c r="M211" s="28">
        <v>50</v>
      </c>
    </row>
    <row r="212" spans="4:13" x14ac:dyDescent="0.25">
      <c r="F212" s="28">
        <v>55469</v>
      </c>
      <c r="G212" s="28">
        <v>37</v>
      </c>
      <c r="H212" s="28">
        <v>208</v>
      </c>
      <c r="I212" s="28" t="s">
        <v>1191</v>
      </c>
      <c r="J212" s="28" t="s">
        <v>201</v>
      </c>
      <c r="K212" s="48" t="s">
        <v>1192</v>
      </c>
      <c r="L212" s="48" t="s">
        <v>236</v>
      </c>
      <c r="M212" s="28">
        <v>50</v>
      </c>
    </row>
    <row r="213" spans="4:13" x14ac:dyDescent="0.25">
      <c r="F213" s="28">
        <v>55469</v>
      </c>
      <c r="G213" s="28">
        <v>37</v>
      </c>
      <c r="H213" s="28">
        <v>209</v>
      </c>
      <c r="I213" s="28" t="s">
        <v>1193</v>
      </c>
      <c r="J213" s="28" t="s">
        <v>206</v>
      </c>
      <c r="K213" s="48" t="s">
        <v>1194</v>
      </c>
      <c r="L213" s="48" t="s">
        <v>236</v>
      </c>
      <c r="M213" s="28">
        <v>50</v>
      </c>
    </row>
    <row r="214" spans="4:13" ht="15.75" thickBot="1" x14ac:dyDescent="0.3">
      <c r="F214" s="50">
        <v>55469</v>
      </c>
      <c r="G214" s="50">
        <v>37</v>
      </c>
      <c r="H214" s="50">
        <v>210</v>
      </c>
      <c r="I214" s="50" t="s">
        <v>1195</v>
      </c>
      <c r="J214" s="50" t="s">
        <v>208</v>
      </c>
      <c r="K214" s="51" t="s">
        <v>1196</v>
      </c>
      <c r="L214" s="48" t="s">
        <v>236</v>
      </c>
      <c r="M214" s="50">
        <v>50</v>
      </c>
    </row>
    <row r="215" spans="4:13" x14ac:dyDescent="0.25">
      <c r="D215" s="52" t="s">
        <v>227</v>
      </c>
      <c r="F215" s="53">
        <v>55469</v>
      </c>
      <c r="G215" s="54">
        <v>37</v>
      </c>
      <c r="H215" s="54">
        <v>211</v>
      </c>
      <c r="I215" s="54" t="s">
        <v>1197</v>
      </c>
      <c r="J215" s="54" t="s">
        <v>228</v>
      </c>
      <c r="K215" s="55" t="s">
        <v>1198</v>
      </c>
      <c r="L215" s="85"/>
      <c r="M215" s="56">
        <v>50</v>
      </c>
    </row>
    <row r="216" spans="4:13" x14ac:dyDescent="0.25">
      <c r="D216" t="s">
        <v>229</v>
      </c>
      <c r="F216" s="57">
        <v>55469</v>
      </c>
      <c r="G216" s="58">
        <v>37</v>
      </c>
      <c r="H216" s="58">
        <v>212</v>
      </c>
      <c r="I216" s="58" t="s">
        <v>1199</v>
      </c>
      <c r="J216" s="58" t="s">
        <v>230</v>
      </c>
      <c r="K216" s="59" t="s">
        <v>1200</v>
      </c>
      <c r="L216" s="86"/>
      <c r="M216" s="60">
        <v>50</v>
      </c>
    </row>
    <row r="217" spans="4:13" x14ac:dyDescent="0.25">
      <c r="F217" s="57">
        <v>55469</v>
      </c>
      <c r="G217" s="58">
        <v>37</v>
      </c>
      <c r="H217" s="58">
        <v>213</v>
      </c>
      <c r="I217" s="58" t="s">
        <v>1201</v>
      </c>
      <c r="J217" s="58" t="s">
        <v>231</v>
      </c>
      <c r="K217" s="59" t="s">
        <v>1202</v>
      </c>
      <c r="L217" s="86"/>
      <c r="M217" s="60">
        <v>50</v>
      </c>
    </row>
    <row r="218" spans="4:13" x14ac:dyDescent="0.25">
      <c r="F218" s="61">
        <v>55469</v>
      </c>
      <c r="G218" s="62">
        <v>37</v>
      </c>
      <c r="H218" s="62">
        <v>214</v>
      </c>
      <c r="I218" s="62" t="s">
        <v>1203</v>
      </c>
      <c r="J218" s="62" t="s">
        <v>228</v>
      </c>
      <c r="K218" s="63" t="s">
        <v>1204</v>
      </c>
      <c r="L218" s="87"/>
      <c r="M218" s="64">
        <v>50</v>
      </c>
    </row>
    <row r="219" spans="4:13" x14ac:dyDescent="0.25">
      <c r="F219" s="61">
        <v>55469</v>
      </c>
      <c r="G219" s="62">
        <v>37</v>
      </c>
      <c r="H219" s="62">
        <v>215</v>
      </c>
      <c r="I219" s="62" t="s">
        <v>1205</v>
      </c>
      <c r="J219" s="62" t="s">
        <v>230</v>
      </c>
      <c r="K219" s="63" t="s">
        <v>1206</v>
      </c>
      <c r="L219" s="87"/>
      <c r="M219" s="64">
        <v>50</v>
      </c>
    </row>
    <row r="220" spans="4:13" x14ac:dyDescent="0.25">
      <c r="F220" s="61">
        <v>55469</v>
      </c>
      <c r="G220" s="62">
        <v>37</v>
      </c>
      <c r="H220" s="62">
        <v>216</v>
      </c>
      <c r="I220" s="62" t="s">
        <v>1207</v>
      </c>
      <c r="J220" s="62" t="s">
        <v>231</v>
      </c>
      <c r="K220" s="63" t="s">
        <v>1208</v>
      </c>
      <c r="L220" s="87"/>
      <c r="M220" s="64">
        <v>50</v>
      </c>
    </row>
    <row r="221" spans="4:13" x14ac:dyDescent="0.25">
      <c r="F221" s="65">
        <v>55469</v>
      </c>
      <c r="G221" s="66">
        <v>37</v>
      </c>
      <c r="H221" s="66">
        <v>217</v>
      </c>
      <c r="I221" s="66" t="s">
        <v>1209</v>
      </c>
      <c r="J221" s="66" t="s">
        <v>228</v>
      </c>
      <c r="K221" s="67" t="s">
        <v>1210</v>
      </c>
      <c r="L221" s="88"/>
      <c r="M221" s="68">
        <v>50</v>
      </c>
    </row>
    <row r="222" spans="4:13" x14ac:dyDescent="0.25">
      <c r="F222" s="65">
        <v>55469</v>
      </c>
      <c r="G222" s="66">
        <v>37</v>
      </c>
      <c r="H222" s="66">
        <v>218</v>
      </c>
      <c r="I222" s="66" t="s">
        <v>1211</v>
      </c>
      <c r="J222" s="66" t="s">
        <v>230</v>
      </c>
      <c r="K222" s="67" t="s">
        <v>1212</v>
      </c>
      <c r="L222" s="88"/>
      <c r="M222" s="68">
        <v>50</v>
      </c>
    </row>
    <row r="223" spans="4:13" x14ac:dyDescent="0.25">
      <c r="F223" s="65">
        <v>55469</v>
      </c>
      <c r="G223" s="66">
        <v>37</v>
      </c>
      <c r="H223" s="66">
        <v>219</v>
      </c>
      <c r="I223" s="66" t="s">
        <v>1213</v>
      </c>
      <c r="J223" s="66" t="s">
        <v>231</v>
      </c>
      <c r="K223" s="67" t="s">
        <v>1214</v>
      </c>
      <c r="L223" s="88"/>
      <c r="M223" s="68">
        <v>50</v>
      </c>
    </row>
    <row r="224" spans="4:13" x14ac:dyDescent="0.25">
      <c r="F224" s="69">
        <v>55469</v>
      </c>
      <c r="G224" s="70">
        <v>37</v>
      </c>
      <c r="H224" s="70">
        <v>220</v>
      </c>
      <c r="I224" s="70" t="s">
        <v>232</v>
      </c>
      <c r="J224" s="70" t="s">
        <v>228</v>
      </c>
      <c r="K224" s="71" t="s">
        <v>1215</v>
      </c>
      <c r="L224" s="89"/>
      <c r="M224" s="72">
        <v>50</v>
      </c>
    </row>
    <row r="225" spans="6:13" x14ac:dyDescent="0.25">
      <c r="F225" s="69">
        <v>55469</v>
      </c>
      <c r="G225" s="70">
        <v>37</v>
      </c>
      <c r="H225" s="70">
        <v>221</v>
      </c>
      <c r="I225" s="70" t="s">
        <v>233</v>
      </c>
      <c r="J225" s="70" t="s">
        <v>230</v>
      </c>
      <c r="K225" s="71" t="s">
        <v>1216</v>
      </c>
      <c r="L225" s="89"/>
      <c r="M225" s="72">
        <v>50</v>
      </c>
    </row>
    <row r="226" spans="6:13" x14ac:dyDescent="0.25">
      <c r="F226" s="69">
        <v>55469</v>
      </c>
      <c r="G226" s="70">
        <v>37</v>
      </c>
      <c r="H226" s="70">
        <v>222</v>
      </c>
      <c r="I226" s="70" t="s">
        <v>234</v>
      </c>
      <c r="J226" s="70" t="s">
        <v>231</v>
      </c>
      <c r="K226" s="71" t="s">
        <v>1217</v>
      </c>
      <c r="L226" s="89"/>
      <c r="M226" s="72">
        <v>50</v>
      </c>
    </row>
    <row r="227" spans="6:13" x14ac:dyDescent="0.25">
      <c r="F227" s="73">
        <v>55469</v>
      </c>
      <c r="G227" s="74">
        <v>37</v>
      </c>
      <c r="H227" s="74">
        <v>223</v>
      </c>
      <c r="I227" s="74" t="s">
        <v>1218</v>
      </c>
      <c r="J227" s="74" t="s">
        <v>228</v>
      </c>
      <c r="K227" s="75" t="s">
        <v>1219</v>
      </c>
      <c r="L227" s="90"/>
      <c r="M227" s="76">
        <v>50</v>
      </c>
    </row>
    <row r="228" spans="6:13" x14ac:dyDescent="0.25">
      <c r="F228" s="73">
        <v>55469</v>
      </c>
      <c r="G228" s="74">
        <v>37</v>
      </c>
      <c r="H228" s="74">
        <v>224</v>
      </c>
      <c r="I228" s="74" t="s">
        <v>1220</v>
      </c>
      <c r="J228" s="74" t="s">
        <v>230</v>
      </c>
      <c r="K228" s="75" t="s">
        <v>1221</v>
      </c>
      <c r="L228" s="90"/>
      <c r="M228" s="76">
        <v>50</v>
      </c>
    </row>
    <row r="229" spans="6:13" x14ac:dyDescent="0.25">
      <c r="F229" s="73">
        <v>55469</v>
      </c>
      <c r="G229" s="74">
        <v>37</v>
      </c>
      <c r="H229" s="74">
        <v>225</v>
      </c>
      <c r="I229" s="74" t="s">
        <v>1222</v>
      </c>
      <c r="J229" s="74" t="s">
        <v>231</v>
      </c>
      <c r="K229" s="75" t="s">
        <v>1223</v>
      </c>
      <c r="L229" s="90"/>
      <c r="M229" s="76">
        <v>50</v>
      </c>
    </row>
    <row r="230" spans="6:13" x14ac:dyDescent="0.25">
      <c r="F230" s="77">
        <v>55469</v>
      </c>
      <c r="G230" s="78">
        <v>37</v>
      </c>
      <c r="H230" s="78">
        <v>226</v>
      </c>
      <c r="I230" s="78" t="s">
        <v>1224</v>
      </c>
      <c r="J230" s="78" t="s">
        <v>228</v>
      </c>
      <c r="K230" s="79" t="s">
        <v>1225</v>
      </c>
      <c r="L230" s="91"/>
      <c r="M230" s="80">
        <v>50</v>
      </c>
    </row>
    <row r="231" spans="6:13" x14ac:dyDescent="0.25">
      <c r="F231" s="77">
        <v>55469</v>
      </c>
      <c r="G231" s="78">
        <v>37</v>
      </c>
      <c r="H231" s="78">
        <v>227</v>
      </c>
      <c r="I231" s="78" t="s">
        <v>1226</v>
      </c>
      <c r="J231" s="78" t="s">
        <v>230</v>
      </c>
      <c r="K231" s="79" t="s">
        <v>1227</v>
      </c>
      <c r="L231" s="91"/>
      <c r="M231" s="80">
        <v>50</v>
      </c>
    </row>
    <row r="232" spans="6:13" x14ac:dyDescent="0.25">
      <c r="F232" s="77">
        <v>55469</v>
      </c>
      <c r="G232" s="78">
        <v>37</v>
      </c>
      <c r="H232" s="78">
        <v>228</v>
      </c>
      <c r="I232" s="78" t="s">
        <v>1228</v>
      </c>
      <c r="J232" s="78" t="s">
        <v>231</v>
      </c>
      <c r="K232" s="79" t="s">
        <v>1229</v>
      </c>
      <c r="L232" s="91"/>
      <c r="M232" s="80">
        <v>50</v>
      </c>
    </row>
    <row r="233" spans="6:13" x14ac:dyDescent="0.25">
      <c r="F233" s="57">
        <v>55469</v>
      </c>
      <c r="G233" s="58">
        <v>37</v>
      </c>
      <c r="H233" s="58">
        <v>229</v>
      </c>
      <c r="I233" s="58" t="s">
        <v>1230</v>
      </c>
      <c r="J233" s="58" t="s">
        <v>228</v>
      </c>
      <c r="K233" s="59" t="s">
        <v>1231</v>
      </c>
      <c r="L233" s="86"/>
      <c r="M233" s="60">
        <v>50</v>
      </c>
    </row>
    <row r="234" spans="6:13" x14ac:dyDescent="0.25">
      <c r="F234" s="57">
        <v>55469</v>
      </c>
      <c r="G234" s="58">
        <v>37</v>
      </c>
      <c r="H234" s="58">
        <v>230</v>
      </c>
      <c r="I234" s="58" t="s">
        <v>1232</v>
      </c>
      <c r="J234" s="58" t="s">
        <v>230</v>
      </c>
      <c r="K234" s="59" t="s">
        <v>1233</v>
      </c>
      <c r="L234" s="86"/>
      <c r="M234" s="60">
        <v>50</v>
      </c>
    </row>
    <row r="235" spans="6:13" x14ac:dyDescent="0.25">
      <c r="F235" s="57">
        <v>55469</v>
      </c>
      <c r="G235" s="58">
        <v>37</v>
      </c>
      <c r="H235" s="58">
        <v>231</v>
      </c>
      <c r="I235" s="58" t="s">
        <v>1234</v>
      </c>
      <c r="J235" s="58" t="s">
        <v>231</v>
      </c>
      <c r="K235" s="59" t="s">
        <v>1235</v>
      </c>
      <c r="L235" s="86"/>
      <c r="M235" s="60">
        <v>50</v>
      </c>
    </row>
    <row r="236" spans="6:13" x14ac:dyDescent="0.25">
      <c r="F236" s="61">
        <v>55469</v>
      </c>
      <c r="G236" s="62">
        <v>37</v>
      </c>
      <c r="H236" s="62">
        <v>232</v>
      </c>
      <c r="I236" s="62" t="s">
        <v>1236</v>
      </c>
      <c r="J236" s="62" t="s">
        <v>228</v>
      </c>
      <c r="K236" s="63" t="s">
        <v>1237</v>
      </c>
      <c r="L236" s="87"/>
      <c r="M236" s="64">
        <v>50</v>
      </c>
    </row>
    <row r="237" spans="6:13" x14ac:dyDescent="0.25">
      <c r="F237" s="61">
        <v>55469</v>
      </c>
      <c r="G237" s="62">
        <v>37</v>
      </c>
      <c r="H237" s="62">
        <v>233</v>
      </c>
      <c r="I237" s="62" t="s">
        <v>1238</v>
      </c>
      <c r="J237" s="62" t="s">
        <v>230</v>
      </c>
      <c r="K237" s="63" t="s">
        <v>1239</v>
      </c>
      <c r="L237" s="87"/>
      <c r="M237" s="64">
        <v>50</v>
      </c>
    </row>
    <row r="238" spans="6:13" x14ac:dyDescent="0.25">
      <c r="F238" s="61">
        <v>55469</v>
      </c>
      <c r="G238" s="62">
        <v>37</v>
      </c>
      <c r="H238" s="62">
        <v>234</v>
      </c>
      <c r="I238" s="62" t="s">
        <v>1240</v>
      </c>
      <c r="J238" s="62" t="s">
        <v>231</v>
      </c>
      <c r="K238" s="63" t="s">
        <v>1241</v>
      </c>
      <c r="L238" s="87"/>
      <c r="M238" s="64">
        <v>50</v>
      </c>
    </row>
    <row r="239" spans="6:13" x14ac:dyDescent="0.25">
      <c r="F239" s="65">
        <v>55469</v>
      </c>
      <c r="G239" s="66">
        <v>37</v>
      </c>
      <c r="H239" s="66">
        <v>235</v>
      </c>
      <c r="I239" s="66" t="s">
        <v>1242</v>
      </c>
      <c r="J239" s="66" t="s">
        <v>228</v>
      </c>
      <c r="K239" s="67" t="s">
        <v>1243</v>
      </c>
      <c r="L239" s="88"/>
      <c r="M239" s="68">
        <v>50</v>
      </c>
    </row>
    <row r="240" spans="6:13" x14ac:dyDescent="0.25">
      <c r="F240" s="65">
        <v>55469</v>
      </c>
      <c r="G240" s="66">
        <v>37</v>
      </c>
      <c r="H240" s="66">
        <v>236</v>
      </c>
      <c r="I240" s="66" t="s">
        <v>1244</v>
      </c>
      <c r="J240" s="66" t="s">
        <v>230</v>
      </c>
      <c r="K240" s="67" t="s">
        <v>1245</v>
      </c>
      <c r="L240" s="88"/>
      <c r="M240" s="68">
        <v>50</v>
      </c>
    </row>
    <row r="241" spans="6:13" x14ac:dyDescent="0.25">
      <c r="F241" s="65">
        <v>55469</v>
      </c>
      <c r="G241" s="66">
        <v>37</v>
      </c>
      <c r="H241" s="66">
        <v>237</v>
      </c>
      <c r="I241" s="66" t="s">
        <v>1246</v>
      </c>
      <c r="J241" s="66" t="s">
        <v>231</v>
      </c>
      <c r="K241" s="67" t="s">
        <v>1247</v>
      </c>
      <c r="L241" s="88"/>
      <c r="M241" s="68">
        <v>50</v>
      </c>
    </row>
    <row r="242" spans="6:13" x14ac:dyDescent="0.25">
      <c r="F242" s="69">
        <v>55469</v>
      </c>
      <c r="G242" s="70">
        <v>37</v>
      </c>
      <c r="H242" s="70">
        <v>238</v>
      </c>
      <c r="I242" s="70" t="s">
        <v>232</v>
      </c>
      <c r="J242" s="70" t="s">
        <v>228</v>
      </c>
      <c r="K242" s="71" t="s">
        <v>1248</v>
      </c>
      <c r="L242" s="89"/>
      <c r="M242" s="72">
        <v>50</v>
      </c>
    </row>
    <row r="243" spans="6:13" x14ac:dyDescent="0.25">
      <c r="F243" s="69">
        <v>55469</v>
      </c>
      <c r="G243" s="70">
        <v>37</v>
      </c>
      <c r="H243" s="70">
        <v>239</v>
      </c>
      <c r="I243" s="70" t="s">
        <v>233</v>
      </c>
      <c r="J243" s="70" t="s">
        <v>230</v>
      </c>
      <c r="K243" s="71" t="s">
        <v>1249</v>
      </c>
      <c r="L243" s="89"/>
      <c r="M243" s="72">
        <v>50</v>
      </c>
    </row>
    <row r="244" spans="6:13" x14ac:dyDescent="0.25">
      <c r="F244" s="69">
        <v>55469</v>
      </c>
      <c r="G244" s="70">
        <v>37</v>
      </c>
      <c r="H244" s="70">
        <v>240</v>
      </c>
      <c r="I244" s="70" t="s">
        <v>234</v>
      </c>
      <c r="J244" s="70" t="s">
        <v>231</v>
      </c>
      <c r="K244" s="71" t="s">
        <v>1250</v>
      </c>
      <c r="L244" s="89"/>
      <c r="M244" s="72">
        <v>50</v>
      </c>
    </row>
    <row r="245" spans="6:13" x14ac:dyDescent="0.25">
      <c r="F245" s="73">
        <v>55469</v>
      </c>
      <c r="G245" s="74">
        <v>37</v>
      </c>
      <c r="H245" s="74">
        <v>241</v>
      </c>
      <c r="I245" s="74" t="s">
        <v>1251</v>
      </c>
      <c r="J245" s="74" t="s">
        <v>228</v>
      </c>
      <c r="K245" s="75" t="s">
        <v>1252</v>
      </c>
      <c r="L245" s="90"/>
      <c r="M245" s="76">
        <v>50</v>
      </c>
    </row>
    <row r="246" spans="6:13" x14ac:dyDescent="0.25">
      <c r="F246" s="73">
        <v>55469</v>
      </c>
      <c r="G246" s="74">
        <v>37</v>
      </c>
      <c r="H246" s="74">
        <v>242</v>
      </c>
      <c r="I246" s="74" t="s">
        <v>1253</v>
      </c>
      <c r="J246" s="74" t="s">
        <v>230</v>
      </c>
      <c r="K246" s="75" t="s">
        <v>1254</v>
      </c>
      <c r="L246" s="90"/>
      <c r="M246" s="76">
        <v>50</v>
      </c>
    </row>
    <row r="247" spans="6:13" x14ac:dyDescent="0.25">
      <c r="F247" s="73">
        <v>55469</v>
      </c>
      <c r="G247" s="74">
        <v>37</v>
      </c>
      <c r="H247" s="74">
        <v>243</v>
      </c>
      <c r="I247" s="74" t="s">
        <v>1255</v>
      </c>
      <c r="J247" s="74" t="s">
        <v>231</v>
      </c>
      <c r="K247" s="75" t="s">
        <v>1256</v>
      </c>
      <c r="L247" s="90"/>
      <c r="M247" s="76">
        <v>50</v>
      </c>
    </row>
    <row r="248" spans="6:13" x14ac:dyDescent="0.25">
      <c r="F248" s="77">
        <v>55469</v>
      </c>
      <c r="G248" s="78">
        <v>37</v>
      </c>
      <c r="H248" s="78">
        <v>244</v>
      </c>
      <c r="I248" s="78" t="s">
        <v>1257</v>
      </c>
      <c r="J248" s="78" t="s">
        <v>228</v>
      </c>
      <c r="K248" s="79" t="s">
        <v>1258</v>
      </c>
      <c r="L248" s="91"/>
      <c r="M248" s="80">
        <v>50</v>
      </c>
    </row>
    <row r="249" spans="6:13" x14ac:dyDescent="0.25">
      <c r="F249" s="77">
        <v>55469</v>
      </c>
      <c r="G249" s="78">
        <v>37</v>
      </c>
      <c r="H249" s="78">
        <v>245</v>
      </c>
      <c r="I249" s="78" t="s">
        <v>1259</v>
      </c>
      <c r="J249" s="78" t="s">
        <v>230</v>
      </c>
      <c r="K249" s="79" t="s">
        <v>1260</v>
      </c>
      <c r="L249" s="91"/>
      <c r="M249" s="80">
        <v>50</v>
      </c>
    </row>
    <row r="250" spans="6:13" ht="15.75" thickBot="1" x14ac:dyDescent="0.3">
      <c r="F250" s="81">
        <v>55469</v>
      </c>
      <c r="G250" s="82">
        <v>37</v>
      </c>
      <c r="H250" s="82">
        <v>246</v>
      </c>
      <c r="I250" s="82" t="s">
        <v>1261</v>
      </c>
      <c r="J250" s="82" t="s">
        <v>231</v>
      </c>
      <c r="K250" s="83" t="s">
        <v>1262</v>
      </c>
      <c r="L250" s="92"/>
      <c r="M250" s="84">
        <v>50</v>
      </c>
    </row>
  </sheetData>
  <mergeCells count="2">
    <mergeCell ref="N2:N4"/>
    <mergeCell ref="P8:S10"/>
  </mergeCells>
  <pageMargins left="0.25" right="0.25" top="0.49" bottom="0.48" header="0.3" footer="0.3"/>
  <pageSetup scale="3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1341-0F14-4E7C-9D6B-79080EBD393B}">
  <sheetPr>
    <tabColor theme="1" tint="0.34998626667073579"/>
  </sheetPr>
  <dimension ref="C1:CB52"/>
  <sheetViews>
    <sheetView zoomScale="85" zoomScaleNormal="85" workbookViewId="0">
      <selection activeCell="N27" sqref="N27"/>
    </sheetView>
  </sheetViews>
  <sheetFormatPr defaultRowHeight="15" x14ac:dyDescent="0.25"/>
  <cols>
    <col min="3" max="3" width="22.7109375" customWidth="1"/>
    <col min="4" max="18" width="13.42578125" customWidth="1"/>
  </cols>
  <sheetData>
    <row r="1" spans="3:80" ht="15.75" thickBot="1" x14ac:dyDescent="0.3"/>
    <row r="2" spans="3:80" ht="45.75" thickBot="1" x14ac:dyDescent="0.3">
      <c r="C2" s="133" t="s">
        <v>1263</v>
      </c>
      <c r="D2" s="176" t="s">
        <v>916</v>
      </c>
      <c r="E2" s="177" t="s">
        <v>917</v>
      </c>
      <c r="F2" s="178" t="s">
        <v>918</v>
      </c>
      <c r="G2" s="176" t="s">
        <v>246</v>
      </c>
      <c r="H2" s="177" t="s">
        <v>247</v>
      </c>
      <c r="I2" s="178" t="s">
        <v>248</v>
      </c>
      <c r="J2" s="176" t="s">
        <v>249</v>
      </c>
      <c r="K2" s="177" t="s">
        <v>250</v>
      </c>
      <c r="L2" s="178" t="s">
        <v>251</v>
      </c>
      <c r="M2" s="176" t="s">
        <v>919</v>
      </c>
      <c r="N2" s="177" t="s">
        <v>920</v>
      </c>
      <c r="O2" s="177" t="s">
        <v>921</v>
      </c>
      <c r="P2" s="176" t="s">
        <v>252</v>
      </c>
      <c r="Q2" s="177" t="s">
        <v>253</v>
      </c>
      <c r="R2" s="178" t="s">
        <v>254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</row>
    <row r="3" spans="3:80" x14ac:dyDescent="0.25">
      <c r="C3" s="129" t="s">
        <v>1268</v>
      </c>
      <c r="D3" s="155" t="str">
        <f>VLOOKUP(D2,'All data'!$F:$G,2,FALSE)</f>
        <v>BLANK-S0-P0-Day20</v>
      </c>
      <c r="E3" s="156"/>
      <c r="F3" s="157"/>
      <c r="G3" s="155" t="str">
        <f>VLOOKUP(G2,'All data'!$F:$G,2,FALSE)</f>
        <v>PFAS-S0-P10-Day20</v>
      </c>
      <c r="H3" s="156"/>
      <c r="I3" s="157"/>
      <c r="J3" s="155" t="str">
        <f>VLOOKUP(J2,'All data'!$F:$G,2,FALSE)</f>
        <v>PFAS-S0-P50-Day20</v>
      </c>
      <c r="K3" s="156"/>
      <c r="L3" s="157"/>
      <c r="M3" s="155" t="str">
        <f>VLOOKUP(M2,'All data'!$F:$G,2,FALSE)</f>
        <v>PFAS-S0-P100-Day20</v>
      </c>
      <c r="N3" s="156"/>
      <c r="O3" s="156"/>
      <c r="P3" s="155" t="str">
        <f>VLOOKUP(P2,'All data'!$F:$G,2,FALSE)</f>
        <v>PFAS-S0-P500-Day20</v>
      </c>
      <c r="Q3" s="156"/>
      <c r="R3" s="157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</row>
    <row r="4" spans="3:80" s="128" customFormat="1" x14ac:dyDescent="0.25">
      <c r="C4" s="142" t="s">
        <v>244</v>
      </c>
      <c r="D4" s="172" t="str">
        <f>VLOOKUP(D2,'All data'!$F:$M,4,FALSE)</f>
        <v>-</v>
      </c>
      <c r="E4" s="173" t="str">
        <f>VLOOKUP(E2,'All data'!$F:$M,4,FALSE)</f>
        <v>-</v>
      </c>
      <c r="F4" s="174" t="str">
        <f>VLOOKUP(F2,'All data'!$F:$M,4,FALSE)</f>
        <v>-</v>
      </c>
      <c r="G4" s="172" t="str">
        <f>VLOOKUP(G2,'All data'!$F:$M,4,FALSE)</f>
        <v>-</v>
      </c>
      <c r="H4" s="173" t="str">
        <f>VLOOKUP(H2,'All data'!$F:$M,4,FALSE)</f>
        <v>-</v>
      </c>
      <c r="I4" s="174" t="str">
        <f>VLOOKUP(I2,'All data'!$F:$M,4,FALSE)</f>
        <v>-</v>
      </c>
      <c r="J4" s="172" t="str">
        <f>VLOOKUP(J2,'All data'!$F:$M,4,FALSE)</f>
        <v>-</v>
      </c>
      <c r="K4" s="173" t="str">
        <f>VLOOKUP(K2,'All data'!$F:$M,4,FALSE)</f>
        <v>-</v>
      </c>
      <c r="L4" s="174" t="str">
        <f>VLOOKUP(L2,'All data'!$F:$M,4,FALSE)</f>
        <v>-</v>
      </c>
      <c r="M4" s="172" t="str">
        <f>VLOOKUP(M2,'All data'!$F:$M,4,FALSE)</f>
        <v>-</v>
      </c>
      <c r="N4" s="173" t="str">
        <f>VLOOKUP(N2,'All data'!$F:$M,4,FALSE)</f>
        <v>-</v>
      </c>
      <c r="O4" s="173" t="str">
        <f>VLOOKUP(O2,'All data'!$F:$M,4,FALSE)</f>
        <v>-</v>
      </c>
      <c r="P4" s="172" t="str">
        <f>VLOOKUP(P2,'All data'!$F:$M,4,FALSE)</f>
        <v>-</v>
      </c>
      <c r="Q4" s="173" t="str">
        <f>VLOOKUP(Q2,'All data'!$F:$M,4,FALSE)</f>
        <v>-</v>
      </c>
      <c r="R4" s="174" t="str">
        <f>VLOOKUP(R2,'All data'!$F:$M,4,FALSE)</f>
        <v>-</v>
      </c>
      <c r="S4"/>
      <c r="T4"/>
      <c r="U4" t="s">
        <v>916</v>
      </c>
      <c r="V4" t="s">
        <v>916</v>
      </c>
      <c r="W4" t="s">
        <v>916</v>
      </c>
      <c r="X4" t="s">
        <v>916</v>
      </c>
      <c r="Y4" t="s">
        <v>916</v>
      </c>
      <c r="Z4" t="s">
        <v>917</v>
      </c>
      <c r="AA4" t="s">
        <v>917</v>
      </c>
      <c r="AB4" t="s">
        <v>917</v>
      </c>
      <c r="AC4" t="s">
        <v>917</v>
      </c>
      <c r="AD4" t="s">
        <v>917</v>
      </c>
      <c r="AE4" t="s">
        <v>917</v>
      </c>
      <c r="AF4" t="s">
        <v>918</v>
      </c>
      <c r="AG4" t="s">
        <v>918</v>
      </c>
      <c r="AH4" t="s">
        <v>918</v>
      </c>
      <c r="AI4" t="s">
        <v>918</v>
      </c>
      <c r="AJ4" t="s">
        <v>918</v>
      </c>
      <c r="AK4" t="s">
        <v>918</v>
      </c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spans="3:80" x14ac:dyDescent="0.25">
      <c r="C5" s="142" t="s">
        <v>240</v>
      </c>
      <c r="D5" s="172">
        <f>VLOOKUP(D2,'All data'!$F:$M,5,FALSE)</f>
        <v>0</v>
      </c>
      <c r="E5" s="173">
        <f>VLOOKUP(E2,'All data'!$F:$M,5,FALSE)</f>
        <v>0</v>
      </c>
      <c r="F5" s="174">
        <f>VLOOKUP(F2,'All data'!$F:$M,5,FALSE)</f>
        <v>0</v>
      </c>
      <c r="G5" s="172">
        <f>VLOOKUP(G2,'All data'!$F:$M,5,FALSE)</f>
        <v>0</v>
      </c>
      <c r="H5" s="173">
        <f>VLOOKUP(H2,'All data'!$F:$M,5,FALSE)</f>
        <v>0</v>
      </c>
      <c r="I5" s="174">
        <f>VLOOKUP(I2,'All data'!$F:$M,5,FALSE)</f>
        <v>0</v>
      </c>
      <c r="J5" s="172">
        <f>VLOOKUP(J2,'All data'!$F:$M,5,FALSE)</f>
        <v>0</v>
      </c>
      <c r="K5" s="173">
        <f>VLOOKUP(K2,'All data'!$F:$M,5,FALSE)</f>
        <v>0</v>
      </c>
      <c r="L5" s="174">
        <f>VLOOKUP(L2,'All data'!$F:$M,5,FALSE)</f>
        <v>0</v>
      </c>
      <c r="M5" s="172">
        <f>VLOOKUP(M2,'All data'!$F:$M,5,FALSE)</f>
        <v>0</v>
      </c>
      <c r="N5" s="173">
        <f>VLOOKUP(N2,'All data'!$F:$M,5,FALSE)</f>
        <v>0</v>
      </c>
      <c r="O5" s="173">
        <f>VLOOKUP(O2,'All data'!$F:$M,5,FALSE)</f>
        <v>0</v>
      </c>
      <c r="P5" s="172">
        <f>VLOOKUP(P2,'All data'!$F:$M,5,FALSE)</f>
        <v>0</v>
      </c>
      <c r="Q5" s="173">
        <f>VLOOKUP(Q2,'All data'!$F:$M,5,FALSE)</f>
        <v>0</v>
      </c>
      <c r="R5" s="174">
        <f>VLOOKUP(R2,'All data'!$F:$M,5,FALSE)</f>
        <v>0</v>
      </c>
    </row>
    <row r="6" spans="3:80" ht="15.75" thickBot="1" x14ac:dyDescent="0.3">
      <c r="C6" s="143" t="s">
        <v>1277</v>
      </c>
      <c r="D6" s="179">
        <f>VLOOKUP(D2,'All data'!$F:$M,6,FALSE)</f>
        <v>0</v>
      </c>
      <c r="E6" s="180">
        <f>VLOOKUP(E2,'All data'!$F:$M,6,FALSE)</f>
        <v>0</v>
      </c>
      <c r="F6" s="181">
        <f>VLOOKUP(F2,'All data'!$F:$M,6,FALSE)</f>
        <v>0</v>
      </c>
      <c r="G6" s="182">
        <f>VLOOKUP(G2,'All data'!$F:$M,6,FALSE)</f>
        <v>10</v>
      </c>
      <c r="H6" s="183">
        <f>VLOOKUP(H2,'All data'!$F:$M,6,FALSE)</f>
        <v>10</v>
      </c>
      <c r="I6" s="184">
        <f>VLOOKUP(I2,'All data'!$F:$M,6,FALSE)</f>
        <v>10</v>
      </c>
      <c r="J6" s="185">
        <f>VLOOKUP(J2,'All data'!$F:$M,6,FALSE)</f>
        <v>50</v>
      </c>
      <c r="K6" s="186">
        <f>VLOOKUP(K2,'All data'!$F:$M,6,FALSE)</f>
        <v>50</v>
      </c>
      <c r="L6" s="187">
        <f>VLOOKUP(L2,'All data'!$F:$M,6,FALSE)</f>
        <v>50</v>
      </c>
      <c r="M6" s="188">
        <f>VLOOKUP(M2,'All data'!$F:$M,6,FALSE)</f>
        <v>100</v>
      </c>
      <c r="N6" s="189">
        <f>VLOOKUP(N2,'All data'!$F:$M,6,FALSE)</f>
        <v>100</v>
      </c>
      <c r="O6" s="189">
        <f>VLOOKUP(O2,'All data'!$F:$M,6,FALSE)</f>
        <v>100</v>
      </c>
      <c r="P6" s="190">
        <f>VLOOKUP(P2,'All data'!$F:$M,6,FALSE)</f>
        <v>500</v>
      </c>
      <c r="Q6" s="191">
        <f>VLOOKUP(Q2,'All data'!$F:$M,6,FALSE)</f>
        <v>500</v>
      </c>
      <c r="R6" s="192">
        <f>VLOOKUP(R2,'All data'!$F:$M,6,FALSE)</f>
        <v>500</v>
      </c>
    </row>
    <row r="7" spans="3:80" ht="15.75" thickBot="1" x14ac:dyDescent="0.3">
      <c r="C7" s="261" t="s">
        <v>1267</v>
      </c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130"/>
    </row>
    <row r="8" spans="3:80" x14ac:dyDescent="0.25">
      <c r="C8" s="147" t="s">
        <v>22</v>
      </c>
      <c r="D8" s="171">
        <f>VLOOKUP(D$2&amp;":"&amp;$C8,'All data'!$E:$P,12,FALSE)</f>
        <v>0</v>
      </c>
      <c r="E8" s="135">
        <f>VLOOKUP(E$2&amp;":"&amp;$C8,'All data'!$E:$P,12,FALSE)</f>
        <v>0</v>
      </c>
      <c r="F8" s="136">
        <f>VLOOKUP(F$2&amp;":"&amp;$C8,'All data'!$E:$P,12,FALSE)</f>
        <v>0</v>
      </c>
      <c r="G8" s="171" t="str">
        <f>VLOOKUP(G$2&amp;":"&amp;$C8,'All data'!$E:$P,12,FALSE)</f>
        <v>15400</v>
      </c>
      <c r="H8" s="135" t="str">
        <f>VLOOKUP(H$2&amp;":"&amp;$C8,'All data'!$E:$P,12,FALSE)</f>
        <v>15300</v>
      </c>
      <c r="I8" s="136" t="str">
        <f>VLOOKUP(I$2&amp;":"&amp;$C8,'All data'!$E:$P,12,FALSE)</f>
        <v>15500</v>
      </c>
      <c r="J8" s="171" t="str">
        <f>VLOOKUP(J$2&amp;":"&amp;$C8,'All data'!$E:$P,12,FALSE)</f>
        <v>49300</v>
      </c>
      <c r="K8" s="135" t="str">
        <f>VLOOKUP(K$2&amp;":"&amp;$C8,'All data'!$E:$P,12,FALSE)</f>
        <v>46700</v>
      </c>
      <c r="L8" s="136" t="str">
        <f>VLOOKUP(L$2&amp;":"&amp;$C8,'All data'!$E:$P,12,FALSE)</f>
        <v>46500</v>
      </c>
      <c r="M8" s="171" t="str">
        <f>VLOOKUP(M$2&amp;":"&amp;$C8,'All data'!$E:$P,12,FALSE)</f>
        <v>100000</v>
      </c>
      <c r="N8" s="135" t="str">
        <f>VLOOKUP(N$2&amp;":"&amp;$C8,'All data'!$E:$P,12,FALSE)</f>
        <v>121000</v>
      </c>
      <c r="O8" s="136" t="str">
        <f>VLOOKUP(O$2&amp;":"&amp;$C8,'All data'!$E:$P,12,FALSE)</f>
        <v>139000</v>
      </c>
      <c r="P8" s="135" t="str">
        <f>VLOOKUP(P$2&amp;":"&amp;$C8,'All data'!$E:$P,12,FALSE)</f>
        <v>685000</v>
      </c>
      <c r="Q8" s="135" t="str">
        <f>VLOOKUP(Q$2&amp;":"&amp;$C8,'All data'!$E:$P,12,FALSE)</f>
        <v>835000</v>
      </c>
      <c r="R8" s="136" t="str">
        <f>VLOOKUP(R$2&amp;":"&amp;$C8,'All data'!$E:$P,12,FALSE)</f>
        <v>613000</v>
      </c>
    </row>
    <row r="9" spans="3:80" x14ac:dyDescent="0.25">
      <c r="C9" s="145" t="s">
        <v>23</v>
      </c>
      <c r="D9" s="160">
        <f>VLOOKUP(D$2&amp;":"&amp;$C9,'All data'!$E:$P,12,FALSE)</f>
        <v>0</v>
      </c>
      <c r="E9" s="137">
        <f>VLOOKUP(E$2&amp;":"&amp;$C9,'All data'!$E:$P,12,FALSE)</f>
        <v>0</v>
      </c>
      <c r="F9" s="138">
        <f>VLOOKUP(F$2&amp;":"&amp;$C9,'All data'!$E:$P,12,FALSE)</f>
        <v>0</v>
      </c>
      <c r="G9" s="160" t="str">
        <f>VLOOKUP(G$2&amp;":"&amp;$C9,'All data'!$E:$P,12,FALSE)</f>
        <v>7000</v>
      </c>
      <c r="H9" s="137" t="str">
        <f>VLOOKUP(H$2&amp;":"&amp;$C9,'All data'!$E:$P,12,FALSE)</f>
        <v>8040</v>
      </c>
      <c r="I9" s="138" t="str">
        <f>VLOOKUP(I$2&amp;":"&amp;$C9,'All data'!$E:$P,12,FALSE)</f>
        <v>8610</v>
      </c>
      <c r="J9" s="160" t="str">
        <f>VLOOKUP(J$2&amp;":"&amp;$C9,'All data'!$E:$P,12,FALSE)</f>
        <v>28200</v>
      </c>
      <c r="K9" s="137" t="str">
        <f>VLOOKUP(K$2&amp;":"&amp;$C9,'All data'!$E:$P,12,FALSE)</f>
        <v>25300</v>
      </c>
      <c r="L9" s="138" t="str">
        <f>VLOOKUP(L$2&amp;":"&amp;$C9,'All data'!$E:$P,12,FALSE)</f>
        <v>26200</v>
      </c>
      <c r="M9" s="160" t="str">
        <f>VLOOKUP(M$2&amp;":"&amp;$C9,'All data'!$E:$P,12,FALSE)</f>
        <v>60500</v>
      </c>
      <c r="N9" s="137" t="str">
        <f>VLOOKUP(N$2&amp;":"&amp;$C9,'All data'!$E:$P,12,FALSE)</f>
        <v>64700</v>
      </c>
      <c r="O9" s="138" t="str">
        <f>VLOOKUP(O$2&amp;":"&amp;$C9,'All data'!$E:$P,12,FALSE)</f>
        <v>63200</v>
      </c>
      <c r="P9" s="137" t="str">
        <f>VLOOKUP(P$2&amp;":"&amp;$C9,'All data'!$E:$P,12,FALSE)</f>
        <v>437000</v>
      </c>
      <c r="Q9" s="137" t="str">
        <f>VLOOKUP(Q$2&amp;":"&amp;$C9,'All data'!$E:$P,12,FALSE)</f>
        <v>485000</v>
      </c>
      <c r="R9" s="138" t="str">
        <f>VLOOKUP(R$2&amp;":"&amp;$C9,'All data'!$E:$P,12,FALSE)</f>
        <v>479000</v>
      </c>
    </row>
    <row r="10" spans="3:80" x14ac:dyDescent="0.25">
      <c r="C10" s="145" t="s">
        <v>24</v>
      </c>
      <c r="D10" s="160">
        <f>VLOOKUP(D$2&amp;":"&amp;$C10,'All data'!$E:$P,12,FALSE)</f>
        <v>0</v>
      </c>
      <c r="E10" s="137">
        <f>VLOOKUP(E$2&amp;":"&amp;$C10,'All data'!$E:$P,12,FALSE)</f>
        <v>0</v>
      </c>
      <c r="F10" s="138">
        <f>VLOOKUP(F$2&amp;":"&amp;$C10,'All data'!$E:$P,12,FALSE)</f>
        <v>0</v>
      </c>
      <c r="G10" s="160" t="str">
        <f>VLOOKUP(G$2&amp;":"&amp;$C10,'All data'!$E:$P,12,FALSE)</f>
        <v>6920</v>
      </c>
      <c r="H10" s="137" t="str">
        <f>VLOOKUP(H$2&amp;":"&amp;$C10,'All data'!$E:$P,12,FALSE)</f>
        <v>6310</v>
      </c>
      <c r="I10" s="138" t="str">
        <f>VLOOKUP(I$2&amp;":"&amp;$C10,'All data'!$E:$P,12,FALSE)</f>
        <v>7200</v>
      </c>
      <c r="J10" s="160" t="str">
        <f>VLOOKUP(J$2&amp;":"&amp;$C10,'All data'!$E:$P,12,FALSE)</f>
        <v>22300</v>
      </c>
      <c r="K10" s="137" t="str">
        <f>VLOOKUP(K$2&amp;":"&amp;$C10,'All data'!$E:$P,12,FALSE)</f>
        <v>21800</v>
      </c>
      <c r="L10" s="138" t="str">
        <f>VLOOKUP(L$2&amp;":"&amp;$C10,'All data'!$E:$P,12,FALSE)</f>
        <v>24900</v>
      </c>
      <c r="M10" s="160" t="str">
        <f>VLOOKUP(M$2&amp;":"&amp;$C10,'All data'!$E:$P,12,FALSE)</f>
        <v>55700</v>
      </c>
      <c r="N10" s="137" t="str">
        <f>VLOOKUP(N$2&amp;":"&amp;$C10,'All data'!$E:$P,12,FALSE)</f>
        <v>49700</v>
      </c>
      <c r="O10" s="138" t="str">
        <f>VLOOKUP(O$2&amp;":"&amp;$C10,'All data'!$E:$P,12,FALSE)</f>
        <v>60200</v>
      </c>
      <c r="P10" s="137" t="str">
        <f>VLOOKUP(P$2&amp;":"&amp;$C10,'All data'!$E:$P,12,FALSE)</f>
        <v>347000</v>
      </c>
      <c r="Q10" s="137" t="str">
        <f>VLOOKUP(Q$2&amp;":"&amp;$C10,'All data'!$E:$P,12,FALSE)</f>
        <v>474000</v>
      </c>
      <c r="R10" s="138" t="str">
        <f>VLOOKUP(R$2&amp;":"&amp;$C10,'All data'!$E:$P,12,FALSE)</f>
        <v>298000</v>
      </c>
    </row>
    <row r="11" spans="3:80" x14ac:dyDescent="0.25">
      <c r="C11" s="145" t="s">
        <v>25</v>
      </c>
      <c r="D11" s="160">
        <f>VLOOKUP(D$2&amp;":"&amp;$C11,'All data'!$E:$P,12,FALSE)</f>
        <v>0</v>
      </c>
      <c r="E11" s="137" t="str">
        <f>VLOOKUP(E$2&amp;":"&amp;$C11,'All data'!$E:$P,12,FALSE)</f>
        <v>105</v>
      </c>
      <c r="F11" s="138">
        <f>VLOOKUP(F$2&amp;":"&amp;$C11,'All data'!$E:$P,12,FALSE)</f>
        <v>0</v>
      </c>
      <c r="G11" s="160" t="str">
        <f>VLOOKUP(G$2&amp;":"&amp;$C11,'All data'!$E:$P,12,FALSE)</f>
        <v>21500</v>
      </c>
      <c r="H11" s="137" t="str">
        <f>VLOOKUP(H$2&amp;":"&amp;$C11,'All data'!$E:$P,12,FALSE)</f>
        <v>18300</v>
      </c>
      <c r="I11" s="138" t="str">
        <f>VLOOKUP(I$2&amp;":"&amp;$C11,'All data'!$E:$P,12,FALSE)</f>
        <v>22100</v>
      </c>
      <c r="J11" s="160" t="str">
        <f>VLOOKUP(J$2&amp;":"&amp;$C11,'All data'!$E:$P,12,FALSE)</f>
        <v>54700</v>
      </c>
      <c r="K11" s="137" t="str">
        <f>VLOOKUP(K$2&amp;":"&amp;$C11,'All data'!$E:$P,12,FALSE)</f>
        <v>61400</v>
      </c>
      <c r="L11" s="138" t="str">
        <f>VLOOKUP(L$2&amp;":"&amp;$C11,'All data'!$E:$P,12,FALSE)</f>
        <v>61400</v>
      </c>
      <c r="M11" s="160" t="str">
        <f>VLOOKUP(M$2&amp;":"&amp;$C11,'All data'!$E:$P,12,FALSE)</f>
        <v>131000</v>
      </c>
      <c r="N11" s="137" t="str">
        <f>VLOOKUP(N$2&amp;":"&amp;$C11,'All data'!$E:$P,12,FALSE)</f>
        <v>138000</v>
      </c>
      <c r="O11" s="138" t="str">
        <f>VLOOKUP(O$2&amp;":"&amp;$C11,'All data'!$E:$P,12,FALSE)</f>
        <v>160000</v>
      </c>
      <c r="P11" s="137" t="str">
        <f>VLOOKUP(P$2&amp;":"&amp;$C11,'All data'!$E:$P,12,FALSE)</f>
        <v>871000</v>
      </c>
      <c r="Q11" s="137" t="str">
        <f>VLOOKUP(Q$2&amp;":"&amp;$C11,'All data'!$E:$P,12,FALSE)</f>
        <v>798000</v>
      </c>
      <c r="R11" s="138" t="str">
        <f>VLOOKUP(R$2&amp;":"&amp;$C11,'All data'!$E:$P,12,FALSE)</f>
        <v>932000</v>
      </c>
    </row>
    <row r="12" spans="3:80" x14ac:dyDescent="0.25">
      <c r="C12" s="145" t="s">
        <v>26</v>
      </c>
      <c r="D12" s="160">
        <f>VLOOKUP(D$2&amp;":"&amp;$C12,'All data'!$E:$P,12,FALSE)</f>
        <v>0</v>
      </c>
      <c r="E12" s="137">
        <f>VLOOKUP(E$2&amp;":"&amp;$C12,'All data'!$E:$P,12,FALSE)</f>
        <v>0</v>
      </c>
      <c r="F12" s="138">
        <f>VLOOKUP(F$2&amp;":"&amp;$C12,'All data'!$E:$P,12,FALSE)</f>
        <v>0</v>
      </c>
      <c r="G12" s="160" t="str">
        <f>VLOOKUP(G$2&amp;":"&amp;$C12,'All data'!$E:$P,12,FALSE)</f>
        <v>7350</v>
      </c>
      <c r="H12" s="137" t="str">
        <f>VLOOKUP(H$2&amp;":"&amp;$C12,'All data'!$E:$P,12,FALSE)</f>
        <v>7550</v>
      </c>
      <c r="I12" s="138" t="str">
        <f>VLOOKUP(I$2&amp;":"&amp;$C12,'All data'!$E:$P,12,FALSE)</f>
        <v>8180</v>
      </c>
      <c r="J12" s="160" t="str">
        <f>VLOOKUP(J$2&amp;":"&amp;$C12,'All data'!$E:$P,12,FALSE)</f>
        <v>28500</v>
      </c>
      <c r="K12" s="137" t="str">
        <f>VLOOKUP(K$2&amp;":"&amp;$C12,'All data'!$E:$P,12,FALSE)</f>
        <v>24700</v>
      </c>
      <c r="L12" s="138" t="str">
        <f>VLOOKUP(L$2&amp;":"&amp;$C12,'All data'!$E:$P,12,FALSE)</f>
        <v>26900</v>
      </c>
      <c r="M12" s="160" t="str">
        <f>VLOOKUP(M$2&amp;":"&amp;$C12,'All data'!$E:$P,12,FALSE)</f>
        <v>51800</v>
      </c>
      <c r="N12" s="137" t="str">
        <f>VLOOKUP(N$2&amp;":"&amp;$C12,'All data'!$E:$P,12,FALSE)</f>
        <v>52800</v>
      </c>
      <c r="O12" s="138" t="str">
        <f>VLOOKUP(O$2&amp;":"&amp;$C12,'All data'!$E:$P,12,FALSE)</f>
        <v>71800</v>
      </c>
      <c r="P12" s="137" t="str">
        <f>VLOOKUP(P$2&amp;":"&amp;$C12,'All data'!$E:$P,12,FALSE)</f>
        <v>382000</v>
      </c>
      <c r="Q12" s="137" t="str">
        <f>VLOOKUP(Q$2&amp;":"&amp;$C12,'All data'!$E:$P,12,FALSE)</f>
        <v>438000</v>
      </c>
      <c r="R12" s="138" t="str">
        <f>VLOOKUP(R$2&amp;":"&amp;$C12,'All data'!$E:$P,12,FALSE)</f>
        <v>380000</v>
      </c>
    </row>
    <row r="13" spans="3:80" ht="15.75" thickBot="1" x14ac:dyDescent="0.3">
      <c r="C13" s="146" t="s">
        <v>27</v>
      </c>
      <c r="D13" s="161" t="str">
        <f>VLOOKUP(D$2&amp;":"&amp;$C13,'All data'!$E:$P,12,FALSE)</f>
        <v>43.5</v>
      </c>
      <c r="E13" s="139" t="str">
        <f>VLOOKUP(E$2&amp;":"&amp;$C13,'All data'!$E:$P,12,FALSE)</f>
        <v>45.9</v>
      </c>
      <c r="F13" s="140" t="str">
        <f>VLOOKUP(F$2&amp;":"&amp;$C13,'All data'!$E:$P,12,FALSE)</f>
        <v>56.9</v>
      </c>
      <c r="G13" s="161" t="str">
        <f>VLOOKUP(G$2&amp;":"&amp;$C13,'All data'!$E:$P,12,FALSE)</f>
        <v>7770</v>
      </c>
      <c r="H13" s="139" t="str">
        <f>VLOOKUP(H$2&amp;":"&amp;$C13,'All data'!$E:$P,12,FALSE)</f>
        <v>4460</v>
      </c>
      <c r="I13" s="140" t="str">
        <f>VLOOKUP(I$2&amp;":"&amp;$C13,'All data'!$E:$P,12,FALSE)</f>
        <v>8960</v>
      </c>
      <c r="J13" s="161" t="str">
        <f>VLOOKUP(J$2&amp;":"&amp;$C13,'All data'!$E:$P,12,FALSE)</f>
        <v>20600</v>
      </c>
      <c r="K13" s="139" t="str">
        <f>VLOOKUP(K$2&amp;":"&amp;$C13,'All data'!$E:$P,12,FALSE)</f>
        <v>23500</v>
      </c>
      <c r="L13" s="140" t="str">
        <f>VLOOKUP(L$2&amp;":"&amp;$C13,'All data'!$E:$P,12,FALSE)</f>
        <v>25500</v>
      </c>
      <c r="M13" s="161" t="str">
        <f>VLOOKUP(M$2&amp;":"&amp;$C13,'All data'!$E:$P,12,FALSE)</f>
        <v>55800</v>
      </c>
      <c r="N13" s="139" t="str">
        <f>VLOOKUP(N$2&amp;":"&amp;$C13,'All data'!$E:$P,12,FALSE)</f>
        <v>44500</v>
      </c>
      <c r="O13" s="140" t="str">
        <f>VLOOKUP(O$2&amp;":"&amp;$C13,'All data'!$E:$P,12,FALSE)</f>
        <v>41700</v>
      </c>
      <c r="P13" s="139" t="str">
        <f>VLOOKUP(P$2&amp;":"&amp;$C13,'All data'!$E:$P,12,FALSE)</f>
        <v>486000</v>
      </c>
      <c r="Q13" s="139" t="str">
        <f>VLOOKUP(Q$2&amp;":"&amp;$C13,'All data'!$E:$P,12,FALSE)</f>
        <v>586000</v>
      </c>
      <c r="R13" s="140" t="str">
        <f>VLOOKUP(R$2&amp;":"&amp;$C13,'All data'!$E:$P,12,FALSE)</f>
        <v>291000</v>
      </c>
    </row>
    <row r="14" spans="3:80" ht="15.75" thickBot="1" x14ac:dyDescent="0.3">
      <c r="C14" s="260" t="s">
        <v>1276</v>
      </c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</row>
    <row r="15" spans="3:80" x14ac:dyDescent="0.25">
      <c r="C15" s="147" t="s">
        <v>22</v>
      </c>
      <c r="D15" s="162">
        <f>VALUE(D8)</f>
        <v>0</v>
      </c>
      <c r="E15" s="163">
        <f t="shared" ref="E15:F15" si="0">VALUE(E8)</f>
        <v>0</v>
      </c>
      <c r="F15" s="163">
        <f t="shared" si="0"/>
        <v>0</v>
      </c>
      <c r="G15" s="105">
        <f>VALUE(G8)</f>
        <v>15400</v>
      </c>
      <c r="H15" s="105">
        <f t="shared" ref="H15:R15" si="1">VALUE(H8)</f>
        <v>15300</v>
      </c>
      <c r="I15" s="105">
        <f t="shared" si="1"/>
        <v>15500</v>
      </c>
      <c r="J15" s="105">
        <f t="shared" si="1"/>
        <v>49300</v>
      </c>
      <c r="K15" s="105">
        <f t="shared" si="1"/>
        <v>46700</v>
      </c>
      <c r="L15" s="105">
        <f t="shared" si="1"/>
        <v>46500</v>
      </c>
      <c r="M15" s="105">
        <f t="shared" si="1"/>
        <v>100000</v>
      </c>
      <c r="N15" s="105">
        <f t="shared" si="1"/>
        <v>121000</v>
      </c>
      <c r="O15" s="105">
        <f t="shared" si="1"/>
        <v>139000</v>
      </c>
      <c r="P15" s="105">
        <f t="shared" si="1"/>
        <v>685000</v>
      </c>
      <c r="Q15" s="105">
        <f t="shared" si="1"/>
        <v>835000</v>
      </c>
      <c r="R15" s="134">
        <f t="shared" si="1"/>
        <v>613000</v>
      </c>
    </row>
    <row r="16" spans="3:80" x14ac:dyDescent="0.25">
      <c r="C16" s="145" t="s">
        <v>23</v>
      </c>
      <c r="D16" s="129">
        <f t="shared" ref="D16:F16" si="2">VALUE(D9)</f>
        <v>0</v>
      </c>
      <c r="E16" s="103">
        <f t="shared" si="2"/>
        <v>0</v>
      </c>
      <c r="F16" s="103">
        <f t="shared" si="2"/>
        <v>0</v>
      </c>
      <c r="G16" s="103">
        <f t="shared" ref="G16:R20" si="3">VALUE(G9)</f>
        <v>7000</v>
      </c>
      <c r="H16" s="103">
        <f t="shared" si="3"/>
        <v>8040</v>
      </c>
      <c r="I16" s="103">
        <f t="shared" si="3"/>
        <v>8610</v>
      </c>
      <c r="J16" s="103">
        <f t="shared" si="3"/>
        <v>28200</v>
      </c>
      <c r="K16" s="103">
        <f t="shared" si="3"/>
        <v>25300</v>
      </c>
      <c r="L16" s="103">
        <f t="shared" si="3"/>
        <v>26200</v>
      </c>
      <c r="M16" s="103">
        <f t="shared" si="3"/>
        <v>60500</v>
      </c>
      <c r="N16" s="103">
        <f t="shared" si="3"/>
        <v>64700</v>
      </c>
      <c r="O16" s="103">
        <f t="shared" si="3"/>
        <v>63200</v>
      </c>
      <c r="P16" s="103">
        <f t="shared" si="3"/>
        <v>437000</v>
      </c>
      <c r="Q16" s="103">
        <f t="shared" si="3"/>
        <v>485000</v>
      </c>
      <c r="R16" s="130">
        <f t="shared" si="3"/>
        <v>479000</v>
      </c>
    </row>
    <row r="17" spans="3:19" x14ac:dyDescent="0.25">
      <c r="C17" s="145" t="s">
        <v>24</v>
      </c>
      <c r="D17" s="129">
        <f t="shared" ref="D17:F17" si="4">VALUE(D10)</f>
        <v>0</v>
      </c>
      <c r="E17" s="103">
        <f t="shared" si="4"/>
        <v>0</v>
      </c>
      <c r="F17" s="103">
        <f t="shared" si="4"/>
        <v>0</v>
      </c>
      <c r="G17" s="103">
        <f t="shared" si="3"/>
        <v>6920</v>
      </c>
      <c r="H17" s="103">
        <f t="shared" si="3"/>
        <v>6310</v>
      </c>
      <c r="I17" s="103">
        <f t="shared" si="3"/>
        <v>7200</v>
      </c>
      <c r="J17" s="103">
        <f t="shared" si="3"/>
        <v>22300</v>
      </c>
      <c r="K17" s="103">
        <f t="shared" si="3"/>
        <v>21800</v>
      </c>
      <c r="L17" s="103">
        <f t="shared" si="3"/>
        <v>24900</v>
      </c>
      <c r="M17" s="103">
        <f t="shared" si="3"/>
        <v>55700</v>
      </c>
      <c r="N17" s="103">
        <f t="shared" si="3"/>
        <v>49700</v>
      </c>
      <c r="O17" s="103">
        <f t="shared" si="3"/>
        <v>60200</v>
      </c>
      <c r="P17" s="103">
        <f t="shared" si="3"/>
        <v>347000</v>
      </c>
      <c r="Q17" s="103">
        <f t="shared" si="3"/>
        <v>474000</v>
      </c>
      <c r="R17" s="130">
        <f t="shared" si="3"/>
        <v>298000</v>
      </c>
    </row>
    <row r="18" spans="3:19" x14ac:dyDescent="0.25">
      <c r="C18" s="145" t="s">
        <v>25</v>
      </c>
      <c r="D18" s="129">
        <f t="shared" ref="D18:F18" si="5">VALUE(D11)</f>
        <v>0</v>
      </c>
      <c r="E18" s="103">
        <f t="shared" si="5"/>
        <v>105</v>
      </c>
      <c r="F18" s="103">
        <f t="shared" si="5"/>
        <v>0</v>
      </c>
      <c r="G18" s="103">
        <f t="shared" si="3"/>
        <v>21500</v>
      </c>
      <c r="H18" s="103">
        <f t="shared" si="3"/>
        <v>18300</v>
      </c>
      <c r="I18" s="103">
        <f t="shared" si="3"/>
        <v>22100</v>
      </c>
      <c r="J18" s="103">
        <f t="shared" si="3"/>
        <v>54700</v>
      </c>
      <c r="K18" s="103">
        <f t="shared" si="3"/>
        <v>61400</v>
      </c>
      <c r="L18" s="103">
        <f t="shared" si="3"/>
        <v>61400</v>
      </c>
      <c r="M18" s="103">
        <f t="shared" si="3"/>
        <v>131000</v>
      </c>
      <c r="N18" s="103">
        <f t="shared" si="3"/>
        <v>138000</v>
      </c>
      <c r="O18" s="103">
        <f t="shared" si="3"/>
        <v>160000</v>
      </c>
      <c r="P18" s="103">
        <f t="shared" si="3"/>
        <v>871000</v>
      </c>
      <c r="Q18" s="103">
        <f t="shared" si="3"/>
        <v>798000</v>
      </c>
      <c r="R18" s="130">
        <f t="shared" si="3"/>
        <v>932000</v>
      </c>
    </row>
    <row r="19" spans="3:19" x14ac:dyDescent="0.25">
      <c r="C19" s="145" t="s">
        <v>26</v>
      </c>
      <c r="D19" s="129">
        <f t="shared" ref="D19:F19" si="6">VALUE(D12)</f>
        <v>0</v>
      </c>
      <c r="E19" s="103">
        <f t="shared" si="6"/>
        <v>0</v>
      </c>
      <c r="F19" s="103">
        <f t="shared" si="6"/>
        <v>0</v>
      </c>
      <c r="G19" s="103">
        <f t="shared" si="3"/>
        <v>7350</v>
      </c>
      <c r="H19" s="103">
        <f t="shared" si="3"/>
        <v>7550</v>
      </c>
      <c r="I19" s="103">
        <f t="shared" si="3"/>
        <v>8180</v>
      </c>
      <c r="J19" s="103">
        <f t="shared" si="3"/>
        <v>28500</v>
      </c>
      <c r="K19" s="103">
        <f t="shared" si="3"/>
        <v>24700</v>
      </c>
      <c r="L19" s="103">
        <f t="shared" si="3"/>
        <v>26900</v>
      </c>
      <c r="M19" s="103">
        <f t="shared" si="3"/>
        <v>51800</v>
      </c>
      <c r="N19" s="103">
        <f t="shared" si="3"/>
        <v>52800</v>
      </c>
      <c r="O19" s="103">
        <f t="shared" si="3"/>
        <v>71800</v>
      </c>
      <c r="P19" s="103">
        <f t="shared" si="3"/>
        <v>382000</v>
      </c>
      <c r="Q19" s="103">
        <f t="shared" si="3"/>
        <v>438000</v>
      </c>
      <c r="R19" s="130">
        <f t="shared" si="3"/>
        <v>380000</v>
      </c>
    </row>
    <row r="20" spans="3:19" ht="15.75" thickBot="1" x14ac:dyDescent="0.3">
      <c r="C20" s="146" t="s">
        <v>27</v>
      </c>
      <c r="D20" s="131">
        <f t="shared" ref="D20:F20" si="7">VALUE(D13)</f>
        <v>43.5</v>
      </c>
      <c r="E20" s="104">
        <f t="shared" si="7"/>
        <v>45.9</v>
      </c>
      <c r="F20" s="104">
        <f t="shared" si="7"/>
        <v>56.9</v>
      </c>
      <c r="G20" s="104">
        <f t="shared" si="3"/>
        <v>7770</v>
      </c>
      <c r="H20" s="104">
        <f t="shared" si="3"/>
        <v>4460</v>
      </c>
      <c r="I20" s="104">
        <f t="shared" si="3"/>
        <v>8960</v>
      </c>
      <c r="J20" s="104">
        <f t="shared" si="3"/>
        <v>20600</v>
      </c>
      <c r="K20" s="104">
        <f t="shared" si="3"/>
        <v>23500</v>
      </c>
      <c r="L20" s="104">
        <f t="shared" si="3"/>
        <v>25500</v>
      </c>
      <c r="M20" s="104">
        <f t="shared" si="3"/>
        <v>55800</v>
      </c>
      <c r="N20" s="104">
        <f t="shared" si="3"/>
        <v>44500</v>
      </c>
      <c r="O20" s="104">
        <f t="shared" si="3"/>
        <v>41700</v>
      </c>
      <c r="P20" s="104">
        <f t="shared" si="3"/>
        <v>486000</v>
      </c>
      <c r="Q20" s="104">
        <f t="shared" si="3"/>
        <v>586000</v>
      </c>
      <c r="R20" s="132">
        <f t="shared" si="3"/>
        <v>291000</v>
      </c>
    </row>
    <row r="21" spans="3:19" x14ac:dyDescent="0.25"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</row>
    <row r="22" spans="3:19" ht="15.75" thickBot="1" x14ac:dyDescent="0.3">
      <c r="E22" s="101" t="s">
        <v>1265</v>
      </c>
      <c r="F22" s="101" t="s">
        <v>1266</v>
      </c>
      <c r="G22" s="103"/>
      <c r="H22" s="164"/>
      <c r="I22" s="164"/>
      <c r="J22" s="103"/>
      <c r="K22" s="164"/>
      <c r="L22" s="164"/>
      <c r="M22" s="103"/>
      <c r="N22" s="164"/>
      <c r="O22" s="164"/>
      <c r="P22" s="103"/>
      <c r="Q22" s="164"/>
      <c r="R22" s="164"/>
      <c r="S22" s="103"/>
    </row>
    <row r="23" spans="3:19" x14ac:dyDescent="0.25">
      <c r="C23" s="147" t="s">
        <v>22</v>
      </c>
      <c r="D23" s="133" t="str">
        <f>D$3&amp;":"&amp;$C23</f>
        <v>BLANK-S0-P0-Day20:PFHxA</v>
      </c>
      <c r="E23" s="135">
        <f t="shared" ref="E23:E28" si="8">AVERAGE(D15:F15)</f>
        <v>0</v>
      </c>
      <c r="F23" s="151">
        <f>STDEV(D15:F15)</f>
        <v>0</v>
      </c>
      <c r="G23" s="103"/>
      <c r="H23" s="137"/>
      <c r="I23" s="137"/>
      <c r="J23" s="103"/>
      <c r="K23" s="137"/>
      <c r="L23" s="137"/>
      <c r="M23" s="103"/>
      <c r="N23" s="137"/>
      <c r="O23" s="137"/>
      <c r="P23" s="103"/>
      <c r="Q23" s="137"/>
      <c r="R23" s="137"/>
      <c r="S23" s="103"/>
    </row>
    <row r="24" spans="3:19" x14ac:dyDescent="0.25">
      <c r="C24" s="145" t="s">
        <v>23</v>
      </c>
      <c r="D24" s="129" t="str">
        <f t="shared" ref="D24:D28" si="9">D$3&amp;":"&amp;$C24</f>
        <v>BLANK-S0-P0-Day20:PFOA</v>
      </c>
      <c r="E24" s="137">
        <f t="shared" si="8"/>
        <v>0</v>
      </c>
      <c r="F24" s="152">
        <f t="shared" ref="F24:F28" si="10">STDEV(D16:F16)</f>
        <v>0</v>
      </c>
      <c r="G24" s="103"/>
      <c r="H24" s="137"/>
      <c r="I24" s="137"/>
      <c r="J24" s="103"/>
      <c r="K24" s="137"/>
      <c r="L24" s="137"/>
      <c r="M24" s="103"/>
      <c r="N24" s="137"/>
      <c r="O24" s="137"/>
      <c r="P24" s="103"/>
      <c r="Q24" s="137"/>
      <c r="R24" s="137"/>
      <c r="S24" s="103"/>
    </row>
    <row r="25" spans="3:19" x14ac:dyDescent="0.25">
      <c r="C25" s="145" t="s">
        <v>24</v>
      </c>
      <c r="D25" s="129" t="str">
        <f t="shared" si="9"/>
        <v>BLANK-S0-P0-Day20:PFNA</v>
      </c>
      <c r="E25" s="137">
        <f t="shared" si="8"/>
        <v>0</v>
      </c>
      <c r="F25" s="152">
        <f t="shared" si="10"/>
        <v>0</v>
      </c>
      <c r="G25" s="103"/>
      <c r="H25" s="137"/>
      <c r="I25" s="137"/>
      <c r="J25" s="103"/>
      <c r="K25" s="137"/>
      <c r="L25" s="137"/>
      <c r="M25" s="103"/>
      <c r="N25" s="137"/>
      <c r="O25" s="137"/>
      <c r="P25" s="103"/>
      <c r="Q25" s="137"/>
      <c r="R25" s="137"/>
      <c r="S25" s="103"/>
    </row>
    <row r="26" spans="3:19" x14ac:dyDescent="0.25">
      <c r="C26" s="145" t="s">
        <v>25</v>
      </c>
      <c r="D26" s="129" t="str">
        <f t="shared" si="9"/>
        <v>BLANK-S0-P0-Day20:PFBS</v>
      </c>
      <c r="E26" s="137">
        <f t="shared" si="8"/>
        <v>35</v>
      </c>
      <c r="F26" s="152">
        <f t="shared" si="10"/>
        <v>60.621778264910702</v>
      </c>
      <c r="G26" s="103"/>
      <c r="H26" s="137"/>
      <c r="I26" s="137"/>
      <c r="J26" s="103"/>
      <c r="K26" s="137"/>
      <c r="L26" s="137"/>
      <c r="M26" s="103"/>
      <c r="N26" s="137"/>
      <c r="O26" s="137"/>
      <c r="P26" s="103"/>
      <c r="Q26" s="137"/>
      <c r="R26" s="137"/>
      <c r="S26" s="103"/>
    </row>
    <row r="27" spans="3:19" x14ac:dyDescent="0.25">
      <c r="C27" s="145" t="s">
        <v>26</v>
      </c>
      <c r="D27" s="129" t="str">
        <f t="shared" si="9"/>
        <v>BLANK-S0-P0-Day20:PFOS</v>
      </c>
      <c r="E27" s="137">
        <f t="shared" si="8"/>
        <v>0</v>
      </c>
      <c r="F27" s="152">
        <f t="shared" si="10"/>
        <v>0</v>
      </c>
      <c r="G27" s="103"/>
      <c r="H27" s="137"/>
      <c r="I27" s="137"/>
      <c r="J27" s="103"/>
      <c r="K27" s="137"/>
      <c r="L27" s="137"/>
      <c r="M27" s="103"/>
      <c r="N27" s="137"/>
      <c r="O27" s="137"/>
      <c r="P27" s="103"/>
      <c r="Q27" s="137"/>
      <c r="R27" s="137"/>
      <c r="S27" s="103"/>
    </row>
    <row r="28" spans="3:19" ht="15.75" thickBot="1" x14ac:dyDescent="0.3">
      <c r="C28" s="146" t="s">
        <v>27</v>
      </c>
      <c r="D28" s="131" t="str">
        <f t="shared" si="9"/>
        <v>BLANK-S0-P0-Day20:8:2FTS</v>
      </c>
      <c r="E28" s="139">
        <f t="shared" si="8"/>
        <v>48.766666666666673</v>
      </c>
      <c r="F28" s="153">
        <f t="shared" si="10"/>
        <v>7.1451615330468794</v>
      </c>
      <c r="G28" s="103"/>
      <c r="H28" s="137"/>
      <c r="I28" s="137"/>
      <c r="J28" s="103"/>
      <c r="K28" s="137"/>
      <c r="L28" s="137"/>
      <c r="M28" s="103"/>
      <c r="N28" s="137"/>
      <c r="O28" s="137"/>
      <c r="P28" s="103"/>
      <c r="Q28" s="137"/>
      <c r="R28" s="137"/>
      <c r="S28" s="103"/>
    </row>
    <row r="29" spans="3:19" x14ac:dyDescent="0.25">
      <c r="C29" s="147" t="s">
        <v>22</v>
      </c>
      <c r="D29" s="133" t="str">
        <f>G$3&amp;":"&amp;$C29</f>
        <v>PFAS-S0-P10-Day20:PFHxA</v>
      </c>
      <c r="E29" s="135">
        <f t="shared" ref="E29:E34" si="11">AVERAGE(G15:I15)</f>
        <v>15400</v>
      </c>
      <c r="F29" s="151">
        <f t="shared" ref="F29:F34" si="12">STDEV(G15:I15)</f>
        <v>100</v>
      </c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</row>
    <row r="30" spans="3:19" x14ac:dyDescent="0.25">
      <c r="C30" s="145" t="s">
        <v>23</v>
      </c>
      <c r="D30" s="129" t="str">
        <f t="shared" ref="D30:D34" si="13">G$3&amp;":"&amp;$C30</f>
        <v>PFAS-S0-P10-Day20:PFOA</v>
      </c>
      <c r="E30" s="137">
        <f t="shared" si="11"/>
        <v>7883.333333333333</v>
      </c>
      <c r="F30" s="152">
        <f t="shared" si="12"/>
        <v>816.35368152127126</v>
      </c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</row>
    <row r="31" spans="3:19" x14ac:dyDescent="0.25">
      <c r="C31" s="145" t="s">
        <v>24</v>
      </c>
      <c r="D31" s="129" t="str">
        <f t="shared" si="13"/>
        <v>PFAS-S0-P10-Day20:PFNA</v>
      </c>
      <c r="E31" s="137">
        <f t="shared" si="11"/>
        <v>6810</v>
      </c>
      <c r="F31" s="152">
        <f t="shared" si="12"/>
        <v>455.08241011931017</v>
      </c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</row>
    <row r="32" spans="3:19" x14ac:dyDescent="0.25">
      <c r="C32" s="145" t="s">
        <v>25</v>
      </c>
      <c r="D32" s="129" t="str">
        <f t="shared" si="13"/>
        <v>PFAS-S0-P10-Day20:PFBS</v>
      </c>
      <c r="E32" s="137">
        <f t="shared" si="11"/>
        <v>20633.333333333332</v>
      </c>
      <c r="F32" s="152">
        <f t="shared" si="12"/>
        <v>2042.8737928059415</v>
      </c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</row>
    <row r="33" spans="3:19" x14ac:dyDescent="0.25">
      <c r="C33" s="145" t="s">
        <v>26</v>
      </c>
      <c r="D33" s="129" t="str">
        <f t="shared" si="13"/>
        <v>PFAS-S0-P10-Day20:PFOS</v>
      </c>
      <c r="E33" s="137">
        <f t="shared" si="11"/>
        <v>7693.333333333333</v>
      </c>
      <c r="F33" s="152">
        <f t="shared" si="12"/>
        <v>433.16663460305125</v>
      </c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</row>
    <row r="34" spans="3:19" ht="15.75" thickBot="1" x14ac:dyDescent="0.3">
      <c r="C34" s="146" t="s">
        <v>27</v>
      </c>
      <c r="D34" s="131" t="str">
        <f t="shared" si="13"/>
        <v>PFAS-S0-P10-Day20:8:2FTS</v>
      </c>
      <c r="E34" s="139">
        <f t="shared" si="11"/>
        <v>7063.333333333333</v>
      </c>
      <c r="F34" s="153">
        <f t="shared" si="12"/>
        <v>2331.7446972885623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</row>
    <row r="35" spans="3:19" x14ac:dyDescent="0.25">
      <c r="C35" s="147" t="s">
        <v>22</v>
      </c>
      <c r="D35" s="133" t="str">
        <f>J$3&amp;":"&amp;$C35</f>
        <v>PFAS-S0-P50-Day20:PFHxA</v>
      </c>
      <c r="E35" s="135">
        <f t="shared" ref="E35:E40" si="14">AVERAGE(J15:L15)</f>
        <v>47500</v>
      </c>
      <c r="F35" s="151">
        <f t="shared" ref="F35:F40" si="15">STDEV(J15:L15)</f>
        <v>1562.049935181331</v>
      </c>
    </row>
    <row r="36" spans="3:19" x14ac:dyDescent="0.25">
      <c r="C36" s="145" t="s">
        <v>23</v>
      </c>
      <c r="D36" s="129" t="str">
        <f t="shared" ref="D36:D40" si="16">J$3&amp;":"&amp;$C36</f>
        <v>PFAS-S0-P50-Day20:PFOA</v>
      </c>
      <c r="E36" s="137">
        <f t="shared" si="14"/>
        <v>26566.666666666668</v>
      </c>
      <c r="F36" s="152">
        <f t="shared" si="15"/>
        <v>1484.3629385474878</v>
      </c>
    </row>
    <row r="37" spans="3:19" x14ac:dyDescent="0.25">
      <c r="C37" s="145" t="s">
        <v>24</v>
      </c>
      <c r="D37" s="129" t="str">
        <f t="shared" si="16"/>
        <v>PFAS-S0-P50-Day20:PFNA</v>
      </c>
      <c r="E37" s="137">
        <f t="shared" si="14"/>
        <v>23000</v>
      </c>
      <c r="F37" s="152">
        <f t="shared" si="15"/>
        <v>1664.3316977093239</v>
      </c>
    </row>
    <row r="38" spans="3:19" x14ac:dyDescent="0.25">
      <c r="C38" s="145" t="s">
        <v>25</v>
      </c>
      <c r="D38" s="129" t="str">
        <f t="shared" si="16"/>
        <v>PFAS-S0-P50-Day20:PFBS</v>
      </c>
      <c r="E38" s="137">
        <f t="shared" si="14"/>
        <v>59166.666666666664</v>
      </c>
      <c r="F38" s="152">
        <f t="shared" si="15"/>
        <v>3868.2468035704924</v>
      </c>
    </row>
    <row r="39" spans="3:19" x14ac:dyDescent="0.25">
      <c r="C39" s="145" t="s">
        <v>26</v>
      </c>
      <c r="D39" s="129" t="str">
        <f t="shared" si="16"/>
        <v>PFAS-S0-P50-Day20:PFOS</v>
      </c>
      <c r="E39" s="137">
        <f t="shared" si="14"/>
        <v>26700</v>
      </c>
      <c r="F39" s="152">
        <f t="shared" si="15"/>
        <v>1907.8784028338912</v>
      </c>
    </row>
    <row r="40" spans="3:19" ht="15.75" thickBot="1" x14ac:dyDescent="0.3">
      <c r="C40" s="146" t="s">
        <v>27</v>
      </c>
      <c r="D40" s="131" t="str">
        <f t="shared" si="16"/>
        <v>PFAS-S0-P50-Day20:8:2FTS</v>
      </c>
      <c r="E40" s="139">
        <f t="shared" si="14"/>
        <v>23200</v>
      </c>
      <c r="F40" s="153">
        <f t="shared" si="15"/>
        <v>2463.7369989509839</v>
      </c>
    </row>
    <row r="41" spans="3:19" x14ac:dyDescent="0.25">
      <c r="C41" s="147" t="s">
        <v>22</v>
      </c>
      <c r="D41" s="133" t="str">
        <f>M$3&amp;":"&amp;$C41</f>
        <v>PFAS-S0-P100-Day20:PFHxA</v>
      </c>
      <c r="E41" s="135">
        <f t="shared" ref="E41:E46" si="17">AVERAGE(M15:O15)</f>
        <v>120000</v>
      </c>
      <c r="F41" s="151">
        <f t="shared" ref="F41:F46" si="18">STDEV(M15:O15)</f>
        <v>19519.221295943134</v>
      </c>
    </row>
    <row r="42" spans="3:19" x14ac:dyDescent="0.25">
      <c r="C42" s="145" t="s">
        <v>23</v>
      </c>
      <c r="D42" s="129" t="str">
        <f t="shared" ref="D42:D46" si="19">M$3&amp;":"&amp;$C42</f>
        <v>PFAS-S0-P100-Day20:PFOA</v>
      </c>
      <c r="E42" s="137">
        <f t="shared" si="17"/>
        <v>62800</v>
      </c>
      <c r="F42" s="152">
        <f t="shared" si="18"/>
        <v>2128.379665379276</v>
      </c>
    </row>
    <row r="43" spans="3:19" x14ac:dyDescent="0.25">
      <c r="C43" s="145" t="s">
        <v>24</v>
      </c>
      <c r="D43" s="129" t="str">
        <f t="shared" si="19"/>
        <v>PFAS-S0-P100-Day20:PFNA</v>
      </c>
      <c r="E43" s="137">
        <f t="shared" si="17"/>
        <v>55200</v>
      </c>
      <c r="F43" s="152">
        <f t="shared" si="18"/>
        <v>5267.8268764263694</v>
      </c>
    </row>
    <row r="44" spans="3:19" x14ac:dyDescent="0.25">
      <c r="C44" s="145" t="s">
        <v>25</v>
      </c>
      <c r="D44" s="129" t="str">
        <f t="shared" si="19"/>
        <v>PFAS-S0-P100-Day20:PFBS</v>
      </c>
      <c r="E44" s="137">
        <f t="shared" si="17"/>
        <v>143000</v>
      </c>
      <c r="F44" s="152">
        <f t="shared" si="18"/>
        <v>15132.745950421557</v>
      </c>
    </row>
    <row r="45" spans="3:19" x14ac:dyDescent="0.25">
      <c r="C45" s="145" t="s">
        <v>26</v>
      </c>
      <c r="D45" s="129" t="str">
        <f t="shared" si="19"/>
        <v>PFAS-S0-P100-Day20:PFOS</v>
      </c>
      <c r="E45" s="137">
        <f t="shared" si="17"/>
        <v>58800</v>
      </c>
      <c r="F45" s="152">
        <f t="shared" si="18"/>
        <v>11269.427669584646</v>
      </c>
    </row>
    <row r="46" spans="3:19" ht="15.75" thickBot="1" x14ac:dyDescent="0.3">
      <c r="C46" s="146" t="s">
        <v>27</v>
      </c>
      <c r="D46" s="131" t="str">
        <f t="shared" si="19"/>
        <v>PFAS-S0-P100-Day20:8:2FTS</v>
      </c>
      <c r="E46" s="139">
        <f t="shared" si="17"/>
        <v>47333.333333333336</v>
      </c>
      <c r="F46" s="153">
        <f t="shared" si="18"/>
        <v>7464.8063158620189</v>
      </c>
    </row>
    <row r="47" spans="3:19" x14ac:dyDescent="0.25">
      <c r="C47" s="147" t="s">
        <v>22</v>
      </c>
      <c r="D47" s="133" t="str">
        <f>P$3&amp;":"&amp;$C47</f>
        <v>PFAS-S0-P500-Day20:PFHxA</v>
      </c>
      <c r="E47" s="135">
        <f t="shared" ref="E47:E52" si="20">AVERAGE(P15:R15)</f>
        <v>711000</v>
      </c>
      <c r="F47" s="151">
        <f t="shared" ref="F47:F52" si="21">STDEV(P15:R15)</f>
        <v>113260.76107814215</v>
      </c>
    </row>
    <row r="48" spans="3:19" x14ac:dyDescent="0.25">
      <c r="C48" s="145" t="s">
        <v>23</v>
      </c>
      <c r="D48" s="129" t="str">
        <f t="shared" ref="D48:D52" si="22">P$3&amp;":"&amp;$C48</f>
        <v>PFAS-S0-P500-Day20:PFOA</v>
      </c>
      <c r="E48" s="137">
        <f t="shared" si="20"/>
        <v>467000</v>
      </c>
      <c r="F48" s="152">
        <f t="shared" si="21"/>
        <v>26153.393661244041</v>
      </c>
    </row>
    <row r="49" spans="3:6" x14ac:dyDescent="0.25">
      <c r="C49" s="145" t="s">
        <v>24</v>
      </c>
      <c r="D49" s="129" t="str">
        <f t="shared" si="22"/>
        <v>PFAS-S0-P500-Day20:PFNA</v>
      </c>
      <c r="E49" s="137">
        <f t="shared" si="20"/>
        <v>373000</v>
      </c>
      <c r="F49" s="152">
        <f t="shared" si="21"/>
        <v>90835.0152749478</v>
      </c>
    </row>
    <row r="50" spans="3:6" x14ac:dyDescent="0.25">
      <c r="C50" s="145" t="s">
        <v>25</v>
      </c>
      <c r="D50" s="129" t="str">
        <f t="shared" si="22"/>
        <v>PFAS-S0-P500-Day20:PFBS</v>
      </c>
      <c r="E50" s="137">
        <f t="shared" si="20"/>
        <v>867000</v>
      </c>
      <c r="F50" s="152">
        <f t="shared" si="21"/>
        <v>67089.492470878031</v>
      </c>
    </row>
    <row r="51" spans="3:6" x14ac:dyDescent="0.25">
      <c r="C51" s="145" t="s">
        <v>26</v>
      </c>
      <c r="D51" s="129" t="str">
        <f t="shared" si="22"/>
        <v>PFAS-S0-P500-Day20:PFOS</v>
      </c>
      <c r="E51" s="137">
        <f t="shared" si="20"/>
        <v>400000</v>
      </c>
      <c r="F51" s="152">
        <f t="shared" si="21"/>
        <v>32924.155266308655</v>
      </c>
    </row>
    <row r="52" spans="3:6" ht="15.75" thickBot="1" x14ac:dyDescent="0.3">
      <c r="C52" s="146" t="s">
        <v>27</v>
      </c>
      <c r="D52" s="131" t="str">
        <f t="shared" si="22"/>
        <v>PFAS-S0-P500-Day20:8:2FTS</v>
      </c>
      <c r="E52" s="139">
        <f t="shared" si="20"/>
        <v>454333.33333333331</v>
      </c>
      <c r="F52" s="153">
        <f t="shared" si="21"/>
        <v>150027.77520623745</v>
      </c>
    </row>
  </sheetData>
  <mergeCells count="2">
    <mergeCell ref="C14:R14"/>
    <mergeCell ref="C7:Q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02DD-F9D7-4C5A-8296-6D8CE584203D}">
  <sheetPr>
    <tabColor theme="4" tint="0.59999389629810485"/>
  </sheetPr>
  <dimension ref="A1:BY132"/>
  <sheetViews>
    <sheetView tabSelected="1" topLeftCell="A22" zoomScaleNormal="100" workbookViewId="0">
      <selection activeCell="N54" sqref="N54"/>
    </sheetView>
  </sheetViews>
  <sheetFormatPr defaultRowHeight="15" x14ac:dyDescent="0.25"/>
  <cols>
    <col min="1" max="1" width="19" customWidth="1"/>
    <col min="2" max="2" width="4.85546875" customWidth="1"/>
    <col min="3" max="3" width="22.7109375" customWidth="1"/>
    <col min="4" max="18" width="13.42578125" customWidth="1"/>
    <col min="20" max="20" width="12.28515625" bestFit="1" customWidth="1"/>
    <col min="21" max="21" width="11.28515625" bestFit="1" customWidth="1"/>
    <col min="23" max="23" width="12.85546875" bestFit="1" customWidth="1"/>
    <col min="24" max="24" width="10.140625" customWidth="1"/>
    <col min="25" max="25" width="9.28515625" bestFit="1" customWidth="1"/>
    <col min="26" max="26" width="9.7109375" customWidth="1"/>
    <col min="27" max="27" width="13.42578125" bestFit="1" customWidth="1"/>
    <col min="29" max="29" width="9.28515625" customWidth="1"/>
    <col min="34" max="34" width="10" customWidth="1"/>
  </cols>
  <sheetData>
    <row r="1" spans="1:77" ht="15.75" thickBot="1" x14ac:dyDescent="0.3"/>
    <row r="2" spans="1:77" ht="45.75" thickBot="1" x14ac:dyDescent="0.3">
      <c r="C2" s="133" t="s">
        <v>1263</v>
      </c>
      <c r="D2" s="246" t="s">
        <v>1063</v>
      </c>
      <c r="E2" s="247" t="s">
        <v>1064</v>
      </c>
      <c r="F2" s="248" t="s">
        <v>1065</v>
      </c>
      <c r="G2" s="246" t="s">
        <v>1066</v>
      </c>
      <c r="H2" s="247" t="s">
        <v>1067</v>
      </c>
      <c r="I2" s="248" t="s">
        <v>1068</v>
      </c>
      <c r="J2" s="246" t="s">
        <v>1069</v>
      </c>
      <c r="K2" s="247" t="s">
        <v>1070</v>
      </c>
      <c r="L2" s="248" t="s">
        <v>1071</v>
      </c>
      <c r="M2" s="246" t="s">
        <v>1096</v>
      </c>
      <c r="N2" s="247" t="s">
        <v>1097</v>
      </c>
      <c r="O2" s="247" t="s">
        <v>1098</v>
      </c>
      <c r="P2" s="246" t="s">
        <v>1099</v>
      </c>
      <c r="Q2" s="247" t="s">
        <v>1100</v>
      </c>
      <c r="R2" s="248" t="s">
        <v>1101</v>
      </c>
      <c r="S2" s="11"/>
      <c r="T2" s="14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</row>
    <row r="3" spans="1:77" x14ac:dyDescent="0.25">
      <c r="C3" s="175" t="s">
        <v>1268</v>
      </c>
      <c r="D3" s="155" t="str">
        <f>VLOOKUP(D2,'All data'!$F:$G,2,FALSE)</f>
        <v>HSM+BM1(1:1)-S50-P0-Day20</v>
      </c>
      <c r="E3" s="156"/>
      <c r="F3" s="157"/>
      <c r="G3" s="155" t="str">
        <f>VLOOKUP(G2,'All data'!$F:$G,2,FALSE)</f>
        <v>HSM+BM1(1:1)-S50-P10-Day20</v>
      </c>
      <c r="H3" s="156"/>
      <c r="I3" s="157"/>
      <c r="J3" s="155" t="str">
        <f>VLOOKUP(J2,'All data'!$F:$G,2,FALSE)</f>
        <v>HSM+BM1(1:1)-S50-P50-Day20</v>
      </c>
      <c r="K3" s="156"/>
      <c r="L3" s="157"/>
      <c r="M3" s="155" t="str">
        <f>VLOOKUP(M2,'All data'!$F:$G,2,FALSE)</f>
        <v>HSM+BM1(1:1)-S50-P100-Day20</v>
      </c>
      <c r="N3" s="156"/>
      <c r="O3" s="156"/>
      <c r="P3" s="155" t="str">
        <f>VLOOKUP(P2,'All data'!$F:$G,2,FALSE)</f>
        <v>HSM+BM1(1:1)-S50-P500-Day20</v>
      </c>
      <c r="Q3" s="156"/>
      <c r="R3" s="157"/>
      <c r="S3" s="11"/>
      <c r="T3" s="14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</row>
    <row r="4" spans="1:77" x14ac:dyDescent="0.25">
      <c r="C4" s="142" t="s">
        <v>244</v>
      </c>
      <c r="D4" s="172" t="str">
        <f>VLOOKUP(D2,'All data'!$F:$M,4,FALSE)</f>
        <v>HSM+BM1(1:1)</v>
      </c>
      <c r="E4" s="173" t="str">
        <f>VLOOKUP(E2,'All data'!$F:$M,4,FALSE)</f>
        <v>HSM+BM1(1:1)</v>
      </c>
      <c r="F4" s="174" t="str">
        <f>VLOOKUP(F2,'All data'!$F:$M,4,FALSE)</f>
        <v>HSM+BM1(1:1)</v>
      </c>
      <c r="G4" s="172" t="str">
        <f>VLOOKUP(G2,'All data'!$F:$M,4,FALSE)</f>
        <v>HSM+BM1(1:1)</v>
      </c>
      <c r="H4" s="173" t="str">
        <f>VLOOKUP(H2,'All data'!$F:$M,4,FALSE)</f>
        <v>HSM+BM1(1:1)</v>
      </c>
      <c r="I4" s="174" t="str">
        <f>VLOOKUP(I2,'All data'!$F:$M,4,FALSE)</f>
        <v>HSM+BM1(1:1)</v>
      </c>
      <c r="J4" s="172" t="str">
        <f>VLOOKUP(J2,'All data'!$F:$M,4,FALSE)</f>
        <v>HSM+BM1(1:1)</v>
      </c>
      <c r="K4" s="173" t="str">
        <f>VLOOKUP(K2,'All data'!$F:$M,4,FALSE)</f>
        <v>HSM+BM1(1:1)</v>
      </c>
      <c r="L4" s="174" t="str">
        <f>VLOOKUP(L2,'All data'!$F:$M,4,FALSE)</f>
        <v>HSM+BM1(1:1)</v>
      </c>
      <c r="M4" s="172" t="str">
        <f>VLOOKUP(M2,'All data'!$F:$M,4,FALSE)</f>
        <v>HSM+BM1(1:1)</v>
      </c>
      <c r="N4" s="173" t="str">
        <f>VLOOKUP(N2,'All data'!$F:$M,4,FALSE)</f>
        <v>HSM+BM1(1:1)</v>
      </c>
      <c r="O4" s="173" t="str">
        <f>VLOOKUP(O2,'All data'!$F:$M,4,FALSE)</f>
        <v>HSM+BM1(1:1)</v>
      </c>
      <c r="P4" s="172" t="str">
        <f>VLOOKUP(P2,'All data'!$F:$M,4,FALSE)</f>
        <v>HSM+BM1(1:1)</v>
      </c>
      <c r="Q4" s="173" t="str">
        <f>VLOOKUP(Q2,'All data'!$F:$M,4,FALSE)</f>
        <v>HSM+BM1(1:1)</v>
      </c>
      <c r="R4" s="174" t="str">
        <f>VLOOKUP(R2,'All data'!$F:$M,4,FALSE)</f>
        <v>HSM+BM1(1:1)</v>
      </c>
      <c r="T4" s="141"/>
    </row>
    <row r="5" spans="1:77" x14ac:dyDescent="0.25">
      <c r="C5" s="142" t="s">
        <v>240</v>
      </c>
      <c r="D5" s="172">
        <f>VLOOKUP(D2,'All data'!$F:$M,5,FALSE)</f>
        <v>50</v>
      </c>
      <c r="E5" s="173">
        <f>VLOOKUP(E2,'All data'!$F:$M,5,FALSE)</f>
        <v>50</v>
      </c>
      <c r="F5" s="174">
        <f>VLOOKUP(F2,'All data'!$F:$M,5,FALSE)</f>
        <v>50</v>
      </c>
      <c r="G5" s="172">
        <f>VLOOKUP(G2,'All data'!$F:$M,5,FALSE)</f>
        <v>50</v>
      </c>
      <c r="H5" s="173">
        <f>VLOOKUP(H2,'All data'!$F:$M,5,FALSE)</f>
        <v>50</v>
      </c>
      <c r="I5" s="174">
        <f>VLOOKUP(I2,'All data'!$F:$M,5,FALSE)</f>
        <v>50</v>
      </c>
      <c r="J5" s="172">
        <f>VLOOKUP(J2,'All data'!$F:$M,5,FALSE)</f>
        <v>50</v>
      </c>
      <c r="K5" s="173">
        <f>VLOOKUP(K2,'All data'!$F:$M,5,FALSE)</f>
        <v>50</v>
      </c>
      <c r="L5" s="174">
        <f>VLOOKUP(L2,'All data'!$F:$M,5,FALSE)</f>
        <v>50</v>
      </c>
      <c r="M5" s="172">
        <f>VLOOKUP(M2,'All data'!$F:$M,5,FALSE)</f>
        <v>50</v>
      </c>
      <c r="N5" s="173">
        <f>VLOOKUP(N2,'All data'!$F:$M,5,FALSE)</f>
        <v>50</v>
      </c>
      <c r="O5" s="173">
        <f>VLOOKUP(O2,'All data'!$F:$M,5,FALSE)</f>
        <v>50</v>
      </c>
      <c r="P5" s="172">
        <f>VLOOKUP(P2,'All data'!$F:$M,5,FALSE)</f>
        <v>50</v>
      </c>
      <c r="Q5" s="173">
        <f>VLOOKUP(Q2,'All data'!$F:$M,5,FALSE)</f>
        <v>50</v>
      </c>
      <c r="R5" s="174">
        <f>VLOOKUP(R2,'All data'!$F:$M,5,FALSE)</f>
        <v>50</v>
      </c>
      <c r="T5" s="141"/>
    </row>
    <row r="6" spans="1:77" ht="15.75" thickBot="1" x14ac:dyDescent="0.3">
      <c r="C6" s="143" t="s">
        <v>1277</v>
      </c>
      <c r="D6" s="179">
        <f>VLOOKUP(D2,'All data'!$F:$M,6,FALSE)</f>
        <v>0</v>
      </c>
      <c r="E6" s="180">
        <f>VLOOKUP(E2,'All data'!$F:$M,6,FALSE)</f>
        <v>0</v>
      </c>
      <c r="F6" s="181">
        <f>VLOOKUP(F2,'All data'!$F:$M,6,FALSE)</f>
        <v>0</v>
      </c>
      <c r="G6" s="182">
        <f>VLOOKUP(G2,'All data'!$F:$M,6,FALSE)</f>
        <v>10</v>
      </c>
      <c r="H6" s="183">
        <f>VLOOKUP(H2,'All data'!$F:$M,6,FALSE)</f>
        <v>10</v>
      </c>
      <c r="I6" s="184">
        <f>VLOOKUP(I2,'All data'!$F:$M,6,FALSE)</f>
        <v>10</v>
      </c>
      <c r="J6" s="185">
        <f>VLOOKUP(J2,'All data'!$F:$M,6,FALSE)</f>
        <v>50</v>
      </c>
      <c r="K6" s="186">
        <f>VLOOKUP(K2,'All data'!$F:$M,6,FALSE)</f>
        <v>50</v>
      </c>
      <c r="L6" s="187">
        <f>VLOOKUP(L2,'All data'!$F:$M,6,FALSE)</f>
        <v>50</v>
      </c>
      <c r="M6" s="188">
        <f>VLOOKUP(M2,'All data'!$F:$M,6,FALSE)</f>
        <v>100</v>
      </c>
      <c r="N6" s="189">
        <f>VLOOKUP(N2,'All data'!$F:$M,6,FALSE)</f>
        <v>100</v>
      </c>
      <c r="O6" s="189">
        <f>VLOOKUP(O2,'All data'!$F:$M,6,FALSE)</f>
        <v>100</v>
      </c>
      <c r="P6" s="190">
        <f>VLOOKUP(P2,'All data'!$F:$M,6,FALSE)</f>
        <v>500</v>
      </c>
      <c r="Q6" s="191">
        <f>VLOOKUP(Q2,'All data'!$F:$M,6,FALSE)</f>
        <v>500</v>
      </c>
      <c r="R6" s="192">
        <f>VLOOKUP(R2,'All data'!$F:$M,6,FALSE)</f>
        <v>500</v>
      </c>
      <c r="T6" s="141"/>
    </row>
    <row r="7" spans="1:77" ht="19.5" thickBot="1" x14ac:dyDescent="0.35">
      <c r="C7" s="265" t="s">
        <v>1267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130"/>
      <c r="T7" s="141"/>
    </row>
    <row r="8" spans="1:77" x14ac:dyDescent="0.25">
      <c r="A8" s="266" t="s">
        <v>1267</v>
      </c>
      <c r="C8" s="144" t="s">
        <v>22</v>
      </c>
      <c r="D8" s="171" t="str">
        <f>VLOOKUP(D$2&amp;":"&amp;$C8,'All data'!$E:$P,12,FALSE)</f>
        <v>38.8</v>
      </c>
      <c r="E8" s="135" t="str">
        <f>VLOOKUP(E$2&amp;":"&amp;$C8,'All data'!$E:$P,12,FALSE)</f>
        <v>30.7</v>
      </c>
      <c r="F8" s="136" t="str">
        <f>VLOOKUP(F$2&amp;":"&amp;$C8,'All data'!$E:$P,12,FALSE)</f>
        <v>32.9</v>
      </c>
      <c r="G8" s="171" t="str">
        <f>VLOOKUP(G$2&amp;":"&amp;$C8,'All data'!$E:$P,12,FALSE)</f>
        <v>14300</v>
      </c>
      <c r="H8" s="135" t="str">
        <f>VLOOKUP(H$2&amp;":"&amp;$C8,'All data'!$E:$P,12,FALSE)</f>
        <v>18500</v>
      </c>
      <c r="I8" s="136" t="str">
        <f>VLOOKUP(I$2&amp;":"&amp;$C8,'All data'!$E:$P,12,FALSE)</f>
        <v>13300</v>
      </c>
      <c r="J8" s="171" t="str">
        <f>VLOOKUP(J$2&amp;":"&amp;$C8,'All data'!$E:$P,12,FALSE)</f>
        <v>50400</v>
      </c>
      <c r="K8" s="135" t="str">
        <f>VLOOKUP(K$2&amp;":"&amp;$C8,'All data'!$E:$P,12,FALSE)</f>
        <v>55600</v>
      </c>
      <c r="L8" s="136" t="str">
        <f>VLOOKUP(L$2&amp;":"&amp;$C8,'All data'!$E:$P,12,FALSE)</f>
        <v>65000</v>
      </c>
      <c r="M8" s="171" t="str">
        <f>VLOOKUP(M$2&amp;":"&amp;$C8,'All data'!$E:$P,12,FALSE)</f>
        <v>149000</v>
      </c>
      <c r="N8" s="135" t="str">
        <f>VLOOKUP(N$2&amp;":"&amp;$C8,'All data'!$E:$P,12,FALSE)</f>
        <v>145000</v>
      </c>
      <c r="O8" s="254" t="str">
        <f>VLOOKUP(O$2&amp;":"&amp;$C8,'All data'!$E:$P,12,FALSE)</f>
        <v>271000</v>
      </c>
      <c r="P8" s="135" t="str">
        <f>VLOOKUP(P$2&amp;":"&amp;$C8,'All data'!$E:$P,12,FALSE)</f>
        <v>882000</v>
      </c>
      <c r="Q8" s="135" t="str">
        <f>VLOOKUP(Q$2&amp;":"&amp;$C8,'All data'!$E:$P,12,FALSE)</f>
        <v>1170000</v>
      </c>
      <c r="R8" s="136" t="str">
        <f>VLOOKUP(R$2&amp;":"&amp;$C8,'All data'!$E:$P,12,FALSE)</f>
        <v>716000</v>
      </c>
      <c r="T8" s="141"/>
    </row>
    <row r="9" spans="1:77" x14ac:dyDescent="0.25">
      <c r="A9" s="266"/>
      <c r="C9" s="145" t="s">
        <v>23</v>
      </c>
      <c r="D9" s="160">
        <f>VLOOKUP(D$2&amp;":"&amp;$C9,'All data'!$E:$P,12,FALSE)</f>
        <v>0</v>
      </c>
      <c r="E9" s="137">
        <f>VLOOKUP(E$2&amp;":"&amp;$C9,'All data'!$E:$P,12,FALSE)</f>
        <v>0</v>
      </c>
      <c r="F9" s="138">
        <f>VLOOKUP(F$2&amp;":"&amp;$C9,'All data'!$E:$P,12,FALSE)</f>
        <v>0</v>
      </c>
      <c r="G9" s="160" t="str">
        <f>VLOOKUP(G$2&amp;":"&amp;$C9,'All data'!$E:$P,12,FALSE)</f>
        <v>5480</v>
      </c>
      <c r="H9" s="137" t="str">
        <f>VLOOKUP(H$2&amp;":"&amp;$C9,'All data'!$E:$P,12,FALSE)</f>
        <v>9050</v>
      </c>
      <c r="I9" s="138" t="str">
        <f>VLOOKUP(I$2&amp;":"&amp;$C9,'All data'!$E:$P,12,FALSE)</f>
        <v>7090</v>
      </c>
      <c r="J9" s="160" t="str">
        <f>VLOOKUP(J$2&amp;":"&amp;$C9,'All data'!$E:$P,12,FALSE)</f>
        <v>26700</v>
      </c>
      <c r="K9" s="137" t="str">
        <f>VLOOKUP(K$2&amp;":"&amp;$C9,'All data'!$E:$P,12,FALSE)</f>
        <v>23200</v>
      </c>
      <c r="L9" s="138" t="str">
        <f>VLOOKUP(L$2&amp;":"&amp;$C9,'All data'!$E:$P,12,FALSE)</f>
        <v>26600</v>
      </c>
      <c r="M9" s="160" t="str">
        <f>VLOOKUP(M$2&amp;":"&amp;$C9,'All data'!$E:$P,12,FALSE)</f>
        <v>60400</v>
      </c>
      <c r="N9" s="137" t="str">
        <f>VLOOKUP(N$2&amp;":"&amp;$C9,'All data'!$E:$P,12,FALSE)</f>
        <v>62200</v>
      </c>
      <c r="O9" s="255" t="str">
        <f>VLOOKUP(O$2&amp;":"&amp;$C9,'All data'!$E:$P,12,FALSE)</f>
        <v>99800</v>
      </c>
      <c r="P9" s="137" t="str">
        <f>VLOOKUP(P$2&amp;":"&amp;$C9,'All data'!$E:$P,12,FALSE)</f>
        <v>347000</v>
      </c>
      <c r="Q9" s="137" t="str">
        <f>VLOOKUP(Q$2&amp;":"&amp;$C9,'All data'!$E:$P,12,FALSE)</f>
        <v>406000</v>
      </c>
      <c r="R9" s="138" t="str">
        <f>VLOOKUP(R$2&amp;":"&amp;$C9,'All data'!$E:$P,12,FALSE)</f>
        <v>369000</v>
      </c>
      <c r="T9" s="141"/>
    </row>
    <row r="10" spans="1:77" x14ac:dyDescent="0.25">
      <c r="A10" s="266"/>
      <c r="C10" s="145" t="s">
        <v>24</v>
      </c>
      <c r="D10" s="160">
        <f>VLOOKUP(D$2&amp;":"&amp;$C10,'All data'!$E:$P,12,FALSE)</f>
        <v>0</v>
      </c>
      <c r="E10" s="137">
        <f>VLOOKUP(E$2&amp;":"&amp;$C10,'All data'!$E:$P,12,FALSE)</f>
        <v>0</v>
      </c>
      <c r="F10" s="138">
        <f>VLOOKUP(F$2&amp;":"&amp;$C10,'All data'!$E:$P,12,FALSE)</f>
        <v>0</v>
      </c>
      <c r="G10" s="160" t="str">
        <f>VLOOKUP(G$2&amp;":"&amp;$C10,'All data'!$E:$P,12,FALSE)</f>
        <v>2900</v>
      </c>
      <c r="H10" s="137" t="str">
        <f>VLOOKUP(H$2&amp;":"&amp;$C10,'All data'!$E:$P,12,FALSE)</f>
        <v>5330</v>
      </c>
      <c r="I10" s="138" t="str">
        <f>VLOOKUP(I$2&amp;":"&amp;$C10,'All data'!$E:$P,12,FALSE)</f>
        <v>4870</v>
      </c>
      <c r="J10" s="160" t="str">
        <f>VLOOKUP(J$2&amp;":"&amp;$C10,'All data'!$E:$P,12,FALSE)</f>
        <v>22100</v>
      </c>
      <c r="K10" s="137" t="str">
        <f>VLOOKUP(K$2&amp;":"&amp;$C10,'All data'!$E:$P,12,FALSE)</f>
        <v>15300</v>
      </c>
      <c r="L10" s="138" t="str">
        <f>VLOOKUP(L$2&amp;":"&amp;$C10,'All data'!$E:$P,12,FALSE)</f>
        <v>17200</v>
      </c>
      <c r="M10" s="160" t="str">
        <f>VLOOKUP(M$2&amp;":"&amp;$C10,'All data'!$E:$P,12,FALSE)</f>
        <v>35000</v>
      </c>
      <c r="N10" s="137" t="str">
        <f>VLOOKUP(N$2&amp;":"&amp;$C10,'All data'!$E:$P,12,FALSE)</f>
        <v>35600</v>
      </c>
      <c r="O10" s="255" t="str">
        <f>VLOOKUP(O$2&amp;":"&amp;$C10,'All data'!$E:$P,12,FALSE)</f>
        <v>52000</v>
      </c>
      <c r="P10" s="137" t="str">
        <f>VLOOKUP(P$2&amp;":"&amp;$C10,'All data'!$E:$P,12,FALSE)</f>
        <v>217000</v>
      </c>
      <c r="Q10" s="137" t="str">
        <f>VLOOKUP(Q$2&amp;":"&amp;$C10,'All data'!$E:$P,12,FALSE)</f>
        <v>279000</v>
      </c>
      <c r="R10" s="138" t="str">
        <f>VLOOKUP(R$2&amp;":"&amp;$C10,'All data'!$E:$P,12,FALSE)</f>
        <v>206000</v>
      </c>
      <c r="T10" s="141"/>
    </row>
    <row r="11" spans="1:77" x14ac:dyDescent="0.25">
      <c r="A11" s="266"/>
      <c r="C11" s="145" t="s">
        <v>25</v>
      </c>
      <c r="D11" s="160" t="str">
        <f>VLOOKUP(D$2&amp;":"&amp;$C11,'All data'!$E:$P,12,FALSE)</f>
        <v>38.3</v>
      </c>
      <c r="E11" s="137" t="str">
        <f>VLOOKUP(E$2&amp;":"&amp;$C11,'All data'!$E:$P,12,FALSE)</f>
        <v>34.7</v>
      </c>
      <c r="F11" s="138" t="str">
        <f>VLOOKUP(F$2&amp;":"&amp;$C11,'All data'!$E:$P,12,FALSE)</f>
        <v>40.0</v>
      </c>
      <c r="G11" s="160" t="str">
        <f>VLOOKUP(G$2&amp;":"&amp;$C11,'All data'!$E:$P,12,FALSE)</f>
        <v>21500</v>
      </c>
      <c r="H11" s="137" t="str">
        <f>VLOOKUP(H$2&amp;":"&amp;$C11,'All data'!$E:$P,12,FALSE)</f>
        <v>24600</v>
      </c>
      <c r="I11" s="138" t="str">
        <f>VLOOKUP(I$2&amp;":"&amp;$C11,'All data'!$E:$P,12,FALSE)</f>
        <v>21600</v>
      </c>
      <c r="J11" s="160" t="str">
        <f>VLOOKUP(J$2&amp;":"&amp;$C11,'All data'!$E:$P,12,FALSE)</f>
        <v>76800</v>
      </c>
      <c r="K11" s="137" t="str">
        <f>VLOOKUP(K$2&amp;":"&amp;$C11,'All data'!$E:$P,12,FALSE)</f>
        <v>76300</v>
      </c>
      <c r="L11" s="138" t="str">
        <f>VLOOKUP(L$2&amp;":"&amp;$C11,'All data'!$E:$P,12,FALSE)</f>
        <v>69600</v>
      </c>
      <c r="M11" s="160" t="str">
        <f>VLOOKUP(M$2&amp;":"&amp;$C11,'All data'!$E:$P,12,FALSE)</f>
        <v>188000</v>
      </c>
      <c r="N11" s="137" t="str">
        <f>VLOOKUP(N$2&amp;":"&amp;$C11,'All data'!$E:$P,12,FALSE)</f>
        <v>191000</v>
      </c>
      <c r="O11" s="255" t="str">
        <f>VLOOKUP(O$2&amp;":"&amp;$C11,'All data'!$E:$P,12,FALSE)</f>
        <v>325000</v>
      </c>
      <c r="P11" s="137" t="str">
        <f>VLOOKUP(P$2&amp;":"&amp;$C11,'All data'!$E:$P,12,FALSE)</f>
        <v>1140000</v>
      </c>
      <c r="Q11" s="137" t="str">
        <f>VLOOKUP(Q$2&amp;":"&amp;$C11,'All data'!$E:$P,12,FALSE)</f>
        <v>1470000</v>
      </c>
      <c r="R11" s="138" t="str">
        <f>VLOOKUP(R$2&amp;":"&amp;$C11,'All data'!$E:$P,12,FALSE)</f>
        <v>1150000</v>
      </c>
      <c r="T11" s="141"/>
    </row>
    <row r="12" spans="1:77" x14ac:dyDescent="0.25">
      <c r="A12" s="266"/>
      <c r="C12" s="145" t="s">
        <v>26</v>
      </c>
      <c r="D12" s="160">
        <f>VLOOKUP(D$2&amp;":"&amp;$C12,'All data'!$E:$P,12,FALSE)</f>
        <v>0</v>
      </c>
      <c r="E12" s="137" t="str">
        <f>VLOOKUP(E$2&amp;":"&amp;$C12,'All data'!$E:$P,12,FALSE)</f>
        <v>85.7</v>
      </c>
      <c r="F12" s="138">
        <f>VLOOKUP(F$2&amp;":"&amp;$C12,'All data'!$E:$P,12,FALSE)</f>
        <v>0</v>
      </c>
      <c r="G12" s="160" t="str">
        <f>VLOOKUP(G$2&amp;":"&amp;$C12,'All data'!$E:$P,12,FALSE)</f>
        <v>1860</v>
      </c>
      <c r="H12" s="137" t="str">
        <f>VLOOKUP(H$2&amp;":"&amp;$C12,'All data'!$E:$P,12,FALSE)</f>
        <v>3240</v>
      </c>
      <c r="I12" s="138" t="str">
        <f>VLOOKUP(I$2&amp;":"&amp;$C12,'All data'!$E:$P,12,FALSE)</f>
        <v>3570</v>
      </c>
      <c r="J12" s="160" t="str">
        <f>VLOOKUP(J$2&amp;":"&amp;$C12,'All data'!$E:$P,12,FALSE)</f>
        <v>11900</v>
      </c>
      <c r="K12" s="137" t="str">
        <f>VLOOKUP(K$2&amp;":"&amp;$C12,'All data'!$E:$P,12,FALSE)</f>
        <v>11200</v>
      </c>
      <c r="L12" s="138" t="str">
        <f>VLOOKUP(L$2&amp;":"&amp;$C12,'All data'!$E:$P,12,FALSE)</f>
        <v>11300</v>
      </c>
      <c r="M12" s="160" t="str">
        <f>VLOOKUP(M$2&amp;":"&amp;$C12,'All data'!$E:$P,12,FALSE)</f>
        <v>20200</v>
      </c>
      <c r="N12" s="137" t="str">
        <f>VLOOKUP(N$2&amp;":"&amp;$C12,'All data'!$E:$P,12,FALSE)</f>
        <v>31500</v>
      </c>
      <c r="O12" s="255" t="str">
        <f>VLOOKUP(O$2&amp;":"&amp;$C12,'All data'!$E:$P,12,FALSE)</f>
        <v>44700</v>
      </c>
      <c r="P12" s="137" t="str">
        <f>VLOOKUP(P$2&amp;":"&amp;$C12,'All data'!$E:$P,12,FALSE)</f>
        <v>182000</v>
      </c>
      <c r="Q12" s="137" t="str">
        <f>VLOOKUP(Q$2&amp;":"&amp;$C12,'All data'!$E:$P,12,FALSE)</f>
        <v>189000</v>
      </c>
      <c r="R12" s="138" t="str">
        <f>VLOOKUP(R$2&amp;":"&amp;$C12,'All data'!$E:$P,12,FALSE)</f>
        <v>169000</v>
      </c>
      <c r="T12" s="141"/>
    </row>
    <row r="13" spans="1:77" ht="15.75" thickBot="1" x14ac:dyDescent="0.3">
      <c r="A13" s="266"/>
      <c r="C13" s="146" t="s">
        <v>27</v>
      </c>
      <c r="D13" s="161">
        <f>VLOOKUP(D$2&amp;":"&amp;$C13,'All data'!$E:$P,12,FALSE)</f>
        <v>0</v>
      </c>
      <c r="E13" s="139">
        <f>VLOOKUP(E$2&amp;":"&amp;$C13,'All data'!$E:$P,12,FALSE)</f>
        <v>0</v>
      </c>
      <c r="F13" s="140">
        <f>VLOOKUP(F$2&amp;":"&amp;$C13,'All data'!$E:$P,12,FALSE)</f>
        <v>0</v>
      </c>
      <c r="G13" s="161" t="str">
        <f>VLOOKUP(G$2&amp;":"&amp;$C13,'All data'!$E:$P,12,FALSE)</f>
        <v>2090</v>
      </c>
      <c r="H13" s="139" t="str">
        <f>VLOOKUP(H$2&amp;":"&amp;$C13,'All data'!$E:$P,12,FALSE)</f>
        <v>2490</v>
      </c>
      <c r="I13" s="140" t="str">
        <f>VLOOKUP(I$2&amp;":"&amp;$C13,'All data'!$E:$P,12,FALSE)</f>
        <v>3160</v>
      </c>
      <c r="J13" s="161" t="str">
        <f>VLOOKUP(J$2&amp;":"&amp;$C13,'All data'!$E:$P,12,FALSE)</f>
        <v>13300</v>
      </c>
      <c r="K13" s="139" t="str">
        <f>VLOOKUP(K$2&amp;":"&amp;$C13,'All data'!$E:$P,12,FALSE)</f>
        <v>17100</v>
      </c>
      <c r="L13" s="140" t="str">
        <f>VLOOKUP(L$2&amp;":"&amp;$C13,'All data'!$E:$P,12,FALSE)</f>
        <v>10200</v>
      </c>
      <c r="M13" s="161" t="str">
        <f>VLOOKUP(M$2&amp;":"&amp;$C13,'All data'!$E:$P,12,FALSE)</f>
        <v>25700</v>
      </c>
      <c r="N13" s="139" t="str">
        <f>VLOOKUP(N$2&amp;":"&amp;$C13,'All data'!$E:$P,12,FALSE)</f>
        <v>37400</v>
      </c>
      <c r="O13" s="256" t="str">
        <f>VLOOKUP(O$2&amp;":"&amp;$C13,'All data'!$E:$P,12,FALSE)</f>
        <v>66100</v>
      </c>
      <c r="P13" s="139" t="str">
        <f>VLOOKUP(P$2&amp;":"&amp;$C13,'All data'!$E:$P,12,FALSE)</f>
        <v>227000</v>
      </c>
      <c r="Q13" s="139" t="str">
        <f>VLOOKUP(Q$2&amp;":"&amp;$C13,'All data'!$E:$P,12,FALSE)</f>
        <v>264000</v>
      </c>
      <c r="R13" s="140" t="str">
        <f>VLOOKUP(R$2&amp;":"&amp;$C13,'All data'!$E:$P,12,FALSE)</f>
        <v>224000</v>
      </c>
      <c r="T13" s="141"/>
    </row>
    <row r="14" spans="1:77" ht="19.5" thickBot="1" x14ac:dyDescent="0.35">
      <c r="A14" s="154"/>
      <c r="C14" s="267" t="s">
        <v>1276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T14" s="141"/>
    </row>
    <row r="15" spans="1:77" ht="15" customHeight="1" x14ac:dyDescent="0.25">
      <c r="A15" s="266" t="s">
        <v>1267</v>
      </c>
      <c r="C15" s="147" t="s">
        <v>22</v>
      </c>
      <c r="D15" s="171">
        <f>VALUE(D8)</f>
        <v>38.799999999999997</v>
      </c>
      <c r="E15" s="135">
        <f t="shared" ref="E15:R20" si="0">VALUE(E8)</f>
        <v>30.7</v>
      </c>
      <c r="F15" s="136">
        <f t="shared" si="0"/>
        <v>32.9</v>
      </c>
      <c r="G15" s="171">
        <f t="shared" si="0"/>
        <v>14300</v>
      </c>
      <c r="H15" s="135">
        <f t="shared" si="0"/>
        <v>18500</v>
      </c>
      <c r="I15" s="136">
        <f t="shared" si="0"/>
        <v>13300</v>
      </c>
      <c r="J15" s="171">
        <f t="shared" si="0"/>
        <v>50400</v>
      </c>
      <c r="K15" s="135">
        <f t="shared" si="0"/>
        <v>55600</v>
      </c>
      <c r="L15" s="136">
        <f t="shared" si="0"/>
        <v>65000</v>
      </c>
      <c r="M15" s="171">
        <f t="shared" si="0"/>
        <v>149000</v>
      </c>
      <c r="N15" s="135">
        <f t="shared" si="0"/>
        <v>145000</v>
      </c>
      <c r="O15" s="136"/>
      <c r="P15" s="135">
        <f t="shared" si="0"/>
        <v>882000</v>
      </c>
      <c r="Q15" s="135">
        <f t="shared" si="0"/>
        <v>1170000</v>
      </c>
      <c r="R15" s="136">
        <f t="shared" si="0"/>
        <v>716000</v>
      </c>
      <c r="T15" s="141"/>
    </row>
    <row r="16" spans="1:77" x14ac:dyDescent="0.25">
      <c r="A16" s="266"/>
      <c r="C16" s="145" t="s">
        <v>23</v>
      </c>
      <c r="D16" s="160">
        <f t="shared" ref="D16:N20" si="1">VALUE(D9)</f>
        <v>0</v>
      </c>
      <c r="E16" s="137">
        <f t="shared" si="1"/>
        <v>0</v>
      </c>
      <c r="F16" s="138">
        <f t="shared" si="1"/>
        <v>0</v>
      </c>
      <c r="G16" s="160">
        <f t="shared" si="1"/>
        <v>5480</v>
      </c>
      <c r="H16" s="137">
        <f t="shared" si="1"/>
        <v>9050</v>
      </c>
      <c r="I16" s="138">
        <f t="shared" si="1"/>
        <v>7090</v>
      </c>
      <c r="J16" s="160">
        <f t="shared" si="1"/>
        <v>26700</v>
      </c>
      <c r="K16" s="137">
        <f t="shared" si="1"/>
        <v>23200</v>
      </c>
      <c r="L16" s="138">
        <f t="shared" si="1"/>
        <v>26600</v>
      </c>
      <c r="M16" s="160">
        <f t="shared" si="1"/>
        <v>60400</v>
      </c>
      <c r="N16" s="137">
        <f t="shared" si="1"/>
        <v>62200</v>
      </c>
      <c r="O16" s="138"/>
      <c r="P16" s="137">
        <f t="shared" si="0"/>
        <v>347000</v>
      </c>
      <c r="Q16" s="137">
        <f t="shared" si="0"/>
        <v>406000</v>
      </c>
      <c r="R16" s="138">
        <f t="shared" si="0"/>
        <v>369000</v>
      </c>
    </row>
    <row r="17" spans="1:18" x14ac:dyDescent="0.25">
      <c r="A17" s="266"/>
      <c r="C17" s="145" t="s">
        <v>24</v>
      </c>
      <c r="D17" s="160">
        <f t="shared" si="1"/>
        <v>0</v>
      </c>
      <c r="E17" s="137">
        <f t="shared" si="1"/>
        <v>0</v>
      </c>
      <c r="F17" s="138">
        <f t="shared" si="1"/>
        <v>0</v>
      </c>
      <c r="G17" s="160">
        <f t="shared" si="1"/>
        <v>2900</v>
      </c>
      <c r="H17" s="137">
        <f t="shared" si="1"/>
        <v>5330</v>
      </c>
      <c r="I17" s="138">
        <f t="shared" si="1"/>
        <v>4870</v>
      </c>
      <c r="J17" s="160">
        <f t="shared" si="1"/>
        <v>22100</v>
      </c>
      <c r="K17" s="137">
        <f t="shared" si="1"/>
        <v>15300</v>
      </c>
      <c r="L17" s="138">
        <f t="shared" si="1"/>
        <v>17200</v>
      </c>
      <c r="M17" s="160">
        <f t="shared" si="1"/>
        <v>35000</v>
      </c>
      <c r="N17" s="137">
        <f t="shared" si="1"/>
        <v>35600</v>
      </c>
      <c r="O17" s="138"/>
      <c r="P17" s="137">
        <f t="shared" si="0"/>
        <v>217000</v>
      </c>
      <c r="Q17" s="137">
        <f t="shared" si="0"/>
        <v>279000</v>
      </c>
      <c r="R17" s="138">
        <f t="shared" si="0"/>
        <v>206000</v>
      </c>
    </row>
    <row r="18" spans="1:18" x14ac:dyDescent="0.25">
      <c r="A18" s="266"/>
      <c r="C18" s="145" t="s">
        <v>25</v>
      </c>
      <c r="D18" s="160">
        <f t="shared" si="1"/>
        <v>38.299999999999997</v>
      </c>
      <c r="E18" s="137">
        <f t="shared" si="1"/>
        <v>34.700000000000003</v>
      </c>
      <c r="F18" s="138">
        <f t="shared" si="1"/>
        <v>40</v>
      </c>
      <c r="G18" s="160">
        <f t="shared" si="1"/>
        <v>21500</v>
      </c>
      <c r="H18" s="137">
        <f t="shared" si="1"/>
        <v>24600</v>
      </c>
      <c r="I18" s="138">
        <f t="shared" si="1"/>
        <v>21600</v>
      </c>
      <c r="J18" s="160">
        <f t="shared" si="1"/>
        <v>76800</v>
      </c>
      <c r="K18" s="137">
        <f t="shared" si="1"/>
        <v>76300</v>
      </c>
      <c r="L18" s="138">
        <f t="shared" si="1"/>
        <v>69600</v>
      </c>
      <c r="M18" s="160">
        <f t="shared" si="1"/>
        <v>188000</v>
      </c>
      <c r="N18" s="137">
        <f t="shared" si="1"/>
        <v>191000</v>
      </c>
      <c r="O18" s="138"/>
      <c r="P18" s="137">
        <f t="shared" si="0"/>
        <v>1140000</v>
      </c>
      <c r="Q18" s="137">
        <f t="shared" si="0"/>
        <v>1470000</v>
      </c>
      <c r="R18" s="138">
        <f t="shared" si="0"/>
        <v>1150000</v>
      </c>
    </row>
    <row r="19" spans="1:18" x14ac:dyDescent="0.25">
      <c r="A19" s="266"/>
      <c r="C19" s="145" t="s">
        <v>26</v>
      </c>
      <c r="D19" s="160">
        <f t="shared" si="1"/>
        <v>0</v>
      </c>
      <c r="E19" s="137">
        <f t="shared" si="1"/>
        <v>85.7</v>
      </c>
      <c r="F19" s="138">
        <f t="shared" si="1"/>
        <v>0</v>
      </c>
      <c r="G19" s="160">
        <f t="shared" si="1"/>
        <v>1860</v>
      </c>
      <c r="H19" s="137">
        <f t="shared" si="1"/>
        <v>3240</v>
      </c>
      <c r="I19" s="138">
        <f t="shared" si="1"/>
        <v>3570</v>
      </c>
      <c r="J19" s="160">
        <f t="shared" si="1"/>
        <v>11900</v>
      </c>
      <c r="K19" s="137">
        <f t="shared" si="1"/>
        <v>11200</v>
      </c>
      <c r="L19" s="138">
        <f t="shared" si="1"/>
        <v>11300</v>
      </c>
      <c r="M19" s="160">
        <f t="shared" si="1"/>
        <v>20200</v>
      </c>
      <c r="N19" s="137">
        <f t="shared" si="1"/>
        <v>31500</v>
      </c>
      <c r="O19" s="138"/>
      <c r="P19" s="137">
        <f t="shared" si="0"/>
        <v>182000</v>
      </c>
      <c r="Q19" s="137">
        <f t="shared" si="0"/>
        <v>189000</v>
      </c>
      <c r="R19" s="138">
        <f t="shared" si="0"/>
        <v>169000</v>
      </c>
    </row>
    <row r="20" spans="1:18" ht="15.75" thickBot="1" x14ac:dyDescent="0.3">
      <c r="A20" s="266"/>
      <c r="C20" s="146" t="s">
        <v>27</v>
      </c>
      <c r="D20" s="161">
        <f t="shared" si="1"/>
        <v>0</v>
      </c>
      <c r="E20" s="139">
        <f t="shared" si="1"/>
        <v>0</v>
      </c>
      <c r="F20" s="140">
        <f t="shared" si="1"/>
        <v>0</v>
      </c>
      <c r="G20" s="161">
        <f t="shared" si="1"/>
        <v>2090</v>
      </c>
      <c r="H20" s="139">
        <f t="shared" si="1"/>
        <v>2490</v>
      </c>
      <c r="I20" s="140">
        <f t="shared" si="1"/>
        <v>3160</v>
      </c>
      <c r="J20" s="161">
        <f t="shared" si="1"/>
        <v>13300</v>
      </c>
      <c r="K20" s="139">
        <f t="shared" si="1"/>
        <v>17100</v>
      </c>
      <c r="L20" s="140">
        <f t="shared" si="1"/>
        <v>10200</v>
      </c>
      <c r="M20" s="161">
        <f t="shared" si="1"/>
        <v>25700</v>
      </c>
      <c r="N20" s="139">
        <f t="shared" si="1"/>
        <v>37400</v>
      </c>
      <c r="O20" s="140"/>
      <c r="P20" s="139">
        <f t="shared" si="0"/>
        <v>227000</v>
      </c>
      <c r="Q20" s="139">
        <f t="shared" si="0"/>
        <v>264000</v>
      </c>
      <c r="R20" s="140">
        <f t="shared" si="0"/>
        <v>224000</v>
      </c>
    </row>
    <row r="21" spans="1:18" ht="15.75" thickBot="1" x14ac:dyDescent="0.3">
      <c r="A21" s="154"/>
      <c r="O21" t="s">
        <v>1317</v>
      </c>
    </row>
    <row r="22" spans="1:18" ht="33.75" thickBot="1" x14ac:dyDescent="0.3">
      <c r="A22" s="154"/>
      <c r="B22" s="211" t="s">
        <v>203</v>
      </c>
      <c r="C22" s="212" t="s">
        <v>243</v>
      </c>
      <c r="D22" s="213" t="s">
        <v>1264</v>
      </c>
      <c r="E22" s="214" t="s">
        <v>1313</v>
      </c>
      <c r="F22" s="214" t="s">
        <v>1314</v>
      </c>
      <c r="G22" s="215" t="s">
        <v>1278</v>
      </c>
      <c r="H22" s="243" t="s">
        <v>1270</v>
      </c>
      <c r="I22" s="244" t="s">
        <v>1269</v>
      </c>
      <c r="J22" s="244" t="s">
        <v>1271</v>
      </c>
      <c r="K22" s="244" t="s">
        <v>1272</v>
      </c>
      <c r="L22" s="244" t="s">
        <v>1273</v>
      </c>
      <c r="M22" s="245" t="s">
        <v>1274</v>
      </c>
    </row>
    <row r="23" spans="1:18" ht="15.75" thickBot="1" x14ac:dyDescent="0.3">
      <c r="A23" s="154"/>
      <c r="D23" s="200"/>
      <c r="E23" s="101"/>
      <c r="F23" s="101"/>
      <c r="G23" s="101"/>
      <c r="H23" s="201" t="s">
        <v>1275</v>
      </c>
      <c r="I23" s="202"/>
      <c r="J23" s="203"/>
      <c r="K23" s="202"/>
      <c r="L23" s="202"/>
      <c r="M23" s="202"/>
    </row>
    <row r="24" spans="1:18" ht="15" customHeight="1" x14ac:dyDescent="0.25">
      <c r="A24" s="268" t="s">
        <v>1267</v>
      </c>
      <c r="B24" s="208">
        <v>0</v>
      </c>
      <c r="C24" s="163" t="s">
        <v>22</v>
      </c>
      <c r="D24" s="206" t="str">
        <f>D$3&amp;":"&amp;$C24</f>
        <v>HSM+BM1(1:1)-S50-P0-Day20:PFHxA</v>
      </c>
      <c r="E24" s="135">
        <f t="shared" ref="E24:E29" si="2">AVERAGE(D15:F15)</f>
        <v>34.133333333333333</v>
      </c>
      <c r="F24" s="148">
        <f t="shared" ref="F24:F29" si="3">STDEV(D15:F15)</f>
        <v>4.1884762543594922</v>
      </c>
      <c r="G24" s="216">
        <f>IFERROR(F24/E24,"")</f>
        <v>0.12270926526443825</v>
      </c>
      <c r="H24" s="194">
        <f>'PFAS at t0'!E23/1000</f>
        <v>0</v>
      </c>
      <c r="I24" s="193">
        <f t="shared" ref="I24:I53" si="4">E24/1000</f>
        <v>3.4133333333333335E-2</v>
      </c>
      <c r="J24" s="193">
        <f>H24-I24</f>
        <v>-3.4133333333333335E-2</v>
      </c>
      <c r="K24" s="194">
        <f>(J24*0.05)/(50/1000000)</f>
        <v>-34.133333333333333</v>
      </c>
      <c r="L24" s="135">
        <f t="shared" ref="L24:L29" si="5">K24/I24</f>
        <v>-999.99999999999989</v>
      </c>
      <c r="M24" s="199" t="e">
        <f t="shared" ref="M24:M29" si="6">LOG(L24)</f>
        <v>#NUM!</v>
      </c>
    </row>
    <row r="25" spans="1:18" x14ac:dyDescent="0.25">
      <c r="A25" s="268"/>
      <c r="B25" s="209">
        <v>0</v>
      </c>
      <c r="C25" s="103" t="s">
        <v>23</v>
      </c>
      <c r="D25" s="205" t="str">
        <f t="shared" ref="D25:D29" si="7">D$3&amp;":"&amp;$C25</f>
        <v>HSM+BM1(1:1)-S50-P0-Day20:PFOA</v>
      </c>
      <c r="E25" s="137">
        <f>AVERAGE(D16:F16)</f>
        <v>0</v>
      </c>
      <c r="F25" s="149">
        <f t="shared" si="3"/>
        <v>0</v>
      </c>
      <c r="G25" s="217" t="str">
        <f t="shared" ref="G25:G53" si="8">IFERROR(F25/E25,"")</f>
        <v/>
      </c>
      <c r="H25" s="196">
        <f>'PFAS at t0'!E24/1000</f>
        <v>0</v>
      </c>
      <c r="I25" s="195">
        <f>E25/1000</f>
        <v>0</v>
      </c>
      <c r="J25" s="195">
        <f t="shared" ref="J25:J53" si="9">H25-I25</f>
        <v>0</v>
      </c>
      <c r="K25" s="196">
        <f t="shared" ref="K25:K53" si="10">(J25*0.05)/(50/1000000)</f>
        <v>0</v>
      </c>
      <c r="L25" s="137" t="e">
        <f>K25/I25</f>
        <v>#DIV/0!</v>
      </c>
      <c r="M25" s="158" t="e">
        <f t="shared" si="6"/>
        <v>#DIV/0!</v>
      </c>
    </row>
    <row r="26" spans="1:18" x14ac:dyDescent="0.25">
      <c r="A26" s="268"/>
      <c r="B26" s="209">
        <v>0</v>
      </c>
      <c r="C26" s="103" t="s">
        <v>24</v>
      </c>
      <c r="D26" s="205" t="str">
        <f t="shared" si="7"/>
        <v>HSM+BM1(1:1)-S50-P0-Day20:PFNA</v>
      </c>
      <c r="E26" s="137">
        <f t="shared" si="2"/>
        <v>0</v>
      </c>
      <c r="F26" s="149">
        <f t="shared" si="3"/>
        <v>0</v>
      </c>
      <c r="G26" s="217" t="str">
        <f t="shared" si="8"/>
        <v/>
      </c>
      <c r="H26" s="196">
        <f>'PFAS at t0'!E25/1000</f>
        <v>0</v>
      </c>
      <c r="I26" s="195">
        <f t="shared" si="4"/>
        <v>0</v>
      </c>
      <c r="J26" s="195">
        <f t="shared" si="9"/>
        <v>0</v>
      </c>
      <c r="K26" s="196">
        <f t="shared" si="10"/>
        <v>0</v>
      </c>
      <c r="L26" s="137" t="e">
        <f t="shared" si="5"/>
        <v>#DIV/0!</v>
      </c>
      <c r="M26" s="158" t="e">
        <f t="shared" si="6"/>
        <v>#DIV/0!</v>
      </c>
    </row>
    <row r="27" spans="1:18" x14ac:dyDescent="0.25">
      <c r="A27" s="268"/>
      <c r="B27" s="209">
        <v>0</v>
      </c>
      <c r="C27" s="103" t="s">
        <v>25</v>
      </c>
      <c r="D27" s="205" t="str">
        <f t="shared" si="7"/>
        <v>HSM+BM1(1:1)-S50-P0-Day20:PFBS</v>
      </c>
      <c r="E27" s="137">
        <f t="shared" si="2"/>
        <v>37.666666666666664</v>
      </c>
      <c r="F27" s="149">
        <f t="shared" si="3"/>
        <v>2.7061657993059707</v>
      </c>
      <c r="G27" s="217">
        <f t="shared" si="8"/>
        <v>7.1845109716087721E-2</v>
      </c>
      <c r="H27" s="196">
        <f>'PFAS at t0'!E26/1000</f>
        <v>3.5000000000000003E-2</v>
      </c>
      <c r="I27" s="195">
        <f t="shared" si="4"/>
        <v>3.7666666666666668E-2</v>
      </c>
      <c r="J27" s="195">
        <f t="shared" si="9"/>
        <v>-2.6666666666666644E-3</v>
      </c>
      <c r="K27" s="196">
        <f t="shared" si="10"/>
        <v>-2.6666666666666643</v>
      </c>
      <c r="L27" s="137">
        <f t="shared" si="5"/>
        <v>-70.79646017699109</v>
      </c>
      <c r="M27" s="158" t="e">
        <f t="shared" si="6"/>
        <v>#NUM!</v>
      </c>
    </row>
    <row r="28" spans="1:18" x14ac:dyDescent="0.25">
      <c r="A28" s="268"/>
      <c r="B28" s="209">
        <v>0</v>
      </c>
      <c r="C28" s="103" t="s">
        <v>26</v>
      </c>
      <c r="D28" s="205" t="str">
        <f t="shared" si="7"/>
        <v>HSM+BM1(1:1)-S50-P0-Day20:PFOS</v>
      </c>
      <c r="E28" s="137">
        <f t="shared" si="2"/>
        <v>28.566666666666666</v>
      </c>
      <c r="F28" s="149">
        <f t="shared" si="3"/>
        <v>49.478918069550936</v>
      </c>
      <c r="G28" s="217">
        <f t="shared" si="8"/>
        <v>1.7320508075688776</v>
      </c>
      <c r="H28" s="196">
        <f>'PFAS at t0'!E27/1000</f>
        <v>0</v>
      </c>
      <c r="I28" s="195">
        <f t="shared" si="4"/>
        <v>2.8566666666666667E-2</v>
      </c>
      <c r="J28" s="195">
        <f t="shared" si="9"/>
        <v>-2.8566666666666667E-2</v>
      </c>
      <c r="K28" s="196">
        <f t="shared" si="10"/>
        <v>-28.56666666666667</v>
      </c>
      <c r="L28" s="137">
        <f t="shared" si="5"/>
        <v>-1000.0000000000001</v>
      </c>
      <c r="M28" s="158" t="e">
        <f t="shared" si="6"/>
        <v>#NUM!</v>
      </c>
    </row>
    <row r="29" spans="1:18" ht="15.75" thickBot="1" x14ac:dyDescent="0.3">
      <c r="A29" s="268"/>
      <c r="B29" s="210">
        <v>0</v>
      </c>
      <c r="C29" s="104" t="s">
        <v>27</v>
      </c>
      <c r="D29" s="207" t="str">
        <f t="shared" si="7"/>
        <v>HSM+BM1(1:1)-S50-P0-Day20:8:2FTS</v>
      </c>
      <c r="E29" s="139">
        <f t="shared" si="2"/>
        <v>0</v>
      </c>
      <c r="F29" s="150">
        <f t="shared" si="3"/>
        <v>0</v>
      </c>
      <c r="G29" s="218" t="str">
        <f t="shared" si="8"/>
        <v/>
      </c>
      <c r="H29" s="198">
        <f>'PFAS at t0'!E28/1000</f>
        <v>4.8766666666666673E-2</v>
      </c>
      <c r="I29" s="197">
        <f t="shared" si="4"/>
        <v>0</v>
      </c>
      <c r="J29" s="197">
        <f t="shared" si="9"/>
        <v>4.8766666666666673E-2</v>
      </c>
      <c r="K29" s="198">
        <f t="shared" si="10"/>
        <v>48.76666666666668</v>
      </c>
      <c r="L29" s="139" t="e">
        <f t="shared" si="5"/>
        <v>#DIV/0!</v>
      </c>
      <c r="M29" s="159" t="e">
        <f t="shared" si="6"/>
        <v>#DIV/0!</v>
      </c>
    </row>
    <row r="30" spans="1:18" x14ac:dyDescent="0.25">
      <c r="A30" s="268"/>
      <c r="B30" s="208">
        <v>10</v>
      </c>
      <c r="C30" s="163" t="s">
        <v>22</v>
      </c>
      <c r="D30" s="206" t="str">
        <f>G$3&amp;":"&amp;$C30</f>
        <v>HSM+BM1(1:1)-S50-P10-Day20:PFHxA</v>
      </c>
      <c r="E30" s="135">
        <f t="shared" ref="E30:E35" si="11">AVERAGE(G15:I15)</f>
        <v>15366.666666666666</v>
      </c>
      <c r="F30" s="148">
        <f t="shared" ref="F30:F35" si="12">STDEV(G15:I15)</f>
        <v>2759.2269448766465</v>
      </c>
      <c r="G30" s="216">
        <f t="shared" si="8"/>
        <v>0.17955923719370803</v>
      </c>
      <c r="H30" s="171">
        <f>'PFAS at t0'!E29/1000</f>
        <v>15.4</v>
      </c>
      <c r="I30" s="234">
        <f t="shared" si="4"/>
        <v>15.366666666666665</v>
      </c>
      <c r="J30" s="234">
        <f t="shared" si="9"/>
        <v>3.3333333333334991E-2</v>
      </c>
      <c r="K30" s="235">
        <f t="shared" si="10"/>
        <v>33.333333333334991</v>
      </c>
      <c r="L30" s="135">
        <f t="shared" ref="L30:L53" si="13">K30/I30</f>
        <v>2.1691973969632317</v>
      </c>
      <c r="M30" s="199">
        <f t="shared" ref="M30:M53" si="14">LOG(L30)</f>
        <v>0.33629907461037351</v>
      </c>
    </row>
    <row r="31" spans="1:18" x14ac:dyDescent="0.25">
      <c r="A31" s="268"/>
      <c r="B31" s="209">
        <v>10</v>
      </c>
      <c r="C31" s="103" t="s">
        <v>23</v>
      </c>
      <c r="D31" s="205" t="str">
        <f t="shared" ref="D31:D35" si="15">G$3&amp;":"&amp;$C31</f>
        <v>HSM+BM1(1:1)-S50-P10-Day20:PFOA</v>
      </c>
      <c r="E31" s="137">
        <f t="shared" si="11"/>
        <v>7206.666666666667</v>
      </c>
      <c r="F31" s="149">
        <f t="shared" si="12"/>
        <v>1787.857190419114</v>
      </c>
      <c r="G31" s="217">
        <f t="shared" si="8"/>
        <v>0.24808379145501119</v>
      </c>
      <c r="H31" s="160">
        <f>'PFAS at t0'!E30/1000</f>
        <v>7.8833333333333329</v>
      </c>
      <c r="I31" s="93">
        <f t="shared" si="4"/>
        <v>7.206666666666667</v>
      </c>
      <c r="J31" s="93">
        <f t="shared" si="9"/>
        <v>0.67666666666666586</v>
      </c>
      <c r="K31" s="236">
        <f t="shared" si="10"/>
        <v>676.66666666666583</v>
      </c>
      <c r="L31" s="137">
        <f t="shared" si="13"/>
        <v>93.894542090656685</v>
      </c>
      <c r="M31" s="158">
        <f t="shared" si="14"/>
        <v>1.9726403482959209</v>
      </c>
    </row>
    <row r="32" spans="1:18" x14ac:dyDescent="0.25">
      <c r="A32" s="268"/>
      <c r="B32" s="209">
        <v>10</v>
      </c>
      <c r="C32" s="103" t="s">
        <v>24</v>
      </c>
      <c r="D32" s="205" t="str">
        <f t="shared" si="15"/>
        <v>HSM+BM1(1:1)-S50-P10-Day20:PFNA</v>
      </c>
      <c r="E32" s="137">
        <f t="shared" si="11"/>
        <v>4366.666666666667</v>
      </c>
      <c r="F32" s="149">
        <f t="shared" si="12"/>
        <v>1290.826608547148</v>
      </c>
      <c r="G32" s="217">
        <f t="shared" si="8"/>
        <v>0.29560914699553004</v>
      </c>
      <c r="H32" s="160">
        <f>'PFAS at t0'!E31/1000</f>
        <v>6.81</v>
      </c>
      <c r="I32" s="93">
        <f t="shared" si="4"/>
        <v>4.3666666666666671</v>
      </c>
      <c r="J32" s="93">
        <f t="shared" si="9"/>
        <v>2.4433333333333325</v>
      </c>
      <c r="K32" s="236">
        <f t="shared" si="10"/>
        <v>2443.3333333333326</v>
      </c>
      <c r="L32" s="137">
        <f t="shared" si="13"/>
        <v>559.54198473282418</v>
      </c>
      <c r="M32" s="158">
        <f t="shared" si="14"/>
        <v>2.7478326789853633</v>
      </c>
    </row>
    <row r="33" spans="1:13" x14ac:dyDescent="0.25">
      <c r="A33" s="268"/>
      <c r="B33" s="209">
        <v>10</v>
      </c>
      <c r="C33" s="103" t="s">
        <v>25</v>
      </c>
      <c r="D33" s="205" t="str">
        <f t="shared" si="15"/>
        <v>HSM+BM1(1:1)-S50-P10-Day20:PFBS</v>
      </c>
      <c r="E33" s="137">
        <f t="shared" si="11"/>
        <v>22566.666666666668</v>
      </c>
      <c r="F33" s="149">
        <f t="shared" si="12"/>
        <v>1761.6280348965083</v>
      </c>
      <c r="G33" s="217">
        <f t="shared" si="8"/>
        <v>7.8063280719195341E-2</v>
      </c>
      <c r="H33" s="160">
        <f>'PFAS at t0'!E32/1000</f>
        <v>20.633333333333333</v>
      </c>
      <c r="I33" s="93">
        <f t="shared" si="4"/>
        <v>22.566666666666666</v>
      </c>
      <c r="J33" s="93">
        <f t="shared" si="9"/>
        <v>-1.9333333333333336</v>
      </c>
      <c r="K33" s="239">
        <f t="shared" si="10"/>
        <v>-1933.3333333333335</v>
      </c>
      <c r="L33" s="137">
        <f t="shared" si="13"/>
        <v>-85.672082717872982</v>
      </c>
      <c r="M33" s="158" t="e">
        <f t="shared" si="14"/>
        <v>#NUM!</v>
      </c>
    </row>
    <row r="34" spans="1:13" x14ac:dyDescent="0.25">
      <c r="A34" s="268"/>
      <c r="B34" s="209">
        <v>10</v>
      </c>
      <c r="C34" s="103" t="s">
        <v>26</v>
      </c>
      <c r="D34" s="205" t="str">
        <f t="shared" si="15"/>
        <v>HSM+BM1(1:1)-S50-P10-Day20:PFOS</v>
      </c>
      <c r="E34" s="137">
        <f t="shared" si="11"/>
        <v>2890</v>
      </c>
      <c r="F34" s="149">
        <f t="shared" si="12"/>
        <v>907.1383576941281</v>
      </c>
      <c r="G34" s="217">
        <f t="shared" si="8"/>
        <v>0.31388870508447342</v>
      </c>
      <c r="H34" s="160">
        <f>'PFAS at t0'!E33/1000</f>
        <v>7.6933333333333334</v>
      </c>
      <c r="I34" s="93">
        <f t="shared" si="4"/>
        <v>2.89</v>
      </c>
      <c r="J34" s="93">
        <f t="shared" si="9"/>
        <v>4.8033333333333328</v>
      </c>
      <c r="K34" s="236">
        <f t="shared" si="10"/>
        <v>4803.3333333333321</v>
      </c>
      <c r="L34" s="137">
        <f t="shared" si="13"/>
        <v>1662.0530565167239</v>
      </c>
      <c r="M34" s="158">
        <f t="shared" si="14"/>
        <v>3.220644883337779</v>
      </c>
    </row>
    <row r="35" spans="1:13" ht="15.75" thickBot="1" x14ac:dyDescent="0.3">
      <c r="A35" s="268"/>
      <c r="B35" s="210">
        <v>10</v>
      </c>
      <c r="C35" s="104" t="s">
        <v>27</v>
      </c>
      <c r="D35" s="207" t="str">
        <f t="shared" si="15"/>
        <v>HSM+BM1(1:1)-S50-P10-Day20:8:2FTS</v>
      </c>
      <c r="E35" s="139">
        <f t="shared" si="11"/>
        <v>2580</v>
      </c>
      <c r="F35" s="150">
        <f t="shared" si="12"/>
        <v>540.64775963653085</v>
      </c>
      <c r="G35" s="218">
        <f t="shared" si="8"/>
        <v>0.20955339520795768</v>
      </c>
      <c r="H35" s="161">
        <f>'PFAS at t0'!E34/1000</f>
        <v>7.0633333333333335</v>
      </c>
      <c r="I35" s="8">
        <f t="shared" si="4"/>
        <v>2.58</v>
      </c>
      <c r="J35" s="8">
        <f t="shared" si="9"/>
        <v>4.4833333333333334</v>
      </c>
      <c r="K35" s="237">
        <f t="shared" si="10"/>
        <v>4483.333333333333</v>
      </c>
      <c r="L35" s="139">
        <f t="shared" si="13"/>
        <v>1737.7260981912143</v>
      </c>
      <c r="M35" s="159">
        <f t="shared" si="14"/>
        <v>3.2399813236555342</v>
      </c>
    </row>
    <row r="36" spans="1:13" x14ac:dyDescent="0.25">
      <c r="A36" s="268"/>
      <c r="B36" s="208">
        <v>50</v>
      </c>
      <c r="C36" s="163" t="s">
        <v>22</v>
      </c>
      <c r="D36" s="206" t="str">
        <f>J$3&amp;":"&amp;$C36</f>
        <v>HSM+BM1(1:1)-S50-P50-Day20:PFHxA</v>
      </c>
      <c r="E36" s="135">
        <f t="shared" ref="E36:E41" si="16">AVERAGE(J15:L15)</f>
        <v>57000</v>
      </c>
      <c r="F36" s="148">
        <f t="shared" ref="F36:F41" si="17">STDEV(J15:L15)</f>
        <v>7400</v>
      </c>
      <c r="G36" s="216">
        <f t="shared" si="8"/>
        <v>0.12982456140350876</v>
      </c>
      <c r="H36" s="171">
        <f>'PFAS at t0'!E35/1000</f>
        <v>47.5</v>
      </c>
      <c r="I36" s="234">
        <f t="shared" si="4"/>
        <v>57</v>
      </c>
      <c r="J36" s="234">
        <f t="shared" si="9"/>
        <v>-9.5</v>
      </c>
      <c r="K36" s="240">
        <f t="shared" si="10"/>
        <v>-9500</v>
      </c>
      <c r="L36" s="135">
        <f t="shared" si="13"/>
        <v>-166.66666666666666</v>
      </c>
      <c r="M36" s="199" t="e">
        <f t="shared" si="14"/>
        <v>#NUM!</v>
      </c>
    </row>
    <row r="37" spans="1:13" x14ac:dyDescent="0.25">
      <c r="A37" s="268"/>
      <c r="B37" s="209">
        <v>50</v>
      </c>
      <c r="C37" s="103" t="s">
        <v>23</v>
      </c>
      <c r="D37" s="205" t="str">
        <f t="shared" ref="D37:D41" si="18">J$3&amp;":"&amp;$C37</f>
        <v>HSM+BM1(1:1)-S50-P50-Day20:PFOA</v>
      </c>
      <c r="E37" s="137">
        <f t="shared" si="16"/>
        <v>25500</v>
      </c>
      <c r="F37" s="149">
        <f t="shared" si="17"/>
        <v>1992.4858845171275</v>
      </c>
      <c r="G37" s="217">
        <f t="shared" si="8"/>
        <v>7.8136701353612836E-2</v>
      </c>
      <c r="H37" s="160">
        <f>'PFAS at t0'!E36/1000</f>
        <v>26.566666666666666</v>
      </c>
      <c r="I37" s="93">
        <f t="shared" si="4"/>
        <v>25.5</v>
      </c>
      <c r="J37" s="93">
        <f t="shared" si="9"/>
        <v>1.0666666666666664</v>
      </c>
      <c r="K37" s="236">
        <f t="shared" si="10"/>
        <v>1066.6666666666665</v>
      </c>
      <c r="L37" s="137">
        <f t="shared" si="13"/>
        <v>41.830065359477118</v>
      </c>
      <c r="M37" s="158">
        <f t="shared" si="14"/>
        <v>1.6214885431662882</v>
      </c>
    </row>
    <row r="38" spans="1:13" x14ac:dyDescent="0.25">
      <c r="A38" s="268"/>
      <c r="B38" s="209">
        <v>50</v>
      </c>
      <c r="C38" s="103" t="s">
        <v>24</v>
      </c>
      <c r="D38" s="205" t="str">
        <f t="shared" si="18"/>
        <v>HSM+BM1(1:1)-S50-P50-Day20:PFNA</v>
      </c>
      <c r="E38" s="137">
        <f t="shared" si="16"/>
        <v>18200</v>
      </c>
      <c r="F38" s="149">
        <f t="shared" si="17"/>
        <v>3508.5609585697666</v>
      </c>
      <c r="G38" s="217">
        <f t="shared" si="8"/>
        <v>0.19277807464669047</v>
      </c>
      <c r="H38" s="160">
        <f>'PFAS at t0'!E37/1000</f>
        <v>23</v>
      </c>
      <c r="I38" s="93">
        <f t="shared" si="4"/>
        <v>18.2</v>
      </c>
      <c r="J38" s="93">
        <f t="shared" si="9"/>
        <v>4.8000000000000007</v>
      </c>
      <c r="K38" s="236">
        <f t="shared" si="10"/>
        <v>4800.0000000000009</v>
      </c>
      <c r="L38" s="137">
        <f t="shared" si="13"/>
        <v>263.73626373626382</v>
      </c>
      <c r="M38" s="158">
        <f t="shared" si="14"/>
        <v>2.4211698493905125</v>
      </c>
    </row>
    <row r="39" spans="1:13" x14ac:dyDescent="0.25">
      <c r="A39" s="268"/>
      <c r="B39" s="209">
        <v>50</v>
      </c>
      <c r="C39" s="103" t="s">
        <v>25</v>
      </c>
      <c r="D39" s="205" t="str">
        <f t="shared" si="18"/>
        <v>HSM+BM1(1:1)-S50-P50-Day20:PFBS</v>
      </c>
      <c r="E39" s="137">
        <f t="shared" si="16"/>
        <v>74233.333333333328</v>
      </c>
      <c r="F39" s="149">
        <f t="shared" si="17"/>
        <v>4020.3648258999247</v>
      </c>
      <c r="G39" s="217">
        <f t="shared" si="8"/>
        <v>5.415848440817142E-2</v>
      </c>
      <c r="H39" s="160">
        <f>'PFAS at t0'!E38/1000</f>
        <v>59.166666666666664</v>
      </c>
      <c r="I39" s="93">
        <f t="shared" si="4"/>
        <v>74.233333333333334</v>
      </c>
      <c r="J39" s="93">
        <f t="shared" si="9"/>
        <v>-15.06666666666667</v>
      </c>
      <c r="K39" s="239">
        <f t="shared" si="10"/>
        <v>-15066.66666666667</v>
      </c>
      <c r="L39" s="137">
        <f t="shared" si="13"/>
        <v>-202.96362819937139</v>
      </c>
      <c r="M39" s="158" t="e">
        <f t="shared" si="14"/>
        <v>#NUM!</v>
      </c>
    </row>
    <row r="40" spans="1:13" x14ac:dyDescent="0.25">
      <c r="A40" s="268"/>
      <c r="B40" s="209">
        <v>50</v>
      </c>
      <c r="C40" s="103" t="s">
        <v>26</v>
      </c>
      <c r="D40" s="205" t="str">
        <f t="shared" si="18"/>
        <v>HSM+BM1(1:1)-S50-P50-Day20:PFOS</v>
      </c>
      <c r="E40" s="137">
        <f t="shared" si="16"/>
        <v>11466.666666666666</v>
      </c>
      <c r="F40" s="149">
        <f t="shared" si="17"/>
        <v>378.59388972001824</v>
      </c>
      <c r="G40" s="217">
        <f t="shared" si="8"/>
        <v>3.3016908987210894E-2</v>
      </c>
      <c r="H40" s="160">
        <f>'PFAS at t0'!E39/1000</f>
        <v>26.7</v>
      </c>
      <c r="I40" s="93">
        <f t="shared" si="4"/>
        <v>11.466666666666667</v>
      </c>
      <c r="J40" s="93">
        <f t="shared" si="9"/>
        <v>15.233333333333333</v>
      </c>
      <c r="K40" s="236">
        <f t="shared" si="10"/>
        <v>15233.333333333334</v>
      </c>
      <c r="L40" s="137">
        <f t="shared" si="13"/>
        <v>1328.4883720930234</v>
      </c>
      <c r="M40" s="158">
        <f t="shared" si="14"/>
        <v>3.12335775749832</v>
      </c>
    </row>
    <row r="41" spans="1:13" ht="15.75" thickBot="1" x14ac:dyDescent="0.3">
      <c r="A41" s="268"/>
      <c r="B41" s="210">
        <v>50</v>
      </c>
      <c r="C41" s="104" t="s">
        <v>27</v>
      </c>
      <c r="D41" s="207" t="str">
        <f t="shared" si="18"/>
        <v>HSM+BM1(1:1)-S50-P50-Day20:8:2FTS</v>
      </c>
      <c r="E41" s="139">
        <f t="shared" si="16"/>
        <v>13533.333333333334</v>
      </c>
      <c r="F41" s="150">
        <f t="shared" si="17"/>
        <v>3455.9128075420699</v>
      </c>
      <c r="G41" s="218">
        <f t="shared" si="8"/>
        <v>0.25536301533562089</v>
      </c>
      <c r="H41" s="161">
        <f>'PFAS at t0'!E40/1000</f>
        <v>23.2</v>
      </c>
      <c r="I41" s="8">
        <f t="shared" si="4"/>
        <v>13.533333333333333</v>
      </c>
      <c r="J41" s="8">
        <f t="shared" si="9"/>
        <v>9.6666666666666661</v>
      </c>
      <c r="K41" s="237">
        <f t="shared" si="10"/>
        <v>9666.6666666666661</v>
      </c>
      <c r="L41" s="139">
        <f t="shared" si="13"/>
        <v>714.28571428571422</v>
      </c>
      <c r="M41" s="159">
        <f t="shared" si="14"/>
        <v>2.8538719643217618</v>
      </c>
    </row>
    <row r="42" spans="1:13" x14ac:dyDescent="0.25">
      <c r="A42" s="268"/>
      <c r="B42" s="208">
        <v>100</v>
      </c>
      <c r="C42" s="163" t="s">
        <v>22</v>
      </c>
      <c r="D42" s="206" t="str">
        <f>M$3&amp;":"&amp;$C42</f>
        <v>HSM+BM1(1:1)-S50-P100-Day20:PFHxA</v>
      </c>
      <c r="E42" s="135">
        <f t="shared" ref="E42:E47" si="19">AVERAGE(M15:O15)</f>
        <v>147000</v>
      </c>
      <c r="F42" s="148">
        <f t="shared" ref="F42:F47" si="20">STDEV(M15:O15)</f>
        <v>2828.4271247461902</v>
      </c>
      <c r="G42" s="216">
        <f t="shared" si="8"/>
        <v>1.9241000848613538E-2</v>
      </c>
      <c r="H42" s="171">
        <f>'PFAS at t0'!E41/1000</f>
        <v>120</v>
      </c>
      <c r="I42" s="234">
        <f t="shared" si="4"/>
        <v>147</v>
      </c>
      <c r="J42" s="234">
        <f t="shared" si="9"/>
        <v>-27</v>
      </c>
      <c r="K42" s="240">
        <f t="shared" si="10"/>
        <v>-27000</v>
      </c>
      <c r="L42" s="135">
        <f t="shared" si="13"/>
        <v>-183.67346938775509</v>
      </c>
      <c r="M42" s="199" t="e">
        <f t="shared" si="14"/>
        <v>#NUM!</v>
      </c>
    </row>
    <row r="43" spans="1:13" x14ac:dyDescent="0.25">
      <c r="A43" s="268"/>
      <c r="B43" s="209">
        <v>100</v>
      </c>
      <c r="C43" s="103" t="s">
        <v>23</v>
      </c>
      <c r="D43" s="205" t="str">
        <f t="shared" ref="D43:D47" si="21">M$3&amp;":"&amp;$C43</f>
        <v>HSM+BM1(1:1)-S50-P100-Day20:PFOA</v>
      </c>
      <c r="E43" s="137">
        <f t="shared" si="19"/>
        <v>61300</v>
      </c>
      <c r="F43" s="149">
        <f t="shared" si="20"/>
        <v>1272.7922061357856</v>
      </c>
      <c r="G43" s="217">
        <f t="shared" si="8"/>
        <v>2.0763331258332556E-2</v>
      </c>
      <c r="H43" s="160">
        <f>'PFAS at t0'!E42/1000</f>
        <v>62.8</v>
      </c>
      <c r="I43" s="93">
        <f t="shared" si="4"/>
        <v>61.3</v>
      </c>
      <c r="J43" s="93">
        <f t="shared" si="9"/>
        <v>1.5</v>
      </c>
      <c r="K43">
        <f t="shared" si="10"/>
        <v>1500.0000000000002</v>
      </c>
      <c r="L43" s="137">
        <f t="shared" si="13"/>
        <v>24.469820554649271</v>
      </c>
      <c r="M43" s="158">
        <f t="shared" si="14"/>
        <v>1.3886307845372663</v>
      </c>
    </row>
    <row r="44" spans="1:13" x14ac:dyDescent="0.25">
      <c r="A44" s="268"/>
      <c r="B44" s="209">
        <v>100</v>
      </c>
      <c r="C44" s="103" t="s">
        <v>24</v>
      </c>
      <c r="D44" s="205" t="str">
        <f t="shared" si="21"/>
        <v>HSM+BM1(1:1)-S50-P100-Day20:PFNA</v>
      </c>
      <c r="E44" s="137">
        <f t="shared" si="19"/>
        <v>35300</v>
      </c>
      <c r="F44" s="149">
        <f t="shared" si="20"/>
        <v>424.26406871192853</v>
      </c>
      <c r="G44" s="217">
        <f t="shared" si="8"/>
        <v>1.201881214481384E-2</v>
      </c>
      <c r="H44" s="160">
        <f>'PFAS at t0'!E43/1000</f>
        <v>55.2</v>
      </c>
      <c r="I44" s="93">
        <f t="shared" si="4"/>
        <v>35.299999999999997</v>
      </c>
      <c r="J44" s="93">
        <f t="shared" si="9"/>
        <v>19.900000000000006</v>
      </c>
      <c r="K44" s="236">
        <f t="shared" si="10"/>
        <v>19900.000000000007</v>
      </c>
      <c r="L44" s="137">
        <f t="shared" si="13"/>
        <v>563.73937677053846</v>
      </c>
      <c r="M44" s="158">
        <f t="shared" si="14"/>
        <v>2.7510783710218845</v>
      </c>
    </row>
    <row r="45" spans="1:13" x14ac:dyDescent="0.25">
      <c r="A45" s="268"/>
      <c r="B45" s="209">
        <v>100</v>
      </c>
      <c r="C45" s="103" t="s">
        <v>25</v>
      </c>
      <c r="D45" s="205" t="str">
        <f t="shared" si="21"/>
        <v>HSM+BM1(1:1)-S50-P100-Day20:PFBS</v>
      </c>
      <c r="E45" s="137">
        <f t="shared" si="19"/>
        <v>189500</v>
      </c>
      <c r="F45" s="149">
        <f t="shared" si="20"/>
        <v>2121.3203435596424</v>
      </c>
      <c r="G45" s="217">
        <f t="shared" si="8"/>
        <v>1.1194302604536372E-2</v>
      </c>
      <c r="H45" s="160">
        <f>'PFAS at t0'!E44/1000</f>
        <v>143</v>
      </c>
      <c r="I45" s="93">
        <f t="shared" si="4"/>
        <v>189.5</v>
      </c>
      <c r="J45" s="93">
        <f t="shared" si="9"/>
        <v>-46.5</v>
      </c>
      <c r="K45" s="239">
        <f t="shared" si="10"/>
        <v>-46500</v>
      </c>
      <c r="L45" s="137">
        <f t="shared" si="13"/>
        <v>-245.38258575197889</v>
      </c>
      <c r="M45" s="158" t="e">
        <f t="shared" si="14"/>
        <v>#NUM!</v>
      </c>
    </row>
    <row r="46" spans="1:13" x14ac:dyDescent="0.25">
      <c r="A46" s="268"/>
      <c r="B46" s="209">
        <v>100</v>
      </c>
      <c r="C46" s="103" t="s">
        <v>26</v>
      </c>
      <c r="D46" s="205" t="str">
        <f t="shared" si="21"/>
        <v>HSM+BM1(1:1)-S50-P100-Day20:PFOS</v>
      </c>
      <c r="E46" s="137">
        <f t="shared" si="19"/>
        <v>25850</v>
      </c>
      <c r="F46" s="149">
        <f t="shared" si="20"/>
        <v>7990.3066274079874</v>
      </c>
      <c r="G46" s="217">
        <f t="shared" si="8"/>
        <v>0.30910277088618909</v>
      </c>
      <c r="H46" s="160">
        <f>'PFAS at t0'!E45/1000</f>
        <v>58.8</v>
      </c>
      <c r="I46" s="93">
        <f t="shared" si="4"/>
        <v>25.85</v>
      </c>
      <c r="J46" s="93">
        <f t="shared" si="9"/>
        <v>32.949999999999996</v>
      </c>
      <c r="K46" s="236">
        <f t="shared" si="10"/>
        <v>32950</v>
      </c>
      <c r="L46" s="137">
        <f t="shared" si="13"/>
        <v>1274.6615087040618</v>
      </c>
      <c r="M46" s="158">
        <f t="shared" si="14"/>
        <v>3.1053948715000672</v>
      </c>
    </row>
    <row r="47" spans="1:13" ht="15.75" thickBot="1" x14ac:dyDescent="0.3">
      <c r="A47" s="268"/>
      <c r="B47" s="210">
        <v>100</v>
      </c>
      <c r="C47" s="104" t="s">
        <v>27</v>
      </c>
      <c r="D47" s="207" t="str">
        <f t="shared" si="21"/>
        <v>HSM+BM1(1:1)-S50-P100-Day20:8:2FTS</v>
      </c>
      <c r="E47" s="139">
        <f t="shared" si="19"/>
        <v>31550</v>
      </c>
      <c r="F47" s="150">
        <f t="shared" si="20"/>
        <v>8273.149339882606</v>
      </c>
      <c r="G47" s="218">
        <f t="shared" si="8"/>
        <v>0.26222343391070069</v>
      </c>
      <c r="H47" s="161">
        <f>'PFAS at t0'!E46/1000</f>
        <v>47.333333333333336</v>
      </c>
      <c r="I47" s="8">
        <f t="shared" si="4"/>
        <v>31.55</v>
      </c>
      <c r="J47" s="8">
        <f t="shared" si="9"/>
        <v>15.783333333333335</v>
      </c>
      <c r="K47" s="237">
        <f t="shared" si="10"/>
        <v>15783.333333333336</v>
      </c>
      <c r="L47" s="139">
        <f t="shared" si="13"/>
        <v>500.26413100898054</v>
      </c>
      <c r="M47" s="159">
        <f t="shared" si="14"/>
        <v>2.6991993650394766</v>
      </c>
    </row>
    <row r="48" spans="1:13" x14ac:dyDescent="0.25">
      <c r="A48" s="268"/>
      <c r="B48" s="208">
        <v>500</v>
      </c>
      <c r="C48" s="163" t="s">
        <v>22</v>
      </c>
      <c r="D48" s="206" t="str">
        <f>P$3&amp;":"&amp;$C48</f>
        <v>HSM+BM1(1:1)-S50-P500-Day20:PFHxA</v>
      </c>
      <c r="E48" s="135">
        <f t="shared" ref="E48:E53" si="22">AVERAGE(P15:R15)</f>
        <v>922666.66666666663</v>
      </c>
      <c r="F48" s="148">
        <f t="shared" ref="F48:F53" si="23">STDEV(P15:R15)</f>
        <v>229715.76640129264</v>
      </c>
      <c r="G48" s="216">
        <f t="shared" si="8"/>
        <v>0.248969400001401</v>
      </c>
      <c r="H48" s="160">
        <f>'PFAS at t0'!E47/1000</f>
        <v>711</v>
      </c>
      <c r="I48" s="93">
        <f t="shared" si="4"/>
        <v>922.66666666666663</v>
      </c>
      <c r="J48" s="93">
        <f t="shared" si="9"/>
        <v>-211.66666666666663</v>
      </c>
      <c r="K48" s="239">
        <f t="shared" si="10"/>
        <v>-211666.66666666663</v>
      </c>
      <c r="L48" s="137">
        <f t="shared" si="13"/>
        <v>-229.40751445086701</v>
      </c>
      <c r="M48" s="158" t="e">
        <f t="shared" si="14"/>
        <v>#NUM!</v>
      </c>
    </row>
    <row r="49" spans="1:55" x14ac:dyDescent="0.25">
      <c r="A49" s="268"/>
      <c r="B49" s="209">
        <v>500</v>
      </c>
      <c r="C49" s="103" t="s">
        <v>23</v>
      </c>
      <c r="D49" s="205" t="str">
        <f t="shared" ref="D49:D53" si="24">P$3&amp;":"&amp;$C49</f>
        <v>HSM+BM1(1:1)-S50-P500-Day20:PFOA</v>
      </c>
      <c r="E49" s="137">
        <f t="shared" si="22"/>
        <v>374000</v>
      </c>
      <c r="F49" s="149">
        <f t="shared" si="23"/>
        <v>29816.103031751147</v>
      </c>
      <c r="G49" s="217">
        <f t="shared" si="8"/>
        <v>7.9722200619655473E-2</v>
      </c>
      <c r="H49" s="160">
        <f>'PFAS at t0'!E48/1000</f>
        <v>467</v>
      </c>
      <c r="I49" s="93">
        <f t="shared" si="4"/>
        <v>374</v>
      </c>
      <c r="J49" s="93">
        <f t="shared" si="9"/>
        <v>93</v>
      </c>
      <c r="K49" s="236">
        <f t="shared" si="10"/>
        <v>93000</v>
      </c>
      <c r="L49" s="137">
        <f t="shared" si="13"/>
        <v>248.66310160427807</v>
      </c>
      <c r="M49" s="158">
        <f t="shared" si="14"/>
        <v>2.395611346353455</v>
      </c>
    </row>
    <row r="50" spans="1:55" x14ac:dyDescent="0.25">
      <c r="A50" s="268"/>
      <c r="B50" s="209">
        <v>500</v>
      </c>
      <c r="C50" s="103" t="s">
        <v>24</v>
      </c>
      <c r="D50" s="205" t="str">
        <f t="shared" si="24"/>
        <v>HSM+BM1(1:1)-S50-P500-Day20:PFNA</v>
      </c>
      <c r="E50" s="137">
        <f t="shared" si="22"/>
        <v>234000</v>
      </c>
      <c r="F50" s="149">
        <f t="shared" si="23"/>
        <v>39357.337308308852</v>
      </c>
      <c r="G50" s="217">
        <f t="shared" si="8"/>
        <v>0.16819374918080707</v>
      </c>
      <c r="H50" s="160">
        <f>'PFAS at t0'!E49/1000</f>
        <v>373</v>
      </c>
      <c r="I50" s="93">
        <f t="shared" si="4"/>
        <v>234</v>
      </c>
      <c r="J50" s="93">
        <f t="shared" si="9"/>
        <v>139</v>
      </c>
      <c r="K50" s="236">
        <f t="shared" si="10"/>
        <v>139000</v>
      </c>
      <c r="L50" s="137">
        <f t="shared" si="13"/>
        <v>594.017094017094</v>
      </c>
      <c r="M50" s="158">
        <f t="shared" si="14"/>
        <v>2.773798942843952</v>
      </c>
    </row>
    <row r="51" spans="1:55" x14ac:dyDescent="0.25">
      <c r="A51" s="268"/>
      <c r="B51" s="209">
        <v>500</v>
      </c>
      <c r="C51" s="103" t="s">
        <v>25</v>
      </c>
      <c r="D51" s="205" t="str">
        <f t="shared" si="24"/>
        <v>HSM+BM1(1:1)-S50-P500-Day20:PFBS</v>
      </c>
      <c r="E51" s="137">
        <f t="shared" si="22"/>
        <v>1253333.3333333333</v>
      </c>
      <c r="F51" s="149">
        <f t="shared" si="23"/>
        <v>187705.44300401493</v>
      </c>
      <c r="G51" s="217">
        <f t="shared" si="8"/>
        <v>0.14976498112022468</v>
      </c>
      <c r="H51" s="160">
        <f>'PFAS at t0'!E50/1000</f>
        <v>867</v>
      </c>
      <c r="I51" s="93">
        <f t="shared" si="4"/>
        <v>1253.3333333333333</v>
      </c>
      <c r="J51" s="93">
        <f t="shared" si="9"/>
        <v>-386.33333333333326</v>
      </c>
      <c r="K51" s="239">
        <f t="shared" si="10"/>
        <v>-386333.33333333326</v>
      </c>
      <c r="L51" s="137">
        <f t="shared" si="13"/>
        <v>-308.24468085106378</v>
      </c>
      <c r="M51" s="158" t="e">
        <f t="shared" si="14"/>
        <v>#NUM!</v>
      </c>
    </row>
    <row r="52" spans="1:55" x14ac:dyDescent="0.25">
      <c r="A52" s="268"/>
      <c r="B52" s="209">
        <v>500</v>
      </c>
      <c r="C52" s="103" t="s">
        <v>26</v>
      </c>
      <c r="D52" s="205" t="str">
        <f t="shared" si="24"/>
        <v>HSM+BM1(1:1)-S50-P500-Day20:PFOS</v>
      </c>
      <c r="E52" s="137">
        <f t="shared" si="22"/>
        <v>180000</v>
      </c>
      <c r="F52" s="149">
        <f t="shared" si="23"/>
        <v>10148.891565092219</v>
      </c>
      <c r="G52" s="217">
        <f t="shared" si="8"/>
        <v>5.6382730917178991E-2</v>
      </c>
      <c r="H52" s="160">
        <f>'PFAS at t0'!E51/1000</f>
        <v>400</v>
      </c>
      <c r="I52" s="93">
        <f t="shared" si="4"/>
        <v>180</v>
      </c>
      <c r="J52" s="93">
        <f t="shared" si="9"/>
        <v>220</v>
      </c>
      <c r="K52" s="236">
        <f t="shared" si="10"/>
        <v>220000</v>
      </c>
      <c r="L52" s="137">
        <f t="shared" si="13"/>
        <v>1222.2222222222222</v>
      </c>
      <c r="M52" s="158">
        <f t="shared" si="14"/>
        <v>3.0871501757189002</v>
      </c>
    </row>
    <row r="53" spans="1:55" ht="15.75" thickBot="1" x14ac:dyDescent="0.3">
      <c r="A53" s="268"/>
      <c r="B53" s="210">
        <v>500</v>
      </c>
      <c r="C53" s="104" t="s">
        <v>27</v>
      </c>
      <c r="D53" s="207" t="str">
        <f t="shared" si="24"/>
        <v>HSM+BM1(1:1)-S50-P500-Day20:8:2FTS</v>
      </c>
      <c r="E53" s="139">
        <f t="shared" si="22"/>
        <v>238333.33333333334</v>
      </c>
      <c r="F53" s="150">
        <f t="shared" si="23"/>
        <v>22278.539748675928</v>
      </c>
      <c r="G53" s="218">
        <f t="shared" si="8"/>
        <v>9.3476390553885014E-2</v>
      </c>
      <c r="H53" s="161">
        <f>'PFAS at t0'!E52/1000</f>
        <v>454.33333333333331</v>
      </c>
      <c r="I53" s="8">
        <f t="shared" si="4"/>
        <v>238.33333333333334</v>
      </c>
      <c r="J53" s="8">
        <f t="shared" si="9"/>
        <v>215.99999999999997</v>
      </c>
      <c r="K53" s="237">
        <f t="shared" si="10"/>
        <v>215999.99999999997</v>
      </c>
      <c r="L53" s="139">
        <f t="shared" si="13"/>
        <v>906.29370629370612</v>
      </c>
      <c r="M53" s="159">
        <f t="shared" si="14"/>
        <v>2.9572689640695127</v>
      </c>
    </row>
    <row r="56" spans="1:55" ht="21" x14ac:dyDescent="0.35">
      <c r="C56" s="219" t="s">
        <v>1279</v>
      </c>
      <c r="AR56" s="249" t="s">
        <v>1315</v>
      </c>
      <c r="AS56" s="249"/>
    </row>
    <row r="57" spans="1:55" ht="21" x14ac:dyDescent="0.35">
      <c r="C57" s="219"/>
    </row>
    <row r="58" spans="1:55" x14ac:dyDescent="0.25">
      <c r="C58" s="262" t="s">
        <v>1303</v>
      </c>
      <c r="D58" s="262"/>
      <c r="E58" s="262"/>
      <c r="F58" s="262"/>
      <c r="G58" s="262"/>
      <c r="I58" s="263" t="s">
        <v>1304</v>
      </c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C58" s="264" t="s">
        <v>1305</v>
      </c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S58" s="260" t="s">
        <v>1301</v>
      </c>
      <c r="AT58" s="260"/>
      <c r="AU58" s="260"/>
      <c r="AV58" s="260"/>
      <c r="AW58" s="260"/>
      <c r="AX58" s="260"/>
      <c r="AY58" s="260"/>
    </row>
    <row r="59" spans="1:55" ht="76.5" x14ac:dyDescent="0.35">
      <c r="C59" s="225" t="s">
        <v>1280</v>
      </c>
      <c r="D59" s="225" t="s">
        <v>243</v>
      </c>
      <c r="E59" s="225" t="s">
        <v>1281</v>
      </c>
      <c r="F59" s="225" t="s">
        <v>1286</v>
      </c>
      <c r="G59" s="225" t="s">
        <v>1287</v>
      </c>
      <c r="H59" s="10"/>
      <c r="I59" s="225" t="s">
        <v>1282</v>
      </c>
      <c r="J59" s="225" t="s">
        <v>1283</v>
      </c>
      <c r="K59" s="225" t="s">
        <v>1284</v>
      </c>
      <c r="L59" s="225" t="s">
        <v>1285</v>
      </c>
      <c r="M59" s="101"/>
      <c r="N59" s="101"/>
      <c r="O59" s="101"/>
      <c r="P59" s="101"/>
      <c r="Q59" s="101"/>
      <c r="R59" s="101"/>
      <c r="T59" s="222" t="s">
        <v>1288</v>
      </c>
      <c r="U59" s="222" t="s">
        <v>1289</v>
      </c>
      <c r="V59" s="222" t="s">
        <v>1290</v>
      </c>
      <c r="W59" s="222" t="s">
        <v>1291</v>
      </c>
      <c r="X59" s="230" t="s">
        <v>1292</v>
      </c>
      <c r="Y59" s="230" t="s">
        <v>1293</v>
      </c>
      <c r="Z59" s="223" t="s">
        <v>1294</v>
      </c>
      <c r="AA59" s="224" t="s">
        <v>1295</v>
      </c>
      <c r="AC59" s="225" t="s">
        <v>1296</v>
      </c>
      <c r="AD59" s="225" t="s">
        <v>1297</v>
      </c>
      <c r="AE59" s="226" t="s">
        <v>1298</v>
      </c>
      <c r="AF59" s="223" t="s">
        <v>1299</v>
      </c>
      <c r="AG59" s="223" t="s">
        <v>1300</v>
      </c>
      <c r="AH59" s="223" t="s">
        <v>1301</v>
      </c>
      <c r="AR59" s="250" t="s">
        <v>1286</v>
      </c>
      <c r="AS59" s="33" t="s">
        <v>22</v>
      </c>
      <c r="AT59" s="250" t="s">
        <v>1286</v>
      </c>
      <c r="AU59" s="33" t="s">
        <v>23</v>
      </c>
      <c r="AV59" s="250" t="s">
        <v>1286</v>
      </c>
      <c r="AW59" s="33" t="s">
        <v>24</v>
      </c>
      <c r="AX59" s="250" t="s">
        <v>1286</v>
      </c>
      <c r="AY59" s="33" t="s">
        <v>25</v>
      </c>
      <c r="AZ59" s="250" t="s">
        <v>1286</v>
      </c>
      <c r="BA59" s="33" t="s">
        <v>26</v>
      </c>
      <c r="BB59" s="250" t="s">
        <v>1286</v>
      </c>
      <c r="BC59" s="33" t="s">
        <v>1316</v>
      </c>
    </row>
    <row r="60" spans="1:55" x14ac:dyDescent="0.25">
      <c r="C60" s="33" t="str">
        <f>D4</f>
        <v>HSM+BM1(1:1)</v>
      </c>
      <c r="D60" s="33" t="str">
        <f>C24</f>
        <v>PFHxA</v>
      </c>
      <c r="E60" s="33">
        <f>B30</f>
        <v>10</v>
      </c>
      <c r="F60" s="220">
        <f>I30</f>
        <v>15.366666666666665</v>
      </c>
      <c r="G60" s="220">
        <f>K30</f>
        <v>33.333333333334991</v>
      </c>
      <c r="I60" s="220">
        <f>SLOPE(G60:G63,F60:F63)</f>
        <v>-234.33111332521347</v>
      </c>
      <c r="J60" s="221" t="e">
        <f>LOG(I60)</f>
        <v>#NUM!</v>
      </c>
      <c r="K60" s="33">
        <f>V60/L60*Y60</f>
        <v>-1.109342515188562E-9</v>
      </c>
      <c r="L60" s="33">
        <f>1/W60*X60</f>
        <v>-2303603963.0106411</v>
      </c>
      <c r="T60" s="204">
        <f>1/F60</f>
        <v>6.5075921908893719E-2</v>
      </c>
      <c r="U60" s="204">
        <f>1/G60</f>
        <v>2.9999999999998507E-2</v>
      </c>
      <c r="V60" s="204">
        <f>1/(SLOPE(U60:U63,T60:T63))</f>
        <v>1.9943983986202458</v>
      </c>
      <c r="W60" s="204">
        <f>INTERCEPT(U60:U63,T60:T63)</f>
        <v>-3.8818211263240447E-3</v>
      </c>
      <c r="X60" s="229">
        <v>8942178.5302984994</v>
      </c>
      <c r="Y60" s="229">
        <v>1.2813316617645132</v>
      </c>
      <c r="Z60" s="227">
        <f>L60*(K60*F60/(1+K60*F60))</f>
        <v>39.269299349540482</v>
      </c>
      <c r="AA60" s="227">
        <f>(G60-Z60)^2</f>
        <v>35.235692545546485</v>
      </c>
      <c r="AC60" s="33" t="e">
        <f>INTERCEPT(AG60:AG63,AF60:AF63)</f>
        <v>#NUM!</v>
      </c>
      <c r="AD60" s="33" t="e">
        <f>10^AC60</f>
        <v>#NUM!</v>
      </c>
      <c r="AE60" s="34" t="e">
        <f>SLOPE(AG60:AG63,AF60:AF63)</f>
        <v>#NUM!</v>
      </c>
      <c r="AF60" s="204">
        <f t="shared" ref="AF60:AG63" si="25">LOG(F60)</f>
        <v>1.1865796706699856</v>
      </c>
      <c r="AG60" s="204">
        <f t="shared" si="25"/>
        <v>1.5228787452803592</v>
      </c>
      <c r="AH60" s="204" t="e">
        <f>AD60*F60^AE60</f>
        <v>#NUM!</v>
      </c>
      <c r="AR60" s="251">
        <v>0</v>
      </c>
      <c r="AS60" s="241" t="e">
        <f>AD$60*AR60^AE$60</f>
        <v>#NUM!</v>
      </c>
      <c r="AT60" s="251">
        <v>0</v>
      </c>
      <c r="AU60" s="241">
        <f>AD$73*AT60^AE$73</f>
        <v>0</v>
      </c>
      <c r="AV60" s="251">
        <v>0</v>
      </c>
      <c r="AW60" s="241">
        <f>AD$86*AV60^AE$86</f>
        <v>0</v>
      </c>
      <c r="AX60" s="251">
        <v>0</v>
      </c>
      <c r="AY60" s="241" t="e">
        <f t="shared" ref="AY60:AY84" si="26">AD$98*AX60^AE$98</f>
        <v>#NUM!</v>
      </c>
      <c r="AZ60" s="251">
        <v>0</v>
      </c>
      <c r="BA60" s="241">
        <f t="shared" ref="BA60:BA84" si="27">AD$111*AZ60^AE$111</f>
        <v>0</v>
      </c>
      <c r="BB60" s="251">
        <v>0</v>
      </c>
      <c r="BC60" s="241">
        <f t="shared" ref="BC60:BC84" si="28">AD$124*BB60^AE$124</f>
        <v>0</v>
      </c>
    </row>
    <row r="61" spans="1:55" x14ac:dyDescent="0.25">
      <c r="C61" s="33" t="str">
        <f>C60</f>
        <v>HSM+BM1(1:1)</v>
      </c>
      <c r="D61" s="33" t="str">
        <f>D60</f>
        <v>PFHxA</v>
      </c>
      <c r="E61" s="33">
        <f>B36</f>
        <v>50</v>
      </c>
      <c r="F61" s="220">
        <f>I36</f>
        <v>57</v>
      </c>
      <c r="G61" s="238">
        <f>K36</f>
        <v>-9500</v>
      </c>
      <c r="T61" s="204">
        <f t="shared" ref="T61:U63" si="29">1/F61</f>
        <v>1.7543859649122806E-2</v>
      </c>
      <c r="U61" s="204">
        <f t="shared" si="29"/>
        <v>-1.0526315789473685E-4</v>
      </c>
      <c r="V61" s="200"/>
      <c r="W61" s="200"/>
      <c r="X61" s="200"/>
      <c r="Y61" s="200"/>
      <c r="Z61" s="227">
        <f>L60*(K60*F61/(1+K60*F61))</f>
        <v>145.66270062712024</v>
      </c>
      <c r="AA61" s="227">
        <f>(G61-Z61)^2</f>
        <v>93038808.934269279</v>
      </c>
      <c r="AF61" s="204">
        <f t="shared" si="25"/>
        <v>1.7558748556724915</v>
      </c>
      <c r="AG61" s="204" t="e">
        <f t="shared" si="25"/>
        <v>#NUM!</v>
      </c>
      <c r="AH61" s="204" t="e">
        <f>AD60*F61^AE60</f>
        <v>#NUM!</v>
      </c>
      <c r="AR61" s="252">
        <f t="shared" ref="AR61:BB82" si="30">0.78*AR62</f>
        <v>3.042430687541561</v>
      </c>
      <c r="AS61" s="241" t="e">
        <f>AD$60*AR61^AE$60</f>
        <v>#NUM!</v>
      </c>
      <c r="AT61" s="252">
        <f t="shared" si="30"/>
        <v>1.233239606727468</v>
      </c>
      <c r="AU61" s="241">
        <f t="shared" ref="AU61:AU84" si="31">AD$73*AT61^AE$73</f>
        <v>34.273170969633306</v>
      </c>
      <c r="AV61" s="252">
        <f t="shared" si="30"/>
        <v>0.771599112230555</v>
      </c>
      <c r="AW61" s="241">
        <f>AD$86*AV61^AE$86</f>
        <v>296.61353065819389</v>
      </c>
      <c r="AX61" s="252">
        <f t="shared" si="30"/>
        <v>4.1327815697818888</v>
      </c>
      <c r="AY61" s="241" t="e">
        <f t="shared" si="26"/>
        <v>#NUM!</v>
      </c>
      <c r="AZ61" s="252">
        <f t="shared" si="30"/>
        <v>0.59353777863888846</v>
      </c>
      <c r="BA61" s="241">
        <f t="shared" si="27"/>
        <v>1033.3529073685552</v>
      </c>
      <c r="BB61" s="252">
        <f t="shared" si="30"/>
        <v>0.78588798467926868</v>
      </c>
      <c r="BC61" s="241">
        <f t="shared" si="28"/>
        <v>1089.5627847894032</v>
      </c>
    </row>
    <row r="62" spans="1:55" x14ac:dyDescent="0.25">
      <c r="C62" s="33" t="str">
        <f t="shared" ref="C62:D63" si="32">C61</f>
        <v>HSM+BM1(1:1)</v>
      </c>
      <c r="D62" s="33" t="str">
        <f t="shared" si="32"/>
        <v>PFHxA</v>
      </c>
      <c r="E62" s="33">
        <f>B42</f>
        <v>100</v>
      </c>
      <c r="F62" s="220">
        <f>I42</f>
        <v>147</v>
      </c>
      <c r="G62" s="238">
        <f>K42</f>
        <v>-27000</v>
      </c>
      <c r="T62" s="204">
        <f t="shared" si="29"/>
        <v>6.8027210884353739E-3</v>
      </c>
      <c r="U62" s="204">
        <f t="shared" si="29"/>
        <v>-3.7037037037037037E-5</v>
      </c>
      <c r="V62" s="200"/>
      <c r="W62" s="200"/>
      <c r="X62" s="200"/>
      <c r="Y62" s="200"/>
      <c r="Z62" s="227">
        <f>L60*(K60*F62/(1+K60*F62))</f>
        <v>375.65647596527077</v>
      </c>
      <c r="AA62" s="227">
        <f>(G62-Z62)^2</f>
        <v>749426567.49005938</v>
      </c>
      <c r="AF62" s="204">
        <f t="shared" si="25"/>
        <v>2.167317334748176</v>
      </c>
      <c r="AG62" s="204" t="e">
        <f t="shared" si="25"/>
        <v>#NUM!</v>
      </c>
      <c r="AH62" s="204" t="e">
        <f>AD60*F62^AE60</f>
        <v>#NUM!</v>
      </c>
      <c r="AR62" s="253">
        <f t="shared" si="30"/>
        <v>3.9005521635148215</v>
      </c>
      <c r="AS62" s="241" t="e">
        <f t="shared" ref="AS62:AS84" si="33">AD$60*AR62^AE$60</f>
        <v>#NUM!</v>
      </c>
      <c r="AT62" s="253">
        <f t="shared" si="30"/>
        <v>1.5810764188813691</v>
      </c>
      <c r="AU62" s="241">
        <f>AD$73*AT62^AE$73</f>
        <v>46.825755587676511</v>
      </c>
      <c r="AV62" s="253">
        <f t="shared" si="30"/>
        <v>0.9892296310648141</v>
      </c>
      <c r="AW62" s="241">
        <f t="shared" ref="AW62:AW84" si="34">AD$86*AV62^AE$86</f>
        <v>385.65828701092039</v>
      </c>
      <c r="AX62" s="253">
        <f t="shared" si="30"/>
        <v>5.29843790997678</v>
      </c>
      <c r="AY62" s="241" t="e">
        <f t="shared" si="26"/>
        <v>#NUM!</v>
      </c>
      <c r="AZ62" s="253">
        <f t="shared" si="30"/>
        <v>0.76094587004985703</v>
      </c>
      <c r="BA62" s="241">
        <f t="shared" si="27"/>
        <v>1301.966242818932</v>
      </c>
      <c r="BB62" s="253">
        <f t="shared" si="30"/>
        <v>1.0075486983067548</v>
      </c>
      <c r="BC62" s="241">
        <f t="shared" si="28"/>
        <v>1349.1234362779057</v>
      </c>
    </row>
    <row r="63" spans="1:55" ht="15.75" thickBot="1" x14ac:dyDescent="0.3">
      <c r="C63" s="33" t="str">
        <f t="shared" si="32"/>
        <v>HSM+BM1(1:1)</v>
      </c>
      <c r="D63" s="33" t="str">
        <f t="shared" si="32"/>
        <v>PFHxA</v>
      </c>
      <c r="E63" s="33">
        <f>B48</f>
        <v>500</v>
      </c>
      <c r="F63" s="220">
        <f>I48</f>
        <v>922.66666666666663</v>
      </c>
      <c r="G63" s="238">
        <f>K48</f>
        <v>-211666.66666666663</v>
      </c>
      <c r="T63" s="204">
        <f t="shared" si="29"/>
        <v>1.0838150289017342E-3</v>
      </c>
      <c r="U63" s="204">
        <f t="shared" si="29"/>
        <v>-4.7244094488188983E-6</v>
      </c>
      <c r="V63" s="200"/>
      <c r="W63" s="200"/>
      <c r="X63" s="200"/>
      <c r="Y63" s="200"/>
      <c r="Z63" s="227">
        <f>L60*(K60*F63/(1+K60*F63))</f>
        <v>2357.86399141641</v>
      </c>
      <c r="AA63" s="232">
        <f>(G63-Z63)^2</f>
        <v>45806499723.412727</v>
      </c>
      <c r="AF63" s="204">
        <f t="shared" si="25"/>
        <v>2.9650448310650579</v>
      </c>
      <c r="AG63" s="204" t="e">
        <f t="shared" si="25"/>
        <v>#NUM!</v>
      </c>
      <c r="AH63" s="204" t="e">
        <f>AD60*F63^AE60</f>
        <v>#NUM!</v>
      </c>
      <c r="AR63" s="253">
        <f t="shared" si="30"/>
        <v>5.0007079019420786</v>
      </c>
      <c r="AS63" s="241" t="e">
        <f>AD$60*AR63^AE$60</f>
        <v>#NUM!</v>
      </c>
      <c r="AT63" s="253">
        <f t="shared" si="30"/>
        <v>2.0270210498479089</v>
      </c>
      <c r="AU63" s="241">
        <f t="shared" si="31"/>
        <v>63.975737415704856</v>
      </c>
      <c r="AV63" s="253">
        <f t="shared" si="30"/>
        <v>1.2682431167497616</v>
      </c>
      <c r="AW63" s="241">
        <f>AD$86*AV63^AE$86</f>
        <v>501.43469183673523</v>
      </c>
      <c r="AX63" s="253">
        <f t="shared" si="30"/>
        <v>6.7928691153548462</v>
      </c>
      <c r="AY63" s="241" t="e">
        <f t="shared" si="26"/>
        <v>#NUM!</v>
      </c>
      <c r="AZ63" s="253">
        <f t="shared" si="30"/>
        <v>0.97557162826904742</v>
      </c>
      <c r="BA63" s="241">
        <f t="shared" si="27"/>
        <v>1640.4038594681826</v>
      </c>
      <c r="BB63" s="253">
        <f t="shared" si="30"/>
        <v>1.2917291003932752</v>
      </c>
      <c r="BC63" s="241">
        <f t="shared" si="28"/>
        <v>1670.5178184533072</v>
      </c>
    </row>
    <row r="64" spans="1:55" ht="15.75" thickBot="1" x14ac:dyDescent="0.3">
      <c r="T64" s="200"/>
      <c r="U64" s="200"/>
      <c r="V64" s="200"/>
      <c r="W64" s="200"/>
      <c r="X64" s="200"/>
      <c r="Y64" s="200"/>
      <c r="Z64" s="231" t="s">
        <v>1302</v>
      </c>
      <c r="AA64" s="233">
        <f>SUM(AA60:AA63)</f>
        <v>46648965135.072746</v>
      </c>
      <c r="AF64" s="200"/>
      <c r="AG64" s="200"/>
      <c r="AH64" s="200"/>
      <c r="AR64" s="253">
        <f t="shared" si="30"/>
        <v>6.411163976848818</v>
      </c>
      <c r="AS64" s="241" t="e">
        <f t="shared" si="33"/>
        <v>#NUM!</v>
      </c>
      <c r="AT64" s="253">
        <f t="shared" si="30"/>
        <v>2.5987449357024475</v>
      </c>
      <c r="AU64" s="241">
        <f t="shared" si="31"/>
        <v>87.406917977429856</v>
      </c>
      <c r="AV64" s="253">
        <f t="shared" si="30"/>
        <v>1.6259527137817458</v>
      </c>
      <c r="AW64" s="241">
        <f t="shared" si="34"/>
        <v>651.96770987649461</v>
      </c>
      <c r="AX64" s="253">
        <f t="shared" si="30"/>
        <v>8.7088065581472378</v>
      </c>
      <c r="AY64" s="241" t="e">
        <f t="shared" si="26"/>
        <v>#NUM!</v>
      </c>
      <c r="AZ64" s="253">
        <f t="shared" si="30"/>
        <v>1.250732856755189</v>
      </c>
      <c r="BA64" s="241">
        <f t="shared" si="27"/>
        <v>2066.8161229218172</v>
      </c>
      <c r="BB64" s="253">
        <f t="shared" si="30"/>
        <v>1.6560629492221477</v>
      </c>
      <c r="BC64" s="241">
        <f t="shared" si="28"/>
        <v>2068.4762466724769</v>
      </c>
    </row>
    <row r="65" spans="3:55" x14ac:dyDescent="0.25">
      <c r="T65" s="200"/>
      <c r="U65" s="200"/>
      <c r="V65" s="200"/>
      <c r="W65" s="200"/>
      <c r="X65" s="200"/>
      <c r="Y65" s="200"/>
      <c r="Z65" s="200"/>
      <c r="AA65" s="228"/>
      <c r="AF65" s="200"/>
      <c r="AG65" s="200"/>
      <c r="AH65" s="200"/>
      <c r="AR65" s="253">
        <f t="shared" si="30"/>
        <v>8.2194409959600225</v>
      </c>
      <c r="AS65" s="241" t="e">
        <f t="shared" si="33"/>
        <v>#NUM!</v>
      </c>
      <c r="AT65" s="253">
        <f t="shared" si="30"/>
        <v>3.3317242765415993</v>
      </c>
      <c r="AU65" s="241">
        <f>AD$73*AT65^AE$73</f>
        <v>119.41979286099917</v>
      </c>
      <c r="AV65" s="253">
        <f t="shared" si="30"/>
        <v>2.0845547612586484</v>
      </c>
      <c r="AW65" s="241">
        <f>AD$86*AV65^AE$86</f>
        <v>847.69143747237797</v>
      </c>
      <c r="AX65" s="253">
        <f t="shared" si="30"/>
        <v>11.165136613009279</v>
      </c>
      <c r="AY65" s="241" t="e">
        <f t="shared" si="26"/>
        <v>#NUM!</v>
      </c>
      <c r="AZ65" s="253">
        <f t="shared" si="30"/>
        <v>1.6035036625066525</v>
      </c>
      <c r="BA65" s="241">
        <f t="shared" si="27"/>
        <v>2604.0714677143355</v>
      </c>
      <c r="BB65" s="253">
        <f t="shared" si="30"/>
        <v>2.1231576272078816</v>
      </c>
      <c r="BC65" s="241">
        <f t="shared" si="28"/>
        <v>2561.2381596801561</v>
      </c>
    </row>
    <row r="66" spans="3:55" x14ac:dyDescent="0.25">
      <c r="T66" s="200"/>
      <c r="U66" s="200"/>
      <c r="V66" s="200"/>
      <c r="W66" s="200"/>
      <c r="X66" s="200"/>
      <c r="Y66" s="200"/>
      <c r="AF66" s="200"/>
      <c r="AG66" s="200"/>
      <c r="AH66" s="200"/>
      <c r="AR66" s="253">
        <f t="shared" si="30"/>
        <v>10.537744866615414</v>
      </c>
      <c r="AS66" s="241" t="e">
        <f>AD$60*AR66^AE$60</f>
        <v>#NUM!</v>
      </c>
      <c r="AT66" s="253">
        <f t="shared" si="30"/>
        <v>4.2714413801815372</v>
      </c>
      <c r="AU66" s="241">
        <f t="shared" si="31"/>
        <v>163.15741656337124</v>
      </c>
      <c r="AV66" s="253">
        <f t="shared" si="30"/>
        <v>2.6725061041777542</v>
      </c>
      <c r="AW66" s="241">
        <f t="shared" si="34"/>
        <v>1102.1723350380507</v>
      </c>
      <c r="AX66" s="253">
        <f t="shared" si="30"/>
        <v>14.314277708986255</v>
      </c>
      <c r="AY66" s="241" t="e">
        <f t="shared" si="26"/>
        <v>#NUM!</v>
      </c>
      <c r="AZ66" s="253">
        <f t="shared" si="30"/>
        <v>2.0557739262905801</v>
      </c>
      <c r="BA66" s="241">
        <f t="shared" si="27"/>
        <v>3280.9828284953869</v>
      </c>
      <c r="BB66" s="253">
        <f t="shared" si="30"/>
        <v>2.7219969579588223</v>
      </c>
      <c r="BC66" s="241">
        <f t="shared" si="28"/>
        <v>3171.3880791015408</v>
      </c>
    </row>
    <row r="67" spans="3:55" x14ac:dyDescent="0.25">
      <c r="AF67" s="200"/>
      <c r="AG67" s="200"/>
      <c r="AH67" s="200"/>
      <c r="AR67" s="253">
        <f t="shared" si="30"/>
        <v>13.509929316173608</v>
      </c>
      <c r="AS67" s="241" t="e">
        <f t="shared" si="33"/>
        <v>#NUM!</v>
      </c>
      <c r="AT67" s="253">
        <f t="shared" si="30"/>
        <v>5.4762068976686367</v>
      </c>
      <c r="AU67" s="241">
        <f t="shared" si="31"/>
        <v>222.91399056954216</v>
      </c>
      <c r="AV67" s="253">
        <f t="shared" si="30"/>
        <v>3.4262898771509667</v>
      </c>
      <c r="AW67" s="241">
        <f t="shared" si="34"/>
        <v>1433.0495772676875</v>
      </c>
      <c r="AX67" s="253">
        <f t="shared" si="30"/>
        <v>18.351638088443917</v>
      </c>
      <c r="AY67" s="241" t="e">
        <f t="shared" si="26"/>
        <v>#NUM!</v>
      </c>
      <c r="AZ67" s="253">
        <f t="shared" si="30"/>
        <v>2.6356075978084359</v>
      </c>
      <c r="BA67" s="241">
        <f t="shared" si="27"/>
        <v>4133.8528739882067</v>
      </c>
      <c r="BB67" s="253">
        <f t="shared" si="30"/>
        <v>3.489739689690798</v>
      </c>
      <c r="BC67" s="241">
        <f t="shared" si="28"/>
        <v>3926.8907150451623</v>
      </c>
    </row>
    <row r="68" spans="3:55" x14ac:dyDescent="0.25">
      <c r="AF68" s="200"/>
      <c r="AG68" s="200"/>
      <c r="AH68" s="200"/>
      <c r="AR68" s="253">
        <f t="shared" si="30"/>
        <v>17.320422200222573</v>
      </c>
      <c r="AS68" s="241" t="e">
        <f t="shared" si="33"/>
        <v>#NUM!</v>
      </c>
      <c r="AT68" s="253">
        <f t="shared" si="30"/>
        <v>7.0207780739341494</v>
      </c>
      <c r="AU68" s="241">
        <f t="shared" si="31"/>
        <v>304.55647213767833</v>
      </c>
      <c r="AV68" s="253">
        <f t="shared" si="30"/>
        <v>4.3926793296807265</v>
      </c>
      <c r="AW68" s="241">
        <f t="shared" si="34"/>
        <v>1863.2577008351407</v>
      </c>
      <c r="AX68" s="253">
        <f t="shared" si="30"/>
        <v>23.527741139030663</v>
      </c>
      <c r="AY68" s="241" t="e">
        <f t="shared" si="26"/>
        <v>#NUM!</v>
      </c>
      <c r="AZ68" s="253">
        <f t="shared" si="30"/>
        <v>3.3789840997544047</v>
      </c>
      <c r="BA68" s="241">
        <f t="shared" si="27"/>
        <v>5208.4209144176493</v>
      </c>
      <c r="BB68" s="253">
        <f t="shared" si="30"/>
        <v>4.4740252431933305</v>
      </c>
      <c r="BC68" s="241">
        <f t="shared" si="28"/>
        <v>4862.372659317225</v>
      </c>
    </row>
    <row r="69" spans="3:55" x14ac:dyDescent="0.25">
      <c r="AR69" s="253">
        <f t="shared" si="30"/>
        <v>22.205669487464839</v>
      </c>
      <c r="AS69" s="241" t="e">
        <f t="shared" si="33"/>
        <v>#NUM!</v>
      </c>
      <c r="AT69" s="253">
        <f t="shared" si="30"/>
        <v>9.0009975306848062</v>
      </c>
      <c r="AU69" s="241">
        <f t="shared" si="31"/>
        <v>416.10059774158458</v>
      </c>
      <c r="AV69" s="253">
        <f t="shared" si="30"/>
        <v>5.6316401662573412</v>
      </c>
      <c r="AW69" s="241">
        <f t="shared" si="34"/>
        <v>2422.6162965979165</v>
      </c>
      <c r="AX69" s="253">
        <f t="shared" si="30"/>
        <v>30.163770691064951</v>
      </c>
      <c r="AY69" s="241" t="e">
        <f t="shared" si="26"/>
        <v>#NUM!</v>
      </c>
      <c r="AZ69" s="253">
        <f t="shared" si="30"/>
        <v>4.3320308971210313</v>
      </c>
      <c r="BA69" s="241">
        <f t="shared" si="27"/>
        <v>6562.3158948013843</v>
      </c>
      <c r="BB69" s="253">
        <f t="shared" si="30"/>
        <v>5.7359297989658087</v>
      </c>
      <c r="BC69" s="241">
        <f t="shared" si="28"/>
        <v>6020.709409480919</v>
      </c>
    </row>
    <row r="70" spans="3:55" x14ac:dyDescent="0.25">
      <c r="AR70" s="253">
        <f t="shared" si="30"/>
        <v>28.468807035211331</v>
      </c>
      <c r="AS70" s="241" t="e">
        <f t="shared" si="33"/>
        <v>#NUM!</v>
      </c>
      <c r="AT70" s="253">
        <f t="shared" si="30"/>
        <v>11.53974042395488</v>
      </c>
      <c r="AU70" s="241">
        <f t="shared" si="31"/>
        <v>568.497875699828</v>
      </c>
      <c r="AV70" s="253">
        <f t="shared" si="30"/>
        <v>7.2200514952017194</v>
      </c>
      <c r="AW70" s="241">
        <f t="shared" si="34"/>
        <v>3149.8969347671009</v>
      </c>
      <c r="AX70" s="253">
        <f t="shared" si="30"/>
        <v>38.671500885980706</v>
      </c>
      <c r="AY70" s="241" t="e">
        <f t="shared" si="26"/>
        <v>#NUM!</v>
      </c>
      <c r="AZ70" s="253">
        <f t="shared" si="30"/>
        <v>5.5538857655397837</v>
      </c>
      <c r="BA70" s="241">
        <f t="shared" si="27"/>
        <v>8268.1470278171328</v>
      </c>
      <c r="BB70" s="253">
        <f t="shared" si="30"/>
        <v>7.3537561525202673</v>
      </c>
      <c r="BC70" s="241">
        <f t="shared" si="28"/>
        <v>7454.9904610771155</v>
      </c>
    </row>
    <row r="71" spans="3:55" x14ac:dyDescent="0.25">
      <c r="C71" s="262" t="s">
        <v>1303</v>
      </c>
      <c r="D71" s="262"/>
      <c r="E71" s="262"/>
      <c r="F71" s="262"/>
      <c r="G71" s="262"/>
      <c r="I71" s="263" t="s">
        <v>1304</v>
      </c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C71" s="264" t="s">
        <v>1305</v>
      </c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R71" s="253">
        <f t="shared" si="30"/>
        <v>36.498470557963245</v>
      </c>
      <c r="AS71" s="241" t="e">
        <f t="shared" si="33"/>
        <v>#NUM!</v>
      </c>
      <c r="AT71" s="253">
        <f t="shared" si="30"/>
        <v>14.794539005070359</v>
      </c>
      <c r="AU71" s="241">
        <f t="shared" si="31"/>
        <v>776.71081567619171</v>
      </c>
      <c r="AV71" s="253">
        <f t="shared" si="30"/>
        <v>9.2564762758996402</v>
      </c>
      <c r="AW71" s="241">
        <f t="shared" si="34"/>
        <v>4095.5105905910268</v>
      </c>
      <c r="AX71" s="253">
        <f t="shared" si="30"/>
        <v>49.578847289718851</v>
      </c>
      <c r="AY71" s="241" t="e">
        <f t="shared" si="26"/>
        <v>#NUM!</v>
      </c>
      <c r="AZ71" s="253">
        <f t="shared" si="30"/>
        <v>7.1203663660766452</v>
      </c>
      <c r="BA71" s="241">
        <f t="shared" si="27"/>
        <v>10417.397816486913</v>
      </c>
      <c r="BB71" s="253">
        <f t="shared" si="30"/>
        <v>9.4278925032311118</v>
      </c>
      <c r="BC71" s="241">
        <f t="shared" si="28"/>
        <v>9230.9525331405057</v>
      </c>
    </row>
    <row r="72" spans="3:55" ht="76.5" x14ac:dyDescent="0.35">
      <c r="C72" s="225" t="s">
        <v>1280</v>
      </c>
      <c r="D72" s="225" t="s">
        <v>243</v>
      </c>
      <c r="E72" s="225" t="s">
        <v>1281</v>
      </c>
      <c r="F72" s="225" t="s">
        <v>1286</v>
      </c>
      <c r="G72" s="225" t="s">
        <v>1287</v>
      </c>
      <c r="I72" s="225" t="s">
        <v>1282</v>
      </c>
      <c r="J72" s="225" t="s">
        <v>1283</v>
      </c>
      <c r="K72" s="225" t="s">
        <v>1284</v>
      </c>
      <c r="L72" s="225" t="s">
        <v>1285</v>
      </c>
      <c r="M72" s="101"/>
      <c r="N72" s="101"/>
      <c r="O72" s="101"/>
      <c r="P72" s="101"/>
      <c r="Q72" s="101"/>
      <c r="T72" s="222" t="s">
        <v>1288</v>
      </c>
      <c r="U72" s="222" t="s">
        <v>1289</v>
      </c>
      <c r="V72" s="222" t="s">
        <v>1290</v>
      </c>
      <c r="W72" s="222" t="s">
        <v>1291</v>
      </c>
      <c r="X72" s="230" t="s">
        <v>1292</v>
      </c>
      <c r="Y72" s="230" t="s">
        <v>1293</v>
      </c>
      <c r="Z72" s="223" t="s">
        <v>1294</v>
      </c>
      <c r="AA72" s="224" t="s">
        <v>1295</v>
      </c>
      <c r="AC72" s="225" t="s">
        <v>1296</v>
      </c>
      <c r="AD72" s="225" t="s">
        <v>1297</v>
      </c>
      <c r="AE72" s="226" t="s">
        <v>1298</v>
      </c>
      <c r="AF72" s="223" t="s">
        <v>1299</v>
      </c>
      <c r="AG72" s="223" t="s">
        <v>1300</v>
      </c>
      <c r="AH72" s="223" t="s">
        <v>1301</v>
      </c>
      <c r="AR72" s="253">
        <f t="shared" si="30"/>
        <v>46.792910971747744</v>
      </c>
      <c r="AS72" s="241" t="e">
        <f t="shared" si="33"/>
        <v>#NUM!</v>
      </c>
      <c r="AT72" s="253">
        <f t="shared" si="30"/>
        <v>18.967357698808151</v>
      </c>
      <c r="AU72" s="241">
        <f t="shared" si="31"/>
        <v>1061.1819621062434</v>
      </c>
      <c r="AV72" s="253">
        <f t="shared" si="30"/>
        <v>11.867277276794409</v>
      </c>
      <c r="AW72" s="241">
        <f t="shared" si="34"/>
        <v>5325.0018476821824</v>
      </c>
      <c r="AX72" s="253">
        <f t="shared" si="30"/>
        <v>63.562624730408785</v>
      </c>
      <c r="AY72" s="241" t="e">
        <f t="shared" si="26"/>
        <v>#NUM!</v>
      </c>
      <c r="AZ72" s="253">
        <f t="shared" si="30"/>
        <v>9.1286748283033905</v>
      </c>
      <c r="BA72" s="241">
        <f t="shared" si="27"/>
        <v>13125.332302611116</v>
      </c>
      <c r="BB72" s="253">
        <f t="shared" si="30"/>
        <v>12.087041670809118</v>
      </c>
      <c r="BC72" s="241">
        <f t="shared" si="28"/>
        <v>11429.992447875207</v>
      </c>
    </row>
    <row r="73" spans="3:55" x14ac:dyDescent="0.25">
      <c r="C73" s="33" t="str">
        <f>C60</f>
        <v>HSM+BM1(1:1)</v>
      </c>
      <c r="D73" s="33" t="str">
        <f>C25</f>
        <v>PFOA</v>
      </c>
      <c r="E73" s="33">
        <f>E60</f>
        <v>10</v>
      </c>
      <c r="F73" s="220">
        <f>I31</f>
        <v>7.206666666666667</v>
      </c>
      <c r="G73" s="220">
        <f>K31</f>
        <v>676.66666666666583</v>
      </c>
      <c r="I73" s="220">
        <f>SLOPE(G73:G76,F73:F76)</f>
        <v>263.96339150600659</v>
      </c>
      <c r="J73" s="221">
        <f>LOG(I73)</f>
        <v>2.421543699713125</v>
      </c>
      <c r="K73" s="33">
        <f>V73/L73*Y73</f>
        <v>3.2595676917270172E-13</v>
      </c>
      <c r="L73" s="33">
        <f>1/W73*X73</f>
        <v>741935011885990.25</v>
      </c>
      <c r="T73" s="204">
        <f>1/F73</f>
        <v>0.13876040703052728</v>
      </c>
      <c r="U73" s="204">
        <f>1/G73</f>
        <v>1.4778325123152728E-3</v>
      </c>
      <c r="V73" s="204">
        <f>1/(SLOPE(U73:U76,T73:T76))</f>
        <v>113.16720361232038</v>
      </c>
      <c r="W73" s="204">
        <f>INTERCEPT(U73:U76,T73:T76)</f>
        <v>3.380727180404534E-4</v>
      </c>
      <c r="X73" s="229">
        <v>250827986077.67285</v>
      </c>
      <c r="Y73" s="229">
        <v>2.1370037580758843</v>
      </c>
      <c r="Z73" s="227">
        <f>L73*(K73*F73/(1+K73*F73))</f>
        <v>1742.8511820140079</v>
      </c>
      <c r="AA73" s="227">
        <f>(G73-Z73)^2</f>
        <v>1136749.4207664467</v>
      </c>
      <c r="AC73" s="33">
        <f>INTERCEPT(AG73:AG76,AF73:AF76)</f>
        <v>1.4205975524130281</v>
      </c>
      <c r="AD73" s="33">
        <f>10^AC73</f>
        <v>26.338895086908447</v>
      </c>
      <c r="AE73" s="34">
        <f>SLOPE(AG73:AG76,AF73:AF76)</f>
        <v>1.2560123025471073</v>
      </c>
      <c r="AF73" s="204">
        <f t="shared" ref="AF73:AF76" si="35">LOG(F73)</f>
        <v>0.85773443489762913</v>
      </c>
      <c r="AG73" s="204">
        <f t="shared" ref="AG73:AG76" si="36">LOG(G73)</f>
        <v>2.83037478319355</v>
      </c>
      <c r="AH73" s="204">
        <f>AD73*F73^AE73</f>
        <v>314.71870457425098</v>
      </c>
      <c r="AR73" s="253">
        <f t="shared" si="30"/>
        <v>59.990911502240699</v>
      </c>
      <c r="AS73" s="241" t="e">
        <f t="shared" si="33"/>
        <v>#NUM!</v>
      </c>
      <c r="AT73" s="253">
        <f t="shared" si="30"/>
        <v>24.317125254882242</v>
      </c>
      <c r="AU73" s="241">
        <f t="shared" si="31"/>
        <v>1449.8409626487392</v>
      </c>
      <c r="AV73" s="253">
        <f t="shared" si="30"/>
        <v>15.214458047172318</v>
      </c>
      <c r="AW73" s="241">
        <f t="shared" si="34"/>
        <v>6923.5920773743192</v>
      </c>
      <c r="AX73" s="253">
        <f t="shared" si="30"/>
        <v>81.49054452616511</v>
      </c>
      <c r="AY73" s="241" t="e">
        <f t="shared" si="26"/>
        <v>#NUM!</v>
      </c>
      <c r="AZ73" s="253">
        <f t="shared" si="30"/>
        <v>11.703429267055629</v>
      </c>
      <c r="BA73" s="241">
        <f t="shared" si="27"/>
        <v>16537.176662421381</v>
      </c>
      <c r="BB73" s="253">
        <f t="shared" si="30"/>
        <v>15.4962072702681</v>
      </c>
      <c r="BC73" s="241">
        <f t="shared" si="28"/>
        <v>14152.897752366302</v>
      </c>
    </row>
    <row r="74" spans="3:55" x14ac:dyDescent="0.25">
      <c r="C74" s="33" t="str">
        <f>C73</f>
        <v>HSM+BM1(1:1)</v>
      </c>
      <c r="D74" s="33" t="str">
        <f>D73</f>
        <v>PFOA</v>
      </c>
      <c r="E74" s="33">
        <f t="shared" ref="E74:E76" si="37">E61</f>
        <v>50</v>
      </c>
      <c r="F74" s="220">
        <f>I37</f>
        <v>25.5</v>
      </c>
      <c r="G74" s="220">
        <f>K37</f>
        <v>1066.6666666666665</v>
      </c>
      <c r="T74" s="204">
        <f t="shared" ref="T74:U74" si="38">1/F74</f>
        <v>3.9215686274509803E-2</v>
      </c>
      <c r="U74" s="204">
        <f t="shared" si="38"/>
        <v>9.3750000000000018E-4</v>
      </c>
      <c r="V74" s="200"/>
      <c r="W74" s="200"/>
      <c r="X74" s="200"/>
      <c r="Y74" s="200"/>
      <c r="Z74" s="227">
        <f>L73*(K73*F74/(1+K73*F74))</f>
        <v>6166.8878549156607</v>
      </c>
      <c r="AA74" s="227">
        <f>(G74-Z74)^2</f>
        <v>26012256.169063978</v>
      </c>
      <c r="AF74" s="204">
        <f t="shared" si="35"/>
        <v>1.4065401804339552</v>
      </c>
      <c r="AG74" s="204">
        <f t="shared" si="36"/>
        <v>3.0280287236002437</v>
      </c>
      <c r="AH74" s="204">
        <f>AD73*F74^AE73</f>
        <v>1538.9670556011733</v>
      </c>
      <c r="AR74" s="253">
        <f t="shared" si="30"/>
        <v>76.91142500287269</v>
      </c>
      <c r="AS74" s="241" t="e">
        <f t="shared" si="33"/>
        <v>#NUM!</v>
      </c>
      <c r="AT74" s="253">
        <f t="shared" si="30"/>
        <v>31.175801608823384</v>
      </c>
      <c r="AU74" s="241">
        <f t="shared" si="31"/>
        <v>1980.8467275509256</v>
      </c>
      <c r="AV74" s="253">
        <f t="shared" si="30"/>
        <v>19.505715445092715</v>
      </c>
      <c r="AW74" s="241">
        <f t="shared" si="34"/>
        <v>9002.0865015747659</v>
      </c>
      <c r="AX74" s="253">
        <f t="shared" si="30"/>
        <v>104.47505708482706</v>
      </c>
      <c r="AY74" s="241" t="e">
        <f t="shared" si="26"/>
        <v>#NUM!</v>
      </c>
      <c r="AZ74" s="253">
        <f t="shared" si="30"/>
        <v>15.004396496225164</v>
      </c>
      <c r="BA74" s="241">
        <f t="shared" si="27"/>
        <v>20835.907667627522</v>
      </c>
      <c r="BB74" s="253">
        <f t="shared" si="30"/>
        <v>19.866932397779614</v>
      </c>
      <c r="BC74" s="241">
        <f t="shared" si="28"/>
        <v>17524.466066132078</v>
      </c>
    </row>
    <row r="75" spans="3:55" x14ac:dyDescent="0.25">
      <c r="C75" s="33" t="str">
        <f t="shared" ref="C75:D76" si="39">C74</f>
        <v>HSM+BM1(1:1)</v>
      </c>
      <c r="D75" s="33" t="str">
        <f t="shared" si="39"/>
        <v>PFOA</v>
      </c>
      <c r="E75" s="33">
        <f t="shared" si="37"/>
        <v>100</v>
      </c>
      <c r="F75" s="220">
        <f>I43</f>
        <v>61.3</v>
      </c>
      <c r="G75" s="257">
        <f>K43</f>
        <v>1500.0000000000002</v>
      </c>
      <c r="T75" s="204">
        <f t="shared" ref="T75:T76" si="40">1/F75</f>
        <v>1.6313213703099513E-2</v>
      </c>
      <c r="U75" s="204">
        <f t="shared" ref="U75:U76" si="41">1/G75</f>
        <v>6.6666666666666654E-4</v>
      </c>
      <c r="V75" s="200"/>
      <c r="W75" s="200"/>
      <c r="X75" s="200"/>
      <c r="Y75" s="200"/>
      <c r="Z75" s="227">
        <f>L73*(K73*F75/(1+K73*F75))</f>
        <v>14824.714725565436</v>
      </c>
      <c r="AA75" s="227">
        <f>(G75-Z75)^2</f>
        <v>177548022.51770037</v>
      </c>
      <c r="AF75" s="204">
        <f t="shared" si="35"/>
        <v>1.7874604745184151</v>
      </c>
      <c r="AG75" s="204">
        <f t="shared" si="36"/>
        <v>3.1760912590556813</v>
      </c>
      <c r="AH75" s="204">
        <f>AD73*F75^AE73</f>
        <v>4630.947939331938</v>
      </c>
      <c r="AR75" s="253">
        <f t="shared" si="30"/>
        <v>98.604391029323949</v>
      </c>
      <c r="AS75" s="241" t="e">
        <f t="shared" si="33"/>
        <v>#NUM!</v>
      </c>
      <c r="AT75" s="253">
        <f t="shared" si="30"/>
        <v>39.968976421568442</v>
      </c>
      <c r="AU75" s="241">
        <f t="shared" si="31"/>
        <v>2706.3339077417418</v>
      </c>
      <c r="AV75" s="253">
        <f t="shared" si="30"/>
        <v>25.007327493708608</v>
      </c>
      <c r="AW75" s="241">
        <f t="shared" si="34"/>
        <v>11704.55458325717</v>
      </c>
      <c r="AX75" s="253">
        <f t="shared" si="30"/>
        <v>133.9423808779834</v>
      </c>
      <c r="AY75" s="241" t="e">
        <f t="shared" si="26"/>
        <v>#NUM!</v>
      </c>
      <c r="AZ75" s="253">
        <f t="shared" si="30"/>
        <v>19.236405764391236</v>
      </c>
      <c r="BA75" s="241">
        <f t="shared" si="27"/>
        <v>26252.065706017165</v>
      </c>
      <c r="BB75" s="253">
        <f t="shared" si="30"/>
        <v>25.470426150999504</v>
      </c>
      <c r="BC75" s="241">
        <f t="shared" si="28"/>
        <v>21699.224870869144</v>
      </c>
    </row>
    <row r="76" spans="3:55" ht="15.75" thickBot="1" x14ac:dyDescent="0.3">
      <c r="C76" s="33" t="str">
        <f t="shared" si="39"/>
        <v>HSM+BM1(1:1)</v>
      </c>
      <c r="D76" s="33" t="str">
        <f t="shared" si="39"/>
        <v>PFOA</v>
      </c>
      <c r="E76" s="33">
        <f t="shared" si="37"/>
        <v>500</v>
      </c>
      <c r="F76" s="220">
        <f>I49</f>
        <v>374</v>
      </c>
      <c r="G76" s="220">
        <f>K49</f>
        <v>93000</v>
      </c>
      <c r="T76" s="204">
        <f t="shared" si="40"/>
        <v>2.6737967914438501E-3</v>
      </c>
      <c r="U76" s="204">
        <f t="shared" si="41"/>
        <v>1.075268817204301E-5</v>
      </c>
      <c r="V76" s="200"/>
      <c r="W76" s="200"/>
      <c r="X76" s="200"/>
      <c r="Y76" s="200"/>
      <c r="Z76" s="227">
        <f>L73*(K73*F76/(1+K73*F76))</f>
        <v>90447.68852848855</v>
      </c>
      <c r="AA76" s="232">
        <f>(G76-Z76)^2</f>
        <v>6514293.8476089425</v>
      </c>
      <c r="AF76" s="204">
        <f t="shared" si="35"/>
        <v>2.5728716022004803</v>
      </c>
      <c r="AG76" s="204">
        <f t="shared" si="36"/>
        <v>4.9684829485539348</v>
      </c>
      <c r="AH76" s="204">
        <f>AD73*F76^AE73</f>
        <v>44890.654525336366</v>
      </c>
      <c r="AR76" s="253">
        <f t="shared" si="30"/>
        <v>126.4158859350307</v>
      </c>
      <c r="AS76" s="241" t="e">
        <f t="shared" si="33"/>
        <v>#NUM!</v>
      </c>
      <c r="AT76" s="253">
        <f t="shared" si="30"/>
        <v>51.242277463549286</v>
      </c>
      <c r="AU76" s="241">
        <f t="shared" si="31"/>
        <v>3697.5315244346116</v>
      </c>
      <c r="AV76" s="253">
        <f t="shared" si="30"/>
        <v>32.060676273985393</v>
      </c>
      <c r="AW76" s="241">
        <f t="shared" si="34"/>
        <v>15218.316105769605</v>
      </c>
      <c r="AX76" s="253">
        <f t="shared" si="30"/>
        <v>171.72100112561975</v>
      </c>
      <c r="AY76" s="241" t="e">
        <f t="shared" si="26"/>
        <v>#NUM!</v>
      </c>
      <c r="AZ76" s="253">
        <f t="shared" si="30"/>
        <v>24.662058672296457</v>
      </c>
      <c r="BA76" s="241">
        <f t="shared" si="27"/>
        <v>33076.118632633341</v>
      </c>
      <c r="BB76" s="253">
        <f t="shared" si="30"/>
        <v>32.654392501281414</v>
      </c>
      <c r="BC76" s="241">
        <f t="shared" si="28"/>
        <v>26868.513894784315</v>
      </c>
    </row>
    <row r="77" spans="3:55" ht="15.75" thickBot="1" x14ac:dyDescent="0.3">
      <c r="T77" s="200"/>
      <c r="U77" s="200"/>
      <c r="V77" s="200"/>
      <c r="W77" s="200"/>
      <c r="X77" s="200"/>
      <c r="Y77" s="200"/>
      <c r="Z77" s="231" t="s">
        <v>1302</v>
      </c>
      <c r="AA77" s="233">
        <f>SUM(AA73:AA76)</f>
        <v>211211321.95513976</v>
      </c>
      <c r="AF77" s="200"/>
      <c r="AG77" s="200"/>
      <c r="AH77" s="200"/>
      <c r="AR77" s="253">
        <f t="shared" si="30"/>
        <v>162.07164863465474</v>
      </c>
      <c r="AS77" s="241" t="e">
        <f t="shared" si="33"/>
        <v>#NUM!</v>
      </c>
      <c r="AT77" s="253">
        <f t="shared" si="30"/>
        <v>65.695227517370881</v>
      </c>
      <c r="AU77" s="241">
        <f t="shared" si="31"/>
        <v>5051.7563021615106</v>
      </c>
      <c r="AV77" s="253">
        <f t="shared" si="30"/>
        <v>41.103431120494093</v>
      </c>
      <c r="AW77" s="241">
        <f t="shared" si="34"/>
        <v>19786.925119424501</v>
      </c>
      <c r="AX77" s="253">
        <f t="shared" si="30"/>
        <v>220.15512964823046</v>
      </c>
      <c r="AY77" s="241" t="e">
        <f t="shared" si="26"/>
        <v>#NUM!</v>
      </c>
      <c r="AZ77" s="253">
        <f t="shared" si="30"/>
        <v>31.61802393884161</v>
      </c>
      <c r="BA77" s="241">
        <f t="shared" si="27"/>
        <v>41674.039523269748</v>
      </c>
      <c r="BB77" s="253">
        <f t="shared" si="30"/>
        <v>41.864605770873609</v>
      </c>
      <c r="BC77" s="241">
        <f t="shared" si="28"/>
        <v>33269.254695055017</v>
      </c>
    </row>
    <row r="78" spans="3:55" x14ac:dyDescent="0.25">
      <c r="T78" s="200"/>
      <c r="U78" s="200"/>
      <c r="V78" s="200"/>
      <c r="W78" s="200"/>
      <c r="X78" s="200"/>
      <c r="Y78" s="200"/>
      <c r="Z78" s="200"/>
      <c r="AA78" s="228"/>
      <c r="AF78" s="200"/>
      <c r="AG78" s="200"/>
      <c r="AH78" s="200"/>
      <c r="AR78" s="253">
        <f t="shared" si="30"/>
        <v>207.78416491622403</v>
      </c>
      <c r="AS78" s="241" t="e">
        <f t="shared" si="33"/>
        <v>#NUM!</v>
      </c>
      <c r="AT78" s="253">
        <f t="shared" si="30"/>
        <v>84.224650663296003</v>
      </c>
      <c r="AU78" s="241">
        <f t="shared" si="31"/>
        <v>6901.9673173255433</v>
      </c>
      <c r="AV78" s="253">
        <f t="shared" si="30"/>
        <v>52.696706564736012</v>
      </c>
      <c r="AW78" s="241">
        <f t="shared" si="34"/>
        <v>25727.05172901995</v>
      </c>
      <c r="AX78" s="253">
        <f t="shared" si="30"/>
        <v>282.25016621568005</v>
      </c>
      <c r="AY78" s="241" t="e">
        <f t="shared" si="26"/>
        <v>#NUM!</v>
      </c>
      <c r="AZ78" s="253">
        <f t="shared" si="30"/>
        <v>40.535928126720009</v>
      </c>
      <c r="BA78" s="241">
        <f t="shared" si="27"/>
        <v>52506.933763188696</v>
      </c>
      <c r="BB78" s="253">
        <f t="shared" si="30"/>
        <v>53.672571501120011</v>
      </c>
      <c r="BC78" s="241">
        <f t="shared" si="28"/>
        <v>41194.809370506322</v>
      </c>
    </row>
    <row r="79" spans="3:55" x14ac:dyDescent="0.25">
      <c r="F79" s="241"/>
      <c r="G79" s="241"/>
      <c r="T79" s="200"/>
      <c r="U79" s="200"/>
      <c r="V79" s="200"/>
      <c r="W79" s="200"/>
      <c r="X79" s="200"/>
      <c r="Y79" s="200"/>
      <c r="AF79" s="200"/>
      <c r="AG79" s="200"/>
      <c r="AH79" s="200"/>
      <c r="AR79" s="253">
        <f t="shared" si="30"/>
        <v>266.38995502080002</v>
      </c>
      <c r="AS79" s="241" t="e">
        <f t="shared" si="33"/>
        <v>#NUM!</v>
      </c>
      <c r="AT79" s="253">
        <f t="shared" si="30"/>
        <v>107.98032136320001</v>
      </c>
      <c r="AU79" s="241">
        <f t="shared" si="31"/>
        <v>9429.8200467522984</v>
      </c>
      <c r="AV79" s="253">
        <f t="shared" si="30"/>
        <v>67.55988021120001</v>
      </c>
      <c r="AW79" s="241">
        <f t="shared" si="34"/>
        <v>33450.43187220188</v>
      </c>
      <c r="AX79" s="253">
        <f t="shared" si="30"/>
        <v>361.85918745600003</v>
      </c>
      <c r="AY79" s="241" t="e">
        <f t="shared" si="26"/>
        <v>#NUM!</v>
      </c>
      <c r="AZ79" s="253">
        <f t="shared" si="30"/>
        <v>51.96913862400001</v>
      </c>
      <c r="BA79" s="241">
        <f t="shared" si="27"/>
        <v>66155.768069290643</v>
      </c>
      <c r="BB79" s="253">
        <f>0.78*BB80</f>
        <v>68.810989104000015</v>
      </c>
      <c r="BC79" s="241">
        <f t="shared" si="28"/>
        <v>51008.426086701329</v>
      </c>
    </row>
    <row r="80" spans="3:55" x14ac:dyDescent="0.25">
      <c r="AF80" s="200"/>
      <c r="AG80" s="200"/>
      <c r="AH80" s="200"/>
      <c r="AR80" s="253">
        <f t="shared" si="30"/>
        <v>341.52558336000004</v>
      </c>
      <c r="AS80" s="241" t="e">
        <f t="shared" si="33"/>
        <v>#NUM!</v>
      </c>
      <c r="AT80" s="253">
        <f t="shared" si="30"/>
        <v>138.43630944</v>
      </c>
      <c r="AU80" s="241">
        <f t="shared" si="31"/>
        <v>12883.501475139996</v>
      </c>
      <c r="AV80" s="253">
        <f t="shared" si="30"/>
        <v>86.615231040000012</v>
      </c>
      <c r="AW80" s="241">
        <f t="shared" si="34"/>
        <v>43492.406523001271</v>
      </c>
      <c r="AX80" s="253">
        <f t="shared" si="30"/>
        <v>463.92203520000004</v>
      </c>
      <c r="AY80" s="241" t="e">
        <f t="shared" si="26"/>
        <v>#NUM!</v>
      </c>
      <c r="AZ80" s="253">
        <f t="shared" si="30"/>
        <v>66.627100800000008</v>
      </c>
      <c r="BA80" s="241">
        <f t="shared" si="27"/>
        <v>83352.52765999618</v>
      </c>
      <c r="BB80" s="253">
        <f t="shared" si="30"/>
        <v>88.219216800000012</v>
      </c>
      <c r="BC80" s="241">
        <f t="shared" si="28"/>
        <v>63159.887655780542</v>
      </c>
    </row>
    <row r="81" spans="3:55" x14ac:dyDescent="0.25">
      <c r="AF81" s="200"/>
      <c r="AG81" s="200"/>
      <c r="AH81" s="200"/>
      <c r="AR81" s="251">
        <f t="shared" si="30"/>
        <v>437.85331200000002</v>
      </c>
      <c r="AS81" s="241" t="e">
        <f t="shared" si="33"/>
        <v>#NUM!</v>
      </c>
      <c r="AT81" s="251">
        <f t="shared" si="30"/>
        <v>177.48244800000001</v>
      </c>
      <c r="AU81" s="241">
        <f t="shared" si="31"/>
        <v>17602.097329216853</v>
      </c>
      <c r="AV81" s="251">
        <f t="shared" si="30"/>
        <v>111.045168</v>
      </c>
      <c r="AW81" s="241">
        <f t="shared" si="34"/>
        <v>56549.02849651876</v>
      </c>
      <c r="AX81" s="251">
        <f t="shared" si="30"/>
        <v>594.77184</v>
      </c>
      <c r="AY81" s="241" t="e">
        <f t="shared" si="26"/>
        <v>#NUM!</v>
      </c>
      <c r="AZ81" s="251">
        <f t="shared" si="30"/>
        <v>85.419360000000012</v>
      </c>
      <c r="BA81" s="241">
        <f t="shared" si="27"/>
        <v>105019.47252783109</v>
      </c>
      <c r="BB81" s="251">
        <f t="shared" si="30"/>
        <v>113.10156000000001</v>
      </c>
      <c r="BC81" s="241">
        <f t="shared" si="28"/>
        <v>78206.126217465338</v>
      </c>
    </row>
    <row r="82" spans="3:55" x14ac:dyDescent="0.25">
      <c r="AR82" s="251">
        <f t="shared" si="30"/>
        <v>561.35040000000004</v>
      </c>
      <c r="AS82" s="241" t="e">
        <f t="shared" si="33"/>
        <v>#NUM!</v>
      </c>
      <c r="AT82" s="251">
        <f t="shared" si="30"/>
        <v>227.54160000000002</v>
      </c>
      <c r="AU82" s="241">
        <f t="shared" si="31"/>
        <v>24048.883836826419</v>
      </c>
      <c r="AV82" s="251">
        <f t="shared" si="30"/>
        <v>142.3656</v>
      </c>
      <c r="AW82" s="241">
        <f t="shared" si="34"/>
        <v>73525.308888320957</v>
      </c>
      <c r="AX82" s="251">
        <f t="shared" si="30"/>
        <v>762.52800000000002</v>
      </c>
      <c r="AY82" s="241" t="e">
        <f t="shared" si="26"/>
        <v>#NUM!</v>
      </c>
      <c r="AZ82" s="251">
        <f t="shared" si="30"/>
        <v>109.51200000000001</v>
      </c>
      <c r="BA82" s="241">
        <f t="shared" si="27"/>
        <v>132318.59812353479</v>
      </c>
      <c r="BB82" s="251">
        <f t="shared" si="30"/>
        <v>145.00200000000001</v>
      </c>
      <c r="BC82" s="241">
        <f t="shared" si="28"/>
        <v>96836.748844064045</v>
      </c>
    </row>
    <row r="83" spans="3:55" x14ac:dyDescent="0.25">
      <c r="AR83" s="253">
        <f>0.78*AR84</f>
        <v>719.68</v>
      </c>
      <c r="AS83" s="241" t="e">
        <f t="shared" si="33"/>
        <v>#NUM!</v>
      </c>
      <c r="AT83" s="253">
        <f t="shared" ref="AT83" si="42">0.78*AT84</f>
        <v>291.72000000000003</v>
      </c>
      <c r="AU83" s="241">
        <f t="shared" si="31"/>
        <v>32856.812627504187</v>
      </c>
      <c r="AV83" s="253">
        <f>0.78*AV84</f>
        <v>182.52</v>
      </c>
      <c r="AW83" s="241">
        <f t="shared" si="34"/>
        <v>95597.947318507926</v>
      </c>
      <c r="AX83" s="253">
        <f>0.78*AX84</f>
        <v>977.6</v>
      </c>
      <c r="AY83" s="241" t="e">
        <f t="shared" si="26"/>
        <v>#NUM!</v>
      </c>
      <c r="AZ83" s="253">
        <f>0.78*AZ84</f>
        <v>140.4</v>
      </c>
      <c r="BA83" s="241">
        <f t="shared" si="27"/>
        <v>166713.95302178554</v>
      </c>
      <c r="BB83" s="253">
        <f>0.78*BB84</f>
        <v>185.9</v>
      </c>
      <c r="BC83" s="241">
        <f t="shared" si="28"/>
        <v>119905.6439723535</v>
      </c>
    </row>
    <row r="84" spans="3:55" x14ac:dyDescent="0.25">
      <c r="C84" s="262" t="s">
        <v>1303</v>
      </c>
      <c r="D84" s="262"/>
      <c r="E84" s="262"/>
      <c r="F84" s="262"/>
      <c r="G84" s="262"/>
      <c r="I84" s="263" t="s">
        <v>1304</v>
      </c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C84" s="264" t="s">
        <v>1305</v>
      </c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  <c r="AN84" s="264"/>
      <c r="AO84" s="264"/>
      <c r="AP84" s="264"/>
      <c r="AR84" s="253">
        <f>F63</f>
        <v>922.66666666666663</v>
      </c>
      <c r="AS84" s="241" t="e">
        <f t="shared" si="33"/>
        <v>#NUM!</v>
      </c>
      <c r="AT84" s="253">
        <f>F76</f>
        <v>374</v>
      </c>
      <c r="AU84" s="241">
        <f t="shared" si="31"/>
        <v>44890.654525336366</v>
      </c>
      <c r="AV84" s="253">
        <f>F89</f>
        <v>234</v>
      </c>
      <c r="AW84" s="241">
        <f t="shared" si="34"/>
        <v>124296.89408573015</v>
      </c>
      <c r="AX84" s="253">
        <f>F101</f>
        <v>1253.3333333333333</v>
      </c>
      <c r="AY84" s="241" t="e">
        <f t="shared" si="26"/>
        <v>#NUM!</v>
      </c>
      <c r="AZ84" s="253">
        <f>F114</f>
        <v>180</v>
      </c>
      <c r="BA84" s="241">
        <f t="shared" si="27"/>
        <v>210050.15565689106</v>
      </c>
      <c r="BB84" s="253">
        <f>F127</f>
        <v>238.33333333333334</v>
      </c>
      <c r="BC84" s="241">
        <f t="shared" si="28"/>
        <v>148470.11726484771</v>
      </c>
    </row>
    <row r="85" spans="3:55" ht="76.5" x14ac:dyDescent="0.35">
      <c r="C85" s="225" t="s">
        <v>1280</v>
      </c>
      <c r="D85" s="225" t="s">
        <v>243</v>
      </c>
      <c r="E85" s="225" t="s">
        <v>1281</v>
      </c>
      <c r="F85" s="225" t="s">
        <v>1286</v>
      </c>
      <c r="G85" s="225" t="s">
        <v>1287</v>
      </c>
      <c r="H85" s="10"/>
      <c r="I85" s="225" t="s">
        <v>1282</v>
      </c>
      <c r="J85" s="225" t="s">
        <v>1283</v>
      </c>
      <c r="K85" s="225" t="s">
        <v>1284</v>
      </c>
      <c r="L85" s="225" t="s">
        <v>1285</v>
      </c>
      <c r="M85" s="101"/>
      <c r="N85" s="101"/>
      <c r="O85" s="101"/>
      <c r="P85" s="101"/>
      <c r="Q85" s="101"/>
      <c r="R85" s="101"/>
      <c r="T85" s="222" t="s">
        <v>1288</v>
      </c>
      <c r="U85" s="222" t="s">
        <v>1289</v>
      </c>
      <c r="V85" s="222" t="s">
        <v>1290</v>
      </c>
      <c r="W85" s="222" t="s">
        <v>1291</v>
      </c>
      <c r="X85" s="230" t="s">
        <v>1292</v>
      </c>
      <c r="Y85" s="230" t="s">
        <v>1293</v>
      </c>
      <c r="Z85" s="223" t="s">
        <v>1294</v>
      </c>
      <c r="AA85" s="224" t="s">
        <v>1295</v>
      </c>
      <c r="AC85" s="225" t="s">
        <v>1296</v>
      </c>
      <c r="AD85" s="225" t="s">
        <v>1297</v>
      </c>
      <c r="AE85" s="226" t="s">
        <v>1298</v>
      </c>
      <c r="AF85" s="223" t="s">
        <v>1299</v>
      </c>
      <c r="AG85" s="223" t="s">
        <v>1300</v>
      </c>
      <c r="AH85" s="223" t="s">
        <v>1301</v>
      </c>
    </row>
    <row r="86" spans="3:55" x14ac:dyDescent="0.25">
      <c r="C86" s="33" t="str">
        <f>C73</f>
        <v>HSM+BM1(1:1)</v>
      </c>
      <c r="D86" s="33" t="str">
        <f>C26</f>
        <v>PFNA</v>
      </c>
      <c r="E86" s="33">
        <f>E73</f>
        <v>10</v>
      </c>
      <c r="F86" s="220">
        <f>I32</f>
        <v>4.3666666666666671</v>
      </c>
      <c r="G86" s="220">
        <f>K32</f>
        <v>2443.3333333333326</v>
      </c>
      <c r="I86" s="220">
        <f>SLOPE(G86:G89,F86:F89)</f>
        <v>604.85105771189183</v>
      </c>
      <c r="J86" s="221">
        <f>LOG(I86)</f>
        <v>2.7816484444419078</v>
      </c>
      <c r="K86" s="33">
        <f>V86/L86*Y86</f>
        <v>2.2451851045167298E-9</v>
      </c>
      <c r="L86" s="33">
        <f>1/W86*X86</f>
        <v>263405817911.69391</v>
      </c>
      <c r="T86" s="204">
        <f>1/F86</f>
        <v>0.22900763358778622</v>
      </c>
      <c r="U86" s="204">
        <f>1/G86</f>
        <v>4.0927694406548445E-4</v>
      </c>
      <c r="V86" s="204">
        <f>1/(SLOPE(U86:U89,T86:T89))</f>
        <v>587.01417921168706</v>
      </c>
      <c r="W86" s="204">
        <f>INTERCEPT(U86:U89,T86:T89)</f>
        <v>3.3948289381396078E-5</v>
      </c>
      <c r="X86" s="229">
        <v>8942176.9312095065</v>
      </c>
      <c r="Y86" s="229">
        <v>1.0074625788640692</v>
      </c>
      <c r="Z86" s="227">
        <f>L86*(K86*F86/(1+K86*F86))</f>
        <v>2582.424016855578</v>
      </c>
      <c r="AA86" s="227">
        <f>(G86-Z86)^2</f>
        <v>19346.218242685427</v>
      </c>
      <c r="AC86" s="33">
        <f>INTERCEPT(AG86:AG89,AF86:AF89)</f>
        <v>2.5911716851087894</v>
      </c>
      <c r="AD86" s="33">
        <f>10^AC86</f>
        <v>390.09616884950208</v>
      </c>
      <c r="AE86" s="34">
        <f>SLOPE(AG86:AG89,AF86:AF89)</f>
        <v>1.0565894972153611</v>
      </c>
      <c r="AF86" s="204">
        <f t="shared" ref="AF86:AG89" si="43">LOG(F86)</f>
        <v>0.64015004093610184</v>
      </c>
      <c r="AG86" s="204">
        <f t="shared" si="43"/>
        <v>3.3879827199214652</v>
      </c>
      <c r="AH86" s="204">
        <f>AD86*F86^AE86</f>
        <v>1851.6013766443834</v>
      </c>
    </row>
    <row r="87" spans="3:55" x14ac:dyDescent="0.25">
      <c r="C87" s="33" t="str">
        <f>C86</f>
        <v>HSM+BM1(1:1)</v>
      </c>
      <c r="D87" s="33" t="str">
        <f>D86</f>
        <v>PFNA</v>
      </c>
      <c r="E87" s="33">
        <f t="shared" ref="E87:E89" si="44">E74</f>
        <v>50</v>
      </c>
      <c r="F87" s="220">
        <f>I38</f>
        <v>18.2</v>
      </c>
      <c r="G87" s="220">
        <f>K38</f>
        <v>4800.0000000000009</v>
      </c>
      <c r="T87" s="204">
        <f t="shared" ref="T87:U89" si="45">1/F87</f>
        <v>5.4945054945054944E-2</v>
      </c>
      <c r="U87" s="204">
        <f t="shared" si="45"/>
        <v>2.0833333333333329E-4</v>
      </c>
      <c r="V87" s="200"/>
      <c r="W87" s="200"/>
      <c r="X87" s="200"/>
      <c r="Y87" s="200"/>
      <c r="Z87" s="227">
        <f>L86*(K86*F87/(1+K86*F87))</f>
        <v>10763.385262677119</v>
      </c>
      <c r="AA87" s="227">
        <f>(G87-Z87)^2</f>
        <v>35561963.791114636</v>
      </c>
      <c r="AF87" s="204">
        <f t="shared" si="43"/>
        <v>1.2600713879850747</v>
      </c>
      <c r="AG87" s="204">
        <f t="shared" si="43"/>
        <v>3.6812412373755872</v>
      </c>
      <c r="AH87" s="204">
        <f>AD86*F87^AE86</f>
        <v>8366.6168213081291</v>
      </c>
    </row>
    <row r="88" spans="3:55" x14ac:dyDescent="0.25">
      <c r="C88" s="33" t="str">
        <f t="shared" ref="C88:D89" si="46">C87</f>
        <v>HSM+BM1(1:1)</v>
      </c>
      <c r="D88" s="33" t="str">
        <f t="shared" si="46"/>
        <v>PFNA</v>
      </c>
      <c r="E88" s="33">
        <f t="shared" si="44"/>
        <v>100</v>
      </c>
      <c r="F88" s="220">
        <f>I44</f>
        <v>35.299999999999997</v>
      </c>
      <c r="G88" s="220">
        <f>K44</f>
        <v>19900.000000000007</v>
      </c>
      <c r="T88" s="204">
        <f t="shared" si="45"/>
        <v>2.8328611898017001E-2</v>
      </c>
      <c r="U88" s="204">
        <f t="shared" si="45"/>
        <v>5.0251256281407016E-5</v>
      </c>
      <c r="V88" s="200"/>
      <c r="W88" s="200"/>
      <c r="X88" s="200"/>
      <c r="Y88" s="200"/>
      <c r="Z88" s="227">
        <f>L86*(K86*F88/(1+K86*F88))</f>
        <v>20876.235449742104</v>
      </c>
      <c r="AA88" s="227">
        <f>(G88-Z88)^2</f>
        <v>953035.65333315346</v>
      </c>
      <c r="AF88" s="204">
        <f t="shared" si="43"/>
        <v>1.5477747053878226</v>
      </c>
      <c r="AG88" s="204">
        <f t="shared" si="43"/>
        <v>4.2988530764097064</v>
      </c>
      <c r="AH88" s="204">
        <f>AD86*F88^AE86</f>
        <v>16847.45026123881</v>
      </c>
    </row>
    <row r="89" spans="3:55" ht="15.75" thickBot="1" x14ac:dyDescent="0.3">
      <c r="C89" s="33" t="str">
        <f t="shared" si="46"/>
        <v>HSM+BM1(1:1)</v>
      </c>
      <c r="D89" s="33" t="str">
        <f t="shared" si="46"/>
        <v>PFNA</v>
      </c>
      <c r="E89" s="33">
        <f t="shared" si="44"/>
        <v>500</v>
      </c>
      <c r="F89" s="220">
        <f>I50</f>
        <v>234</v>
      </c>
      <c r="G89" s="220">
        <f>K50</f>
        <v>139000</v>
      </c>
      <c r="T89" s="204">
        <f t="shared" si="45"/>
        <v>4.2735042735042739E-3</v>
      </c>
      <c r="U89" s="204">
        <f t="shared" si="45"/>
        <v>7.1942446043165465E-6</v>
      </c>
      <c r="V89" s="200"/>
      <c r="W89" s="200"/>
      <c r="X89" s="200"/>
      <c r="Y89" s="200"/>
      <c r="Z89" s="227">
        <f>L86*(K86*F89/(1+K86*F89))</f>
        <v>138386.31489902429</v>
      </c>
      <c r="AA89" s="232">
        <f>(G89-Z89)^2</f>
        <v>376609.40315956535</v>
      </c>
      <c r="AF89" s="204">
        <f t="shared" si="43"/>
        <v>2.369215857410143</v>
      </c>
      <c r="AG89" s="204">
        <f t="shared" si="43"/>
        <v>5.143014800254095</v>
      </c>
      <c r="AH89" s="204">
        <f>AD86*F89^AE86</f>
        <v>124296.89408573015</v>
      </c>
    </row>
    <row r="90" spans="3:55" ht="15.75" thickBot="1" x14ac:dyDescent="0.3">
      <c r="T90" s="200"/>
      <c r="U90" s="200"/>
      <c r="V90" s="200"/>
      <c r="W90" s="200"/>
      <c r="X90" s="200"/>
      <c r="Y90" s="200"/>
      <c r="Z90" s="231" t="s">
        <v>1302</v>
      </c>
      <c r="AA90" s="233">
        <f>SUM(AA86:AA89)</f>
        <v>36910955.065850034</v>
      </c>
      <c r="AF90" s="200"/>
      <c r="AG90" s="200"/>
      <c r="AH90" s="200"/>
    </row>
    <row r="91" spans="3:55" x14ac:dyDescent="0.25">
      <c r="T91" s="200"/>
      <c r="U91" s="200"/>
      <c r="V91" s="200"/>
      <c r="W91" s="200"/>
      <c r="X91" s="200"/>
      <c r="Y91" s="200"/>
      <c r="Z91" s="200"/>
      <c r="AA91" s="228"/>
      <c r="AF91" s="200"/>
      <c r="AG91" s="200"/>
      <c r="AH91" s="200"/>
    </row>
    <row r="92" spans="3:55" x14ac:dyDescent="0.25">
      <c r="T92" s="200"/>
      <c r="U92" s="200"/>
      <c r="V92" s="200"/>
      <c r="W92" s="200"/>
      <c r="X92" s="200"/>
      <c r="Y92" s="200"/>
      <c r="AF92" s="200"/>
      <c r="AG92" s="200"/>
      <c r="AH92" s="200"/>
    </row>
    <row r="93" spans="3:55" x14ac:dyDescent="0.25">
      <c r="AF93" s="200"/>
      <c r="AG93" s="200"/>
      <c r="AH93" s="200"/>
    </row>
    <row r="94" spans="3:55" x14ac:dyDescent="0.25">
      <c r="AF94" s="200"/>
      <c r="AG94" s="200"/>
      <c r="AH94" s="200"/>
    </row>
    <row r="96" spans="3:55" x14ac:dyDescent="0.25">
      <c r="C96" s="262" t="s">
        <v>1303</v>
      </c>
      <c r="D96" s="262"/>
      <c r="E96" s="262"/>
      <c r="F96" s="262"/>
      <c r="G96" s="262"/>
      <c r="I96" s="263" t="s">
        <v>1304</v>
      </c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  <c r="AC96" s="264" t="s">
        <v>1305</v>
      </c>
      <c r="AD96" s="264"/>
      <c r="AE96" s="264"/>
      <c r="AF96" s="264"/>
      <c r="AG96" s="264"/>
      <c r="AH96" s="264"/>
      <c r="AI96" s="264"/>
      <c r="AJ96" s="264"/>
      <c r="AK96" s="264"/>
      <c r="AL96" s="264"/>
      <c r="AM96" s="264"/>
      <c r="AN96" s="264"/>
      <c r="AO96" s="264"/>
      <c r="AP96" s="264"/>
    </row>
    <row r="97" spans="3:42" ht="76.5" x14ac:dyDescent="0.35">
      <c r="C97" s="225" t="s">
        <v>1280</v>
      </c>
      <c r="D97" s="225" t="s">
        <v>243</v>
      </c>
      <c r="E97" s="225" t="s">
        <v>1281</v>
      </c>
      <c r="F97" s="225" t="s">
        <v>1286</v>
      </c>
      <c r="G97" s="225" t="s">
        <v>1287</v>
      </c>
      <c r="H97" s="10"/>
      <c r="I97" s="225" t="s">
        <v>1282</v>
      </c>
      <c r="J97" s="225" t="s">
        <v>1283</v>
      </c>
      <c r="K97" s="225" t="s">
        <v>1284</v>
      </c>
      <c r="L97" s="225" t="s">
        <v>1285</v>
      </c>
      <c r="M97" s="101"/>
      <c r="N97" s="101"/>
      <c r="O97" s="101"/>
      <c r="P97" s="101"/>
      <c r="Q97" s="101"/>
      <c r="R97" s="101"/>
      <c r="T97" s="222" t="s">
        <v>1288</v>
      </c>
      <c r="U97" s="222" t="s">
        <v>1289</v>
      </c>
      <c r="V97" s="222" t="s">
        <v>1290</v>
      </c>
      <c r="W97" s="222" t="s">
        <v>1291</v>
      </c>
      <c r="X97" s="230" t="s">
        <v>1292</v>
      </c>
      <c r="Y97" s="230" t="s">
        <v>1293</v>
      </c>
      <c r="Z97" s="223" t="s">
        <v>1294</v>
      </c>
      <c r="AA97" s="224" t="s">
        <v>1295</v>
      </c>
      <c r="AC97" s="225" t="s">
        <v>1296</v>
      </c>
      <c r="AD97" s="225" t="s">
        <v>1297</v>
      </c>
      <c r="AE97" s="226" t="s">
        <v>1298</v>
      </c>
      <c r="AF97" s="223" t="s">
        <v>1299</v>
      </c>
      <c r="AG97" s="223" t="s">
        <v>1300</v>
      </c>
      <c r="AH97" s="223" t="s">
        <v>1301</v>
      </c>
    </row>
    <row r="98" spans="3:42" x14ac:dyDescent="0.25">
      <c r="C98" s="33" t="str">
        <f>C86</f>
        <v>HSM+BM1(1:1)</v>
      </c>
      <c r="D98" s="33" t="str">
        <f>C27</f>
        <v>PFBS</v>
      </c>
      <c r="E98" s="33">
        <f>E86</f>
        <v>10</v>
      </c>
      <c r="F98" s="220">
        <f>I33</f>
        <v>22.566666666666666</v>
      </c>
      <c r="G98" s="238">
        <f>K33</f>
        <v>-1933.3333333333335</v>
      </c>
      <c r="I98" s="220">
        <f>SLOPE(G98:G101,F98:F101)</f>
        <v>-314.69050851778189</v>
      </c>
      <c r="J98" s="221" t="e">
        <f>LOG(I98)</f>
        <v>#NUM!</v>
      </c>
      <c r="K98" s="33">
        <f>V98/L98*Y98</f>
        <v>-5.3060897416028416E-10</v>
      </c>
      <c r="L98" s="33">
        <f>1/W98*X98</f>
        <v>199187607227.50128</v>
      </c>
      <c r="T98" s="204">
        <f>1/F98</f>
        <v>4.4313146233382568E-2</v>
      </c>
      <c r="U98" s="204">
        <f>1/G98</f>
        <v>-5.1724137931034473E-4</v>
      </c>
      <c r="V98" s="204">
        <f>1/(SLOPE(U98:U101,T98:T101))</f>
        <v>-81.113595830358662</v>
      </c>
      <c r="W98" s="204">
        <f>INTERCEPT(U98:U101,T98:T101)</f>
        <v>4.489324716962299E-5</v>
      </c>
      <c r="X98" s="229">
        <v>8942178.484389998</v>
      </c>
      <c r="Y98" s="229">
        <v>1.3029965057580253</v>
      </c>
      <c r="Z98" s="227">
        <f>L98*(K98*F98/(1+K98*F98))</f>
        <v>-2385.0875459245672</v>
      </c>
      <c r="AA98" s="227">
        <f>(G98-Z98)^2</f>
        <v>204081.86859392555</v>
      </c>
      <c r="AC98" s="33" t="e">
        <f>INTERCEPT(AG98:AG101,AF98:AF101)</f>
        <v>#NUM!</v>
      </c>
      <c r="AD98" s="33" t="e">
        <f>10^AC98</f>
        <v>#NUM!</v>
      </c>
      <c r="AE98" s="34" t="e">
        <f>SLOPE(AG98:AG101,AF98:AF101)</f>
        <v>#NUM!</v>
      </c>
      <c r="AF98" s="204">
        <f t="shared" ref="AF98:AG101" si="47">LOG(F98)</f>
        <v>1.3534674139654819</v>
      </c>
      <c r="AG98" s="204" t="e">
        <f t="shared" si="47"/>
        <v>#NUM!</v>
      </c>
      <c r="AH98" s="204" t="e">
        <f>AD98*F98^AE98</f>
        <v>#NUM!</v>
      </c>
    </row>
    <row r="99" spans="3:42" x14ac:dyDescent="0.25">
      <c r="C99" s="33" t="str">
        <f>C98</f>
        <v>HSM+BM1(1:1)</v>
      </c>
      <c r="D99" s="33" t="str">
        <f>D98</f>
        <v>PFBS</v>
      </c>
      <c r="E99" s="33">
        <f>E87</f>
        <v>50</v>
      </c>
      <c r="F99" s="220">
        <f>I39</f>
        <v>74.233333333333334</v>
      </c>
      <c r="G99" s="238">
        <f>K39</f>
        <v>-15066.66666666667</v>
      </c>
      <c r="T99" s="204">
        <f t="shared" ref="T99:U101" si="48">1/F99</f>
        <v>1.3471037269869779E-2</v>
      </c>
      <c r="U99" s="204">
        <f t="shared" si="48"/>
        <v>-6.6371681415929194E-5</v>
      </c>
      <c r="V99" s="200"/>
      <c r="W99" s="200"/>
      <c r="X99" s="200"/>
      <c r="Y99" s="200"/>
      <c r="Z99" s="227">
        <f>L98*(K98*F99/(1+K98*F99))</f>
        <v>-7845.7756431169537</v>
      </c>
      <c r="AA99" s="227">
        <f>(G99-Z99)^2</f>
        <v>52141267.173980862</v>
      </c>
      <c r="AF99" s="204">
        <f t="shared" si="47"/>
        <v>1.8705989623143757</v>
      </c>
      <c r="AG99" s="204" t="e">
        <f t="shared" si="47"/>
        <v>#NUM!</v>
      </c>
      <c r="AH99" s="204" t="e">
        <f>AD98*F99^AE98</f>
        <v>#NUM!</v>
      </c>
    </row>
    <row r="100" spans="3:42" x14ac:dyDescent="0.25">
      <c r="C100" s="33" t="str">
        <f t="shared" ref="C100:D101" si="49">C99</f>
        <v>HSM+BM1(1:1)</v>
      </c>
      <c r="D100" s="33" t="str">
        <f t="shared" si="49"/>
        <v>PFBS</v>
      </c>
      <c r="E100" s="33">
        <f>E88</f>
        <v>100</v>
      </c>
      <c r="F100" s="220">
        <f>I45</f>
        <v>189.5</v>
      </c>
      <c r="G100" s="238">
        <f>K45</f>
        <v>-46500</v>
      </c>
      <c r="T100" s="204">
        <f t="shared" si="48"/>
        <v>5.2770448548812663E-3</v>
      </c>
      <c r="U100" s="204">
        <f t="shared" si="48"/>
        <v>-2.150537634408602E-5</v>
      </c>
      <c r="V100" s="200"/>
      <c r="W100" s="200"/>
      <c r="X100" s="200"/>
      <c r="Y100" s="200"/>
      <c r="Z100" s="227">
        <f>L98*(K98*F100/(1+K98*F100))</f>
        <v>-20028.39571581595</v>
      </c>
      <c r="AA100" s="227">
        <f>(G100-Z100)^2</f>
        <v>700745833.37843132</v>
      </c>
      <c r="AF100" s="204">
        <f t="shared" si="47"/>
        <v>2.2776092143040914</v>
      </c>
      <c r="AG100" s="204" t="e">
        <f t="shared" si="47"/>
        <v>#NUM!</v>
      </c>
      <c r="AH100" s="204" t="e">
        <f>AD98*F100^AE98</f>
        <v>#NUM!</v>
      </c>
    </row>
    <row r="101" spans="3:42" ht="15.75" thickBot="1" x14ac:dyDescent="0.3">
      <c r="C101" s="33" t="str">
        <f t="shared" si="49"/>
        <v>HSM+BM1(1:1)</v>
      </c>
      <c r="D101" s="33" t="str">
        <f t="shared" si="49"/>
        <v>PFBS</v>
      </c>
      <c r="E101" s="33">
        <f>E89</f>
        <v>500</v>
      </c>
      <c r="F101" s="220">
        <f>I51</f>
        <v>1253.3333333333333</v>
      </c>
      <c r="G101" s="238">
        <f>K51</f>
        <v>-386333.33333333326</v>
      </c>
      <c r="T101" s="204">
        <f t="shared" si="48"/>
        <v>7.9787234042553198E-4</v>
      </c>
      <c r="U101" s="204">
        <f t="shared" si="48"/>
        <v>-2.5884383088869719E-6</v>
      </c>
      <c r="V101" s="200"/>
      <c r="W101" s="200"/>
      <c r="X101" s="200"/>
      <c r="Y101" s="200"/>
      <c r="Z101" s="227">
        <f>L98*(K98*F101/(1+K98*F101))</f>
        <v>-132465.8054540439</v>
      </c>
      <c r="AA101" s="232">
        <f>(G101-Z101)^2</f>
        <v>64448721711.541756</v>
      </c>
      <c r="AF101" s="204">
        <f t="shared" si="47"/>
        <v>3.0980665902079987</v>
      </c>
      <c r="AG101" s="204" t="e">
        <f t="shared" si="47"/>
        <v>#NUM!</v>
      </c>
      <c r="AH101" s="204" t="e">
        <f>AD98*F101^AE98</f>
        <v>#NUM!</v>
      </c>
    </row>
    <row r="102" spans="3:42" ht="15.75" thickBot="1" x14ac:dyDescent="0.3">
      <c r="T102" s="200"/>
      <c r="U102" s="200"/>
      <c r="V102" s="200"/>
      <c r="W102" s="200"/>
      <c r="X102" s="200"/>
      <c r="Y102" s="200"/>
      <c r="Z102" s="231" t="s">
        <v>1302</v>
      </c>
      <c r="AA102" s="233">
        <f>SUM(AA98:AA101)</f>
        <v>65201812893.962761</v>
      </c>
      <c r="AF102" s="200"/>
      <c r="AG102" s="200"/>
      <c r="AH102" s="200"/>
    </row>
    <row r="103" spans="3:42" x14ac:dyDescent="0.25">
      <c r="T103" s="200"/>
      <c r="U103" s="200"/>
      <c r="V103" s="200"/>
      <c r="W103" s="200"/>
      <c r="X103" s="200"/>
      <c r="Y103" s="200"/>
      <c r="Z103" s="200"/>
      <c r="AA103" s="228"/>
      <c r="AF103" s="200"/>
      <c r="AG103" s="200"/>
      <c r="AH103" s="200"/>
    </row>
    <row r="104" spans="3:42" x14ac:dyDescent="0.25">
      <c r="T104" s="200"/>
      <c r="U104" s="200"/>
      <c r="V104" s="200"/>
      <c r="W104" s="200"/>
      <c r="X104" s="200"/>
      <c r="Y104" s="200"/>
      <c r="AF104" s="200"/>
      <c r="AG104" s="200"/>
      <c r="AH104" s="200"/>
    </row>
    <row r="105" spans="3:42" x14ac:dyDescent="0.25">
      <c r="AF105" s="200"/>
      <c r="AG105" s="200"/>
      <c r="AH105" s="200"/>
    </row>
    <row r="106" spans="3:42" x14ac:dyDescent="0.25">
      <c r="AF106" s="200"/>
      <c r="AG106" s="200"/>
      <c r="AH106" s="200"/>
    </row>
    <row r="109" spans="3:42" x14ac:dyDescent="0.25">
      <c r="C109" s="262" t="s">
        <v>1303</v>
      </c>
      <c r="D109" s="262"/>
      <c r="E109" s="262"/>
      <c r="F109" s="262"/>
      <c r="G109" s="262"/>
      <c r="I109" s="263" t="s">
        <v>1304</v>
      </c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  <c r="AC109" s="264" t="s">
        <v>1305</v>
      </c>
      <c r="AD109" s="264"/>
      <c r="AE109" s="264"/>
      <c r="AF109" s="264"/>
      <c r="AG109" s="264"/>
      <c r="AH109" s="264"/>
      <c r="AI109" s="264"/>
      <c r="AJ109" s="264"/>
      <c r="AK109" s="264"/>
      <c r="AL109" s="264"/>
      <c r="AM109" s="264"/>
      <c r="AN109" s="264"/>
      <c r="AO109" s="264"/>
      <c r="AP109" s="264"/>
    </row>
    <row r="110" spans="3:42" ht="76.5" x14ac:dyDescent="0.35">
      <c r="C110" s="225" t="s">
        <v>1280</v>
      </c>
      <c r="D110" s="225" t="s">
        <v>243</v>
      </c>
      <c r="E110" s="225" t="s">
        <v>1281</v>
      </c>
      <c r="F110" s="225" t="s">
        <v>1286</v>
      </c>
      <c r="G110" s="225" t="s">
        <v>1287</v>
      </c>
      <c r="H110" s="10"/>
      <c r="I110" s="225" t="s">
        <v>1282</v>
      </c>
      <c r="J110" s="225" t="s">
        <v>1283</v>
      </c>
      <c r="K110" s="225" t="s">
        <v>1284</v>
      </c>
      <c r="L110" s="225" t="s">
        <v>1285</v>
      </c>
      <c r="M110" s="101"/>
      <c r="N110" s="101"/>
      <c r="O110" s="101"/>
      <c r="P110" s="101"/>
      <c r="Q110" s="101"/>
      <c r="R110" s="101"/>
      <c r="T110" s="222" t="s">
        <v>1288</v>
      </c>
      <c r="U110" s="222" t="s">
        <v>1289</v>
      </c>
      <c r="V110" s="222" t="s">
        <v>1290</v>
      </c>
      <c r="W110" s="222" t="s">
        <v>1291</v>
      </c>
      <c r="X110" s="230" t="s">
        <v>1292</v>
      </c>
      <c r="Y110" s="230" t="s">
        <v>1293</v>
      </c>
      <c r="Z110" s="223" t="s">
        <v>1294</v>
      </c>
      <c r="AA110" s="224" t="s">
        <v>1295</v>
      </c>
      <c r="AC110" s="225" t="s">
        <v>1296</v>
      </c>
      <c r="AD110" s="225" t="s">
        <v>1297</v>
      </c>
      <c r="AE110" s="226" t="s">
        <v>1298</v>
      </c>
      <c r="AF110" s="223" t="s">
        <v>1299</v>
      </c>
      <c r="AG110" s="223" t="s">
        <v>1300</v>
      </c>
      <c r="AH110" s="223" t="s">
        <v>1301</v>
      </c>
    </row>
    <row r="111" spans="3:42" x14ac:dyDescent="0.25">
      <c r="C111" s="33" t="str">
        <f>C98</f>
        <v>HSM+BM1(1:1)</v>
      </c>
      <c r="D111" s="33" t="str">
        <f>C28</f>
        <v>PFOS</v>
      </c>
      <c r="E111" s="33">
        <f>E98</f>
        <v>10</v>
      </c>
      <c r="F111" s="220">
        <f>I34</f>
        <v>2.89</v>
      </c>
      <c r="G111" s="220">
        <f>K34</f>
        <v>4803.3333333333321</v>
      </c>
      <c r="I111" s="220">
        <f>SLOPE(G111:G114,F111:F114)</f>
        <v>1214.6815767571754</v>
      </c>
      <c r="J111" s="221">
        <f>LOG(I111)</f>
        <v>3.0844624445337874</v>
      </c>
      <c r="K111" s="33">
        <f>V111/L111*Y111</f>
        <v>9.9110232454660239E-10</v>
      </c>
      <c r="L111" s="33">
        <f>1/W111*X111</f>
        <v>1234795820625.0872</v>
      </c>
      <c r="T111" s="204">
        <f>1/F111</f>
        <v>0.34602076124567471</v>
      </c>
      <c r="U111" s="204">
        <f>1/G111</f>
        <v>2.0818875780707847E-4</v>
      </c>
      <c r="V111" s="204">
        <f>1/(SLOPE(U111:U114,T111:T114))</f>
        <v>1706.7053623058282</v>
      </c>
      <c r="W111" s="204">
        <f>INTERCEPT(U111:U114,T111:T114)</f>
        <v>7.241826691724171E-6</v>
      </c>
      <c r="X111" s="229">
        <v>8942177.3326322064</v>
      </c>
      <c r="Y111" s="229">
        <v>0.71705933267153843</v>
      </c>
      <c r="Z111" s="227">
        <f>L111*(K111*F111/(1+K111*F111))</f>
        <v>3536.8080234576169</v>
      </c>
      <c r="AA111" s="227">
        <f>(G111-Z111)^2</f>
        <v>1604086.3605557766</v>
      </c>
      <c r="AC111" s="33">
        <f>INTERCEPT(AG111:AG114,AF111:AF114)</f>
        <v>3.2249396664416423</v>
      </c>
      <c r="AD111" s="33">
        <f>10^AC111</f>
        <v>1678.5708095760442</v>
      </c>
      <c r="AE111" s="34">
        <f>SLOPE(AG111:AG114,AF111:AF114)</f>
        <v>0.92999109265899271</v>
      </c>
      <c r="AF111" s="204">
        <f t="shared" ref="AF111:AG114" si="50">LOG(F111)</f>
        <v>0.46089784275654788</v>
      </c>
      <c r="AG111" s="204">
        <f t="shared" si="50"/>
        <v>3.6815427260943268</v>
      </c>
      <c r="AH111" s="204">
        <f>AD111*F111^AE111</f>
        <v>4503.7114196622979</v>
      </c>
    </row>
    <row r="112" spans="3:42" x14ac:dyDescent="0.25">
      <c r="C112" s="33" t="str">
        <f>C111</f>
        <v>HSM+BM1(1:1)</v>
      </c>
      <c r="D112" s="33" t="str">
        <f>D111</f>
        <v>PFOS</v>
      </c>
      <c r="E112" s="33">
        <f t="shared" ref="E112:E114" si="51">E99</f>
        <v>50</v>
      </c>
      <c r="F112" s="220">
        <f>I40</f>
        <v>11.466666666666667</v>
      </c>
      <c r="G112" s="220">
        <f>K40</f>
        <v>15233.333333333334</v>
      </c>
      <c r="T112" s="204">
        <f t="shared" ref="T112:U114" si="52">1/F112</f>
        <v>8.7209302325581398E-2</v>
      </c>
      <c r="U112" s="204">
        <f t="shared" si="52"/>
        <v>6.5645514223194745E-5</v>
      </c>
      <c r="V112" s="200"/>
      <c r="W112" s="200"/>
      <c r="X112" s="200"/>
      <c r="Y112" s="200"/>
      <c r="Z112" s="227">
        <f>L111*(K111*F112/(1+K111*F112))</f>
        <v>14033.009800776963</v>
      </c>
      <c r="AA112" s="227">
        <f>(G112-Z112)^2</f>
        <v>1440776.5828086054</v>
      </c>
      <c r="AF112" s="204">
        <f t="shared" si="50"/>
        <v>1.0594371878518676</v>
      </c>
      <c r="AG112" s="204">
        <f t="shared" si="50"/>
        <v>4.1827949453501878</v>
      </c>
      <c r="AH112" s="204">
        <f>AD111*F112^AE111</f>
        <v>16225.825997335134</v>
      </c>
    </row>
    <row r="113" spans="3:42" x14ac:dyDescent="0.25">
      <c r="C113" s="33" t="str">
        <f t="shared" ref="C113:D114" si="53">C112</f>
        <v>HSM+BM1(1:1)</v>
      </c>
      <c r="D113" s="33" t="str">
        <f t="shared" si="53"/>
        <v>PFOS</v>
      </c>
      <c r="E113" s="33">
        <f t="shared" si="51"/>
        <v>100</v>
      </c>
      <c r="F113" s="220">
        <f>I46</f>
        <v>25.85</v>
      </c>
      <c r="G113" s="220">
        <f>K46</f>
        <v>32950</v>
      </c>
      <c r="T113" s="204">
        <f t="shared" si="52"/>
        <v>3.8684719535783361E-2</v>
      </c>
      <c r="U113" s="204">
        <f t="shared" si="52"/>
        <v>3.0349013657056145E-5</v>
      </c>
      <c r="V113" s="200"/>
      <c r="W113" s="200"/>
      <c r="X113" s="200"/>
      <c r="Y113" s="200"/>
      <c r="Z113" s="227">
        <f>L111*(K111*F113/(1+K111*F113))</f>
        <v>31635.46205048612</v>
      </c>
      <c r="AA113" s="227">
        <f>(G113-Z113)^2</f>
        <v>1728010.0207121572</v>
      </c>
      <c r="AF113" s="204">
        <f t="shared" si="50"/>
        <v>1.4124605474299614</v>
      </c>
      <c r="AG113" s="204">
        <f t="shared" si="50"/>
        <v>4.5178554189300284</v>
      </c>
      <c r="AH113" s="204">
        <f>AD111*F113^AE111</f>
        <v>34555.357807690809</v>
      </c>
    </row>
    <row r="114" spans="3:42" ht="15.75" thickBot="1" x14ac:dyDescent="0.3">
      <c r="C114" s="33" t="str">
        <f t="shared" si="53"/>
        <v>HSM+BM1(1:1)</v>
      </c>
      <c r="D114" s="33" t="str">
        <f t="shared" si="53"/>
        <v>PFOS</v>
      </c>
      <c r="E114" s="33">
        <f t="shared" si="51"/>
        <v>500</v>
      </c>
      <c r="F114" s="220">
        <f>I52</f>
        <v>180</v>
      </c>
      <c r="G114" s="220">
        <f>K52</f>
        <v>220000</v>
      </c>
      <c r="T114" s="204">
        <f t="shared" si="52"/>
        <v>5.5555555555555558E-3</v>
      </c>
      <c r="U114" s="204">
        <f t="shared" si="52"/>
        <v>4.5454545454545455E-6</v>
      </c>
      <c r="V114" s="200"/>
      <c r="W114" s="200"/>
      <c r="X114" s="200"/>
      <c r="Y114" s="200"/>
      <c r="Z114" s="227">
        <f>L111*(K111*F114/(1+K111*F114))</f>
        <v>220285.58217055211</v>
      </c>
      <c r="AA114" s="232">
        <f>(G114-Z114)^2</f>
        <v>81557.176137253555</v>
      </c>
      <c r="AF114" s="204">
        <f t="shared" si="50"/>
        <v>2.255272505103306</v>
      </c>
      <c r="AG114" s="204">
        <f t="shared" si="50"/>
        <v>5.3424226808222066</v>
      </c>
      <c r="AH114" s="204">
        <f>AD111*F114^AE111</f>
        <v>210050.15565689106</v>
      </c>
    </row>
    <row r="115" spans="3:42" ht="15.75" thickBot="1" x14ac:dyDescent="0.3">
      <c r="T115" s="200"/>
      <c r="U115" s="200"/>
      <c r="V115" s="200"/>
      <c r="W115" s="200"/>
      <c r="X115" s="200"/>
      <c r="Y115" s="200"/>
      <c r="Z115" s="231" t="s">
        <v>1302</v>
      </c>
      <c r="AA115" s="233">
        <f>SUM(AA111:AA114)</f>
        <v>4854430.1402137931</v>
      </c>
      <c r="AF115" s="200"/>
      <c r="AG115" s="200"/>
      <c r="AH115" s="200"/>
    </row>
    <row r="116" spans="3:42" x14ac:dyDescent="0.25">
      <c r="T116" s="200"/>
      <c r="U116" s="200"/>
      <c r="V116" s="200"/>
      <c r="W116" s="200"/>
      <c r="X116" s="200"/>
      <c r="Y116" s="200"/>
      <c r="Z116" s="200"/>
      <c r="AA116" s="228"/>
      <c r="AF116" s="200"/>
      <c r="AG116" s="200"/>
      <c r="AH116" s="200"/>
    </row>
    <row r="117" spans="3:42" x14ac:dyDescent="0.25">
      <c r="T117" s="200"/>
      <c r="U117" s="200"/>
      <c r="V117" s="200"/>
      <c r="W117" s="200"/>
      <c r="X117" s="200"/>
      <c r="Y117" s="200"/>
      <c r="AF117" s="200"/>
      <c r="AG117" s="200"/>
      <c r="AH117" s="200"/>
    </row>
    <row r="118" spans="3:42" x14ac:dyDescent="0.25">
      <c r="AF118" s="200"/>
      <c r="AG118" s="200"/>
      <c r="AH118" s="200"/>
    </row>
    <row r="119" spans="3:42" x14ac:dyDescent="0.25">
      <c r="AF119" s="200"/>
      <c r="AG119" s="200"/>
      <c r="AH119" s="200"/>
    </row>
    <row r="122" spans="3:42" x14ac:dyDescent="0.25">
      <c r="C122" s="262" t="s">
        <v>1303</v>
      </c>
      <c r="D122" s="262"/>
      <c r="E122" s="262"/>
      <c r="F122" s="262"/>
      <c r="G122" s="262"/>
      <c r="I122" s="263" t="s">
        <v>1304</v>
      </c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263"/>
      <c r="X122" s="263"/>
      <c r="Y122" s="263"/>
      <c r="Z122" s="263"/>
      <c r="AA122" s="263"/>
      <c r="AC122" s="264" t="s">
        <v>1305</v>
      </c>
      <c r="AD122" s="264"/>
      <c r="AE122" s="264"/>
      <c r="AF122" s="264"/>
      <c r="AG122" s="264"/>
      <c r="AH122" s="264"/>
      <c r="AI122" s="264"/>
      <c r="AJ122" s="264"/>
      <c r="AK122" s="264"/>
      <c r="AL122" s="264"/>
      <c r="AM122" s="264"/>
      <c r="AN122" s="264"/>
      <c r="AO122" s="264"/>
      <c r="AP122" s="264"/>
    </row>
    <row r="123" spans="3:42" ht="76.5" x14ac:dyDescent="0.35">
      <c r="C123" s="225" t="s">
        <v>1280</v>
      </c>
      <c r="D123" s="225" t="s">
        <v>243</v>
      </c>
      <c r="E123" s="225" t="s">
        <v>1281</v>
      </c>
      <c r="F123" s="225" t="s">
        <v>1286</v>
      </c>
      <c r="G123" s="225" t="s">
        <v>1287</v>
      </c>
      <c r="H123" s="10"/>
      <c r="I123" s="225" t="s">
        <v>1282</v>
      </c>
      <c r="J123" s="225" t="s">
        <v>1283</v>
      </c>
      <c r="K123" s="225" t="s">
        <v>1284</v>
      </c>
      <c r="L123" s="225" t="s">
        <v>1285</v>
      </c>
      <c r="M123" s="101"/>
      <c r="N123" s="101"/>
      <c r="O123" s="101"/>
      <c r="P123" s="101"/>
      <c r="Q123" s="101"/>
      <c r="T123" s="222" t="s">
        <v>1288</v>
      </c>
      <c r="U123" s="222" t="s">
        <v>1289</v>
      </c>
      <c r="V123" s="222" t="s">
        <v>1290</v>
      </c>
      <c r="W123" s="222" t="s">
        <v>1291</v>
      </c>
      <c r="X123" s="230" t="s">
        <v>1292</v>
      </c>
      <c r="Y123" s="230" t="s">
        <v>1293</v>
      </c>
      <c r="Z123" s="223" t="s">
        <v>1294</v>
      </c>
      <c r="AA123" s="224" t="s">
        <v>1295</v>
      </c>
      <c r="AC123" s="225" t="s">
        <v>1296</v>
      </c>
      <c r="AD123" s="225" t="s">
        <v>1297</v>
      </c>
      <c r="AE123" s="226" t="s">
        <v>1298</v>
      </c>
      <c r="AF123" s="223" t="s">
        <v>1299</v>
      </c>
      <c r="AG123" s="223" t="s">
        <v>1300</v>
      </c>
      <c r="AH123" s="223" t="s">
        <v>1301</v>
      </c>
    </row>
    <row r="124" spans="3:42" x14ac:dyDescent="0.25">
      <c r="C124" s="33" t="str">
        <f>C111</f>
        <v>HSM+BM1(1:1)</v>
      </c>
      <c r="D124" s="33" t="str">
        <f>C29</f>
        <v>8:2FTS</v>
      </c>
      <c r="E124" s="33">
        <f>E111</f>
        <v>10</v>
      </c>
      <c r="F124" s="220">
        <f>I35</f>
        <v>2.58</v>
      </c>
      <c r="G124" s="220">
        <f>K35</f>
        <v>4483.333333333333</v>
      </c>
      <c r="I124" s="220">
        <f>SLOPE(G124:G127,F124:F127)</f>
        <v>920.00047159555118</v>
      </c>
      <c r="J124" s="221">
        <f>LOG(I124)</f>
        <v>2.9637880499665261</v>
      </c>
      <c r="K124" s="33">
        <f>V124/L124*Y124</f>
        <v>3.7112078512684717E-9</v>
      </c>
      <c r="L124" s="33">
        <f>1/W124*X124</f>
        <v>242188995446.41241</v>
      </c>
      <c r="T124" s="204">
        <f>1/F124</f>
        <v>0.38759689922480617</v>
      </c>
      <c r="U124" s="204">
        <f>1/G124</f>
        <v>2.2304832713754649E-4</v>
      </c>
      <c r="V124" s="204">
        <f>1/(SLOPE(U124:U127,T124:T127))</f>
        <v>2015.3445928418319</v>
      </c>
      <c r="W124" s="204">
        <f>INTERCEPT(U124:U127,T124:T127)</f>
        <v>3.6921919060681083E-5</v>
      </c>
      <c r="X124" s="229">
        <v>8942082.4872600976</v>
      </c>
      <c r="Y124" s="229">
        <v>0.44598512065082385</v>
      </c>
      <c r="Z124" s="227">
        <f>L124*(K124*F124/(1+K124*F124))</f>
        <v>2318.9393273865494</v>
      </c>
      <c r="AA124" s="227">
        <f>(G124-Z124)^2</f>
        <v>4684601.412978366</v>
      </c>
      <c r="AC124" s="33">
        <f>INTERCEPT(AG124:AG127,AF124:AF127)</f>
        <v>3.1272428631698928</v>
      </c>
      <c r="AD124" s="33">
        <f>10^AC124</f>
        <v>1340.4260617093473</v>
      </c>
      <c r="AE124" s="34">
        <f>SLOPE(AG124:AG127,AF124:AF127)</f>
        <v>0.86000726552101814</v>
      </c>
      <c r="AF124" s="204">
        <f t="shared" ref="AF124:AG127" si="54">LOG(F124)</f>
        <v>0.41161970596323016</v>
      </c>
      <c r="AG124" s="204">
        <f t="shared" si="54"/>
        <v>3.6516010296187642</v>
      </c>
      <c r="AH124" s="204">
        <f>AD124*F124^AE124</f>
        <v>3028.5782627591007</v>
      </c>
    </row>
    <row r="125" spans="3:42" x14ac:dyDescent="0.25">
      <c r="C125" s="33" t="str">
        <f>C124</f>
        <v>HSM+BM1(1:1)</v>
      </c>
      <c r="D125" s="33" t="str">
        <f>D124</f>
        <v>8:2FTS</v>
      </c>
      <c r="E125" s="33">
        <f>E112</f>
        <v>50</v>
      </c>
      <c r="F125" s="220">
        <f>I41</f>
        <v>13.533333333333333</v>
      </c>
      <c r="G125" s="220">
        <f>K41</f>
        <v>9666.6666666666661</v>
      </c>
      <c r="T125" s="204">
        <f t="shared" ref="T125:U127" si="55">1/F125</f>
        <v>7.3891625615763554E-2</v>
      </c>
      <c r="U125" s="204">
        <f t="shared" si="55"/>
        <v>1.0344827586206898E-4</v>
      </c>
      <c r="V125" s="200"/>
      <c r="W125" s="200"/>
      <c r="X125" s="200"/>
      <c r="Y125" s="200"/>
      <c r="Z125" s="227">
        <f>L124*(K124*F125/(1+K124*F125))</f>
        <v>12163.944814564691</v>
      </c>
      <c r="AA125" s="227">
        <f>(G125-Z125)^2</f>
        <v>6236398.1479689907</v>
      </c>
      <c r="AF125" s="204">
        <f t="shared" si="54"/>
        <v>1.1314047788575317</v>
      </c>
      <c r="AG125" s="204">
        <f t="shared" si="54"/>
        <v>3.9852767431792935</v>
      </c>
      <c r="AH125" s="204">
        <f>AD124*F125^AE124</f>
        <v>12596.769809523799</v>
      </c>
    </row>
    <row r="126" spans="3:42" x14ac:dyDescent="0.25">
      <c r="C126" s="33" t="str">
        <f t="shared" ref="C126:D127" si="56">C125</f>
        <v>HSM+BM1(1:1)</v>
      </c>
      <c r="D126" s="33" t="str">
        <f t="shared" si="56"/>
        <v>8:2FTS</v>
      </c>
      <c r="E126" s="33">
        <f>E113</f>
        <v>100</v>
      </c>
      <c r="F126" s="220">
        <f>I47</f>
        <v>31.55</v>
      </c>
      <c r="G126" s="220">
        <f>K47</f>
        <v>15783.333333333336</v>
      </c>
      <c r="T126" s="204">
        <f t="shared" si="55"/>
        <v>3.1695721077654518E-2</v>
      </c>
      <c r="U126" s="204">
        <f t="shared" si="55"/>
        <v>6.3357972544878557E-5</v>
      </c>
      <c r="V126" s="200"/>
      <c r="W126" s="200"/>
      <c r="X126" s="200"/>
      <c r="Y126" s="200"/>
      <c r="Z126" s="227">
        <f>L124*(K124*F126/(1+K124*F126))</f>
        <v>28357.56895855513</v>
      </c>
      <c r="AA126" s="227">
        <f>(G126-Z126)^2</f>
        <v>158111401.55859694</v>
      </c>
      <c r="AF126" s="204">
        <f t="shared" si="54"/>
        <v>1.4989993635801531</v>
      </c>
      <c r="AG126" s="204">
        <f t="shared" si="54"/>
        <v>4.1981987286196301</v>
      </c>
      <c r="AH126" s="204">
        <f>AD124*F126^AE124</f>
        <v>26085.142097380853</v>
      </c>
    </row>
    <row r="127" spans="3:42" ht="15.75" thickBot="1" x14ac:dyDescent="0.3">
      <c r="C127" s="33" t="str">
        <f t="shared" si="56"/>
        <v>HSM+BM1(1:1)</v>
      </c>
      <c r="D127" s="33" t="str">
        <f t="shared" si="56"/>
        <v>8:2FTS</v>
      </c>
      <c r="E127" s="33">
        <f>E114</f>
        <v>500</v>
      </c>
      <c r="F127" s="220">
        <f>I53</f>
        <v>238.33333333333334</v>
      </c>
      <c r="G127" s="220">
        <f>K53</f>
        <v>215999.99999999997</v>
      </c>
      <c r="T127" s="204">
        <f t="shared" si="55"/>
        <v>4.1958041958041958E-3</v>
      </c>
      <c r="U127" s="204">
        <f t="shared" si="55"/>
        <v>4.6296296296296304E-6</v>
      </c>
      <c r="V127" s="200"/>
      <c r="W127" s="200"/>
      <c r="X127" s="200"/>
      <c r="Y127" s="200"/>
      <c r="Z127" s="227">
        <f>L124*(K124*F127/(1+K124*F127))</f>
        <v>214217.07602234359</v>
      </c>
      <c r="AA127" s="232">
        <f>(G127-Z127)^2</f>
        <v>3178817.9101020382</v>
      </c>
      <c r="AF127" s="204">
        <f t="shared" si="54"/>
        <v>2.377184787081418</v>
      </c>
      <c r="AG127" s="204">
        <f t="shared" si="54"/>
        <v>5.3344537511509307</v>
      </c>
      <c r="AH127" s="204">
        <f>AD124*F127^AE124</f>
        <v>148470.11726484771</v>
      </c>
    </row>
    <row r="128" spans="3:42" ht="15.75" thickBot="1" x14ac:dyDescent="0.3">
      <c r="T128" s="200"/>
      <c r="U128" s="200"/>
      <c r="V128" s="200"/>
      <c r="W128" s="200"/>
      <c r="X128" s="200"/>
      <c r="Y128" s="200"/>
      <c r="Z128" s="231" t="s">
        <v>1302</v>
      </c>
      <c r="AA128" s="233">
        <f>SUM(AA124:AA127)</f>
        <v>172211219.02964634</v>
      </c>
      <c r="AF128" s="200"/>
      <c r="AG128" s="200"/>
      <c r="AH128" s="200"/>
    </row>
    <row r="129" spans="20:34" x14ac:dyDescent="0.25">
      <c r="T129" s="200"/>
      <c r="U129" s="200"/>
      <c r="V129" s="200"/>
      <c r="W129" s="200"/>
      <c r="X129" s="200"/>
      <c r="Y129" s="200"/>
      <c r="Z129" s="200"/>
      <c r="AA129" s="228"/>
      <c r="AF129" s="200"/>
      <c r="AG129" s="200"/>
      <c r="AH129" s="200"/>
    </row>
    <row r="130" spans="20:34" x14ac:dyDescent="0.25">
      <c r="T130" s="200"/>
      <c r="U130" s="200"/>
      <c r="V130" s="200"/>
      <c r="W130" s="200"/>
      <c r="X130" s="200"/>
      <c r="Y130" s="200"/>
      <c r="AF130" s="200"/>
      <c r="AG130" s="200"/>
      <c r="AH130" s="200"/>
    </row>
    <row r="131" spans="20:34" x14ac:dyDescent="0.25">
      <c r="AF131" s="200"/>
      <c r="AG131" s="200"/>
      <c r="AH131" s="200"/>
    </row>
    <row r="132" spans="20:34" x14ac:dyDescent="0.25">
      <c r="AF132" s="200"/>
      <c r="AG132" s="200"/>
      <c r="AH132" s="200"/>
    </row>
  </sheetData>
  <mergeCells count="24">
    <mergeCell ref="AS58:AY58"/>
    <mergeCell ref="C7:Q7"/>
    <mergeCell ref="A8:A13"/>
    <mergeCell ref="C14:R14"/>
    <mergeCell ref="A15:A20"/>
    <mergeCell ref="A24:A53"/>
    <mergeCell ref="AC58:AP58"/>
    <mergeCell ref="C58:G58"/>
    <mergeCell ref="I58:AA58"/>
    <mergeCell ref="C122:G122"/>
    <mergeCell ref="I122:AA122"/>
    <mergeCell ref="AC122:AP122"/>
    <mergeCell ref="C71:G71"/>
    <mergeCell ref="I71:AA71"/>
    <mergeCell ref="AC71:AP71"/>
    <mergeCell ref="C84:G84"/>
    <mergeCell ref="I84:AA84"/>
    <mergeCell ref="AC84:AP84"/>
    <mergeCell ref="C96:G96"/>
    <mergeCell ref="I96:AA96"/>
    <mergeCell ref="AC96:AP96"/>
    <mergeCell ref="C109:G109"/>
    <mergeCell ref="I109:AA109"/>
    <mergeCell ref="AC109:AP109"/>
  </mergeCells>
  <conditionalFormatting sqref="W96:W1048576 K1:L23 K30:L1048576 K24:K29">
    <cfRule type="cellIs" dxfId="4" priority="8" operator="lessThan">
      <formula>0</formula>
    </cfRule>
  </conditionalFormatting>
  <conditionalFormatting sqref="W1:W95">
    <cfRule type="cellIs" dxfId="3" priority="7" operator="lessThan">
      <formula>0</formula>
    </cfRule>
  </conditionalFormatting>
  <conditionalFormatting sqref="L24:L29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045A7-F49A-49E5-9E6E-2AAC7621C03E}">
  <sheetPr>
    <tabColor theme="4" tint="0.59999389629810485"/>
  </sheetPr>
  <dimension ref="A1:BY133"/>
  <sheetViews>
    <sheetView topLeftCell="A13" zoomScaleNormal="100" workbookViewId="0">
      <selection activeCell="W44" sqref="W44"/>
    </sheetView>
  </sheetViews>
  <sheetFormatPr defaultRowHeight="15" x14ac:dyDescent="0.25"/>
  <cols>
    <col min="1" max="1" width="19" customWidth="1"/>
    <col min="2" max="2" width="4.85546875" customWidth="1"/>
    <col min="3" max="3" width="22.7109375" customWidth="1"/>
    <col min="4" max="18" width="13.42578125" customWidth="1"/>
    <col min="20" max="20" width="12.28515625" bestFit="1" customWidth="1"/>
    <col min="21" max="21" width="11.28515625" bestFit="1" customWidth="1"/>
    <col min="23" max="23" width="12.85546875" bestFit="1" customWidth="1"/>
    <col min="24" max="24" width="10.140625" customWidth="1"/>
    <col min="25" max="25" width="9.28515625" bestFit="1" customWidth="1"/>
    <col min="26" max="26" width="9.7109375" customWidth="1"/>
    <col min="27" max="27" width="13.42578125" bestFit="1" customWidth="1"/>
    <col min="29" max="29" width="9.28515625" customWidth="1"/>
    <col min="34" max="34" width="10" customWidth="1"/>
  </cols>
  <sheetData>
    <row r="1" spans="1:77" ht="15.75" thickBot="1" x14ac:dyDescent="0.3"/>
    <row r="2" spans="1:77" ht="30.75" thickBot="1" x14ac:dyDescent="0.3">
      <c r="C2" s="133" t="s">
        <v>1263</v>
      </c>
      <c r="D2" s="246" t="s">
        <v>1018</v>
      </c>
      <c r="E2" s="247" t="s">
        <v>1019</v>
      </c>
      <c r="F2" s="248" t="s">
        <v>1020</v>
      </c>
      <c r="G2" s="246" t="s">
        <v>1021</v>
      </c>
      <c r="H2" s="247" t="s">
        <v>1022</v>
      </c>
      <c r="I2" s="248" t="s">
        <v>1023</v>
      </c>
      <c r="J2" s="246" t="s">
        <v>1024</v>
      </c>
      <c r="K2" s="247" t="s">
        <v>1025</v>
      </c>
      <c r="L2" s="248" t="s">
        <v>1026</v>
      </c>
      <c r="M2" s="246" t="s">
        <v>1051</v>
      </c>
      <c r="N2" s="247" t="s">
        <v>1052</v>
      </c>
      <c r="O2" s="247" t="s">
        <v>1053</v>
      </c>
      <c r="P2" s="246" t="s">
        <v>1054</v>
      </c>
      <c r="Q2" s="247" t="s">
        <v>1055</v>
      </c>
      <c r="R2" s="248" t="s">
        <v>1056</v>
      </c>
      <c r="S2" s="11"/>
      <c r="T2" s="14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</row>
    <row r="3" spans="1:77" x14ac:dyDescent="0.25">
      <c r="C3" s="175" t="s">
        <v>1268</v>
      </c>
      <c r="D3" s="155" t="str">
        <f>VLOOKUP(D2,'All data'!$F:$G,2,FALSE)</f>
        <v>SHW-S50-P0-Day20</v>
      </c>
      <c r="E3" s="156"/>
      <c r="F3" s="157"/>
      <c r="G3" s="155" t="str">
        <f>VLOOKUP(G2,'All data'!$F:$G,2,FALSE)</f>
        <v>SHW-S50-P10-Day20</v>
      </c>
      <c r="H3" s="156"/>
      <c r="I3" s="157"/>
      <c r="J3" s="155" t="str">
        <f>VLOOKUP(J2,'All data'!$F:$G,2,FALSE)</f>
        <v>SHW-S50-P50-Day20</v>
      </c>
      <c r="K3" s="156"/>
      <c r="L3" s="157"/>
      <c r="M3" s="155" t="str">
        <f>VLOOKUP(M2,'All data'!$F:$G,2,FALSE)</f>
        <v>SHW-S50-P100-Day20</v>
      </c>
      <c r="N3" s="156"/>
      <c r="O3" s="156"/>
      <c r="P3" s="155" t="str">
        <f>VLOOKUP(P2,'All data'!$F:$G,2,FALSE)</f>
        <v>SHW-S50-P500-Day20</v>
      </c>
      <c r="Q3" s="156"/>
      <c r="R3" s="157"/>
      <c r="S3" s="11"/>
      <c r="T3" s="14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</row>
    <row r="4" spans="1:77" x14ac:dyDescent="0.25">
      <c r="C4" s="142" t="s">
        <v>244</v>
      </c>
      <c r="D4" s="172" t="str">
        <f>VLOOKUP(D2,'All data'!$F:$M,4,FALSE)</f>
        <v>SHW</v>
      </c>
      <c r="E4" s="173" t="str">
        <f>VLOOKUP(E2,'All data'!$F:$M,4,FALSE)</f>
        <v>SHW</v>
      </c>
      <c r="F4" s="174" t="str">
        <f>VLOOKUP(F2,'All data'!$F:$M,4,FALSE)</f>
        <v>SHW</v>
      </c>
      <c r="G4" s="172" t="str">
        <f>VLOOKUP(G2,'All data'!$F:$M,4,FALSE)</f>
        <v>SHW</v>
      </c>
      <c r="H4" s="173" t="str">
        <f>VLOOKUP(H2,'All data'!$F:$M,4,FALSE)</f>
        <v>SHW</v>
      </c>
      <c r="I4" s="174" t="str">
        <f>VLOOKUP(I2,'All data'!$F:$M,4,FALSE)</f>
        <v>SHW</v>
      </c>
      <c r="J4" s="172" t="str">
        <f>VLOOKUP(J2,'All data'!$F:$M,4,FALSE)</f>
        <v>SHW</v>
      </c>
      <c r="K4" s="173" t="str">
        <f>VLOOKUP(K2,'All data'!$F:$M,4,FALSE)</f>
        <v>SHW</v>
      </c>
      <c r="L4" s="174" t="str">
        <f>VLOOKUP(L2,'All data'!$F:$M,4,FALSE)</f>
        <v>SHW</v>
      </c>
      <c r="M4" s="172" t="str">
        <f>VLOOKUP(M2,'All data'!$F:$M,4,FALSE)</f>
        <v>SHW</v>
      </c>
      <c r="N4" s="173" t="str">
        <f>VLOOKUP(N2,'All data'!$F:$M,4,FALSE)</f>
        <v>SHW</v>
      </c>
      <c r="O4" s="173" t="str">
        <f>VLOOKUP(O2,'All data'!$F:$M,4,FALSE)</f>
        <v>SHW</v>
      </c>
      <c r="P4" s="172" t="str">
        <f>VLOOKUP(P2,'All data'!$F:$M,4,FALSE)</f>
        <v>SHW</v>
      </c>
      <c r="Q4" s="173" t="str">
        <f>VLOOKUP(Q2,'All data'!$F:$M,4,FALSE)</f>
        <v>SHW</v>
      </c>
      <c r="R4" s="174" t="str">
        <f>VLOOKUP(R2,'All data'!$F:$M,4,FALSE)</f>
        <v>SHW</v>
      </c>
      <c r="T4" s="141"/>
    </row>
    <row r="5" spans="1:77" x14ac:dyDescent="0.25">
      <c r="C5" s="142" t="s">
        <v>240</v>
      </c>
      <c r="D5" s="172">
        <f>VLOOKUP(D2,'All data'!$F:$M,5,FALSE)</f>
        <v>50</v>
      </c>
      <c r="E5" s="173">
        <f>VLOOKUP(E2,'All data'!$F:$M,5,FALSE)</f>
        <v>50</v>
      </c>
      <c r="F5" s="174">
        <f>VLOOKUP(F2,'All data'!$F:$M,5,FALSE)</f>
        <v>50</v>
      </c>
      <c r="G5" s="172">
        <f>VLOOKUP(G2,'All data'!$F:$M,5,FALSE)</f>
        <v>50</v>
      </c>
      <c r="H5" s="173">
        <f>VLOOKUP(H2,'All data'!$F:$M,5,FALSE)</f>
        <v>50</v>
      </c>
      <c r="I5" s="174">
        <f>VLOOKUP(I2,'All data'!$F:$M,5,FALSE)</f>
        <v>50</v>
      </c>
      <c r="J5" s="172">
        <f>VLOOKUP(J2,'All data'!$F:$M,5,FALSE)</f>
        <v>50</v>
      </c>
      <c r="K5" s="173">
        <f>VLOOKUP(K2,'All data'!$F:$M,5,FALSE)</f>
        <v>50</v>
      </c>
      <c r="L5" s="174">
        <f>VLOOKUP(L2,'All data'!$F:$M,5,FALSE)</f>
        <v>50</v>
      </c>
      <c r="M5" s="172">
        <f>VLOOKUP(M2,'All data'!$F:$M,5,FALSE)</f>
        <v>50</v>
      </c>
      <c r="N5" s="173">
        <f>VLOOKUP(N2,'All data'!$F:$M,5,FALSE)</f>
        <v>50</v>
      </c>
      <c r="O5" s="173">
        <f>VLOOKUP(O2,'All data'!$F:$M,5,FALSE)</f>
        <v>50</v>
      </c>
      <c r="P5" s="172">
        <f>VLOOKUP(P2,'All data'!$F:$M,5,FALSE)</f>
        <v>50</v>
      </c>
      <c r="Q5" s="173">
        <f>VLOOKUP(Q2,'All data'!$F:$M,5,FALSE)</f>
        <v>50</v>
      </c>
      <c r="R5" s="174">
        <f>VLOOKUP(R2,'All data'!$F:$M,5,FALSE)</f>
        <v>50</v>
      </c>
      <c r="T5" s="141"/>
    </row>
    <row r="6" spans="1:77" ht="15.75" thickBot="1" x14ac:dyDescent="0.3">
      <c r="C6" s="143" t="s">
        <v>1277</v>
      </c>
      <c r="D6" s="179">
        <f>VLOOKUP(D2,'All data'!$F:$M,6,FALSE)</f>
        <v>0</v>
      </c>
      <c r="E6" s="180">
        <f>VLOOKUP(E2,'All data'!$F:$M,6,FALSE)</f>
        <v>0</v>
      </c>
      <c r="F6" s="181">
        <f>VLOOKUP(F2,'All data'!$F:$M,6,FALSE)</f>
        <v>0</v>
      </c>
      <c r="G6" s="182">
        <f>VLOOKUP(G2,'All data'!$F:$M,6,FALSE)</f>
        <v>10</v>
      </c>
      <c r="H6" s="183">
        <f>VLOOKUP(H2,'All data'!$F:$M,6,FALSE)</f>
        <v>10</v>
      </c>
      <c r="I6" s="184">
        <f>VLOOKUP(I2,'All data'!$F:$M,6,FALSE)</f>
        <v>10</v>
      </c>
      <c r="J6" s="185">
        <f>VLOOKUP(J2,'All data'!$F:$M,6,FALSE)</f>
        <v>50</v>
      </c>
      <c r="K6" s="186">
        <f>VLOOKUP(K2,'All data'!$F:$M,6,FALSE)</f>
        <v>50</v>
      </c>
      <c r="L6" s="187">
        <f>VLOOKUP(L2,'All data'!$F:$M,6,FALSE)</f>
        <v>50</v>
      </c>
      <c r="M6" s="188">
        <f>VLOOKUP(M2,'All data'!$F:$M,6,FALSE)</f>
        <v>100</v>
      </c>
      <c r="N6" s="189">
        <f>VLOOKUP(N2,'All data'!$F:$M,6,FALSE)</f>
        <v>100</v>
      </c>
      <c r="O6" s="189">
        <f>VLOOKUP(O2,'All data'!$F:$M,6,FALSE)</f>
        <v>100</v>
      </c>
      <c r="P6" s="190">
        <f>VLOOKUP(P2,'All data'!$F:$M,6,FALSE)</f>
        <v>500</v>
      </c>
      <c r="Q6" s="191">
        <f>VLOOKUP(Q2,'All data'!$F:$M,6,FALSE)</f>
        <v>500</v>
      </c>
      <c r="R6" s="192">
        <f>VLOOKUP(R2,'All data'!$F:$M,6,FALSE)</f>
        <v>500</v>
      </c>
      <c r="T6" s="141"/>
    </row>
    <row r="7" spans="1:77" ht="19.5" thickBot="1" x14ac:dyDescent="0.35">
      <c r="C7" s="265" t="s">
        <v>1267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130"/>
      <c r="T7" s="141"/>
    </row>
    <row r="8" spans="1:77" x14ac:dyDescent="0.25">
      <c r="A8" s="266" t="s">
        <v>1267</v>
      </c>
      <c r="C8" s="144" t="s">
        <v>22</v>
      </c>
      <c r="D8" s="171" t="str">
        <f>VLOOKUP(D$2&amp;":"&amp;$C8,'All data'!$E:$P,12,FALSE)</f>
        <v>61.5</v>
      </c>
      <c r="E8" s="135" t="str">
        <f>VLOOKUP(E$2&amp;":"&amp;$C8,'All data'!$E:$P,12,FALSE)</f>
        <v>210</v>
      </c>
      <c r="F8" s="136" t="str">
        <f>VLOOKUP(F$2&amp;":"&amp;$C8,'All data'!$E:$P,12,FALSE)</f>
        <v>50.5</v>
      </c>
      <c r="G8" s="171" t="str">
        <f>VLOOKUP(G$2&amp;":"&amp;$C8,'All data'!$E:$P,12,FALSE)</f>
        <v>9900</v>
      </c>
      <c r="H8" s="135" t="str">
        <f>VLOOKUP(H$2&amp;":"&amp;$C8,'All data'!$E:$P,12,FALSE)</f>
        <v>11700</v>
      </c>
      <c r="I8" s="136" t="str">
        <f>VLOOKUP(I$2&amp;":"&amp;$C8,'All data'!$E:$P,12,FALSE)</f>
        <v>12300</v>
      </c>
      <c r="J8" s="171" t="str">
        <f>VLOOKUP(J$2&amp;":"&amp;$C8,'All data'!$E:$P,12,FALSE)</f>
        <v>49900</v>
      </c>
      <c r="K8" s="135" t="str">
        <f>VLOOKUP(K$2&amp;":"&amp;$C8,'All data'!$E:$P,12,FALSE)</f>
        <v>69700</v>
      </c>
      <c r="L8" s="136" t="str">
        <f>VLOOKUP(L$2&amp;":"&amp;$C8,'All data'!$E:$P,12,FALSE)</f>
        <v>48000</v>
      </c>
      <c r="M8" s="171" t="str">
        <f>VLOOKUP(M$2&amp;":"&amp;$C8,'All data'!$E:$P,12,FALSE)</f>
        <v>140000</v>
      </c>
      <c r="N8" s="135" t="str">
        <f>VLOOKUP(N$2&amp;":"&amp;$C8,'All data'!$E:$P,12,FALSE)</f>
        <v>106000</v>
      </c>
      <c r="O8" s="136" t="str">
        <f>VLOOKUP(O$2&amp;":"&amp;$C8,'All data'!$E:$P,12,FALSE)</f>
        <v>134000</v>
      </c>
      <c r="P8" s="135" t="str">
        <f>VLOOKUP(P$2&amp;":"&amp;$C8,'All data'!$E:$P,12,FALSE)</f>
        <v>673000</v>
      </c>
      <c r="Q8" s="135" t="str">
        <f>VLOOKUP(Q$2&amp;":"&amp;$C8,'All data'!$E:$P,12,FALSE)</f>
        <v>633000</v>
      </c>
      <c r="R8" s="136" t="str">
        <f>VLOOKUP(R$2&amp;":"&amp;$C8,'All data'!$E:$P,12,FALSE)</f>
        <v>863000</v>
      </c>
      <c r="T8" s="141"/>
    </row>
    <row r="9" spans="1:77" x14ac:dyDescent="0.25">
      <c r="A9" s="266"/>
      <c r="C9" s="145" t="s">
        <v>23</v>
      </c>
      <c r="D9" s="160">
        <f>VLOOKUP(D$2&amp;":"&amp;$C9,'All data'!$E:$P,12,FALSE)</f>
        <v>0</v>
      </c>
      <c r="E9" s="137" t="str">
        <f>VLOOKUP(E$2&amp;":"&amp;$C9,'All data'!$E:$P,12,FALSE)</f>
        <v>50.2</v>
      </c>
      <c r="F9" s="138">
        <f>VLOOKUP(F$2&amp;":"&amp;$C9,'All data'!$E:$P,12,FALSE)</f>
        <v>0</v>
      </c>
      <c r="G9" s="160" t="str">
        <f>VLOOKUP(G$2&amp;":"&amp;$C9,'All data'!$E:$P,12,FALSE)</f>
        <v>5330</v>
      </c>
      <c r="H9" s="137" t="str">
        <f>VLOOKUP(H$2&amp;":"&amp;$C9,'All data'!$E:$P,12,FALSE)</f>
        <v>4930</v>
      </c>
      <c r="I9" s="138" t="str">
        <f>VLOOKUP(I$2&amp;":"&amp;$C9,'All data'!$E:$P,12,FALSE)</f>
        <v>6360</v>
      </c>
      <c r="J9" s="160" t="str">
        <f>VLOOKUP(J$2&amp;":"&amp;$C9,'All data'!$E:$P,12,FALSE)</f>
        <v>26000</v>
      </c>
      <c r="K9" s="137" t="str">
        <f>VLOOKUP(K$2&amp;":"&amp;$C9,'All data'!$E:$P,12,FALSE)</f>
        <v>31300</v>
      </c>
      <c r="L9" s="138" t="str">
        <f>VLOOKUP(L$2&amp;":"&amp;$C9,'All data'!$E:$P,12,FALSE)</f>
        <v>22600</v>
      </c>
      <c r="M9" s="160" t="str">
        <f>VLOOKUP(M$2&amp;":"&amp;$C9,'All data'!$E:$P,12,FALSE)</f>
        <v>64200</v>
      </c>
      <c r="N9" s="137" t="str">
        <f>VLOOKUP(N$2&amp;":"&amp;$C9,'All data'!$E:$P,12,FALSE)</f>
        <v>62200</v>
      </c>
      <c r="O9" s="138" t="str">
        <f>VLOOKUP(O$2&amp;":"&amp;$C9,'All data'!$E:$P,12,FALSE)</f>
        <v>61900</v>
      </c>
      <c r="P9" s="137" t="str">
        <f>VLOOKUP(P$2&amp;":"&amp;$C9,'All data'!$E:$P,12,FALSE)</f>
        <v>380000</v>
      </c>
      <c r="Q9" s="137" t="str">
        <f>VLOOKUP(Q$2&amp;":"&amp;$C9,'All data'!$E:$P,12,FALSE)</f>
        <v>376000</v>
      </c>
      <c r="R9" s="138" t="str">
        <f>VLOOKUP(R$2&amp;":"&amp;$C9,'All data'!$E:$P,12,FALSE)</f>
        <v>374000</v>
      </c>
      <c r="T9" s="141"/>
    </row>
    <row r="10" spans="1:77" x14ac:dyDescent="0.25">
      <c r="A10" s="266"/>
      <c r="C10" s="145" t="s">
        <v>24</v>
      </c>
      <c r="D10" s="160" t="str">
        <f>VLOOKUP(D$2&amp;":"&amp;$C10,'All data'!$E:$P,12,FALSE)</f>
        <v>80.3</v>
      </c>
      <c r="E10" s="137" t="str">
        <f>VLOOKUP(E$2&amp;":"&amp;$C10,'All data'!$E:$P,12,FALSE)</f>
        <v>53.4</v>
      </c>
      <c r="F10" s="138" t="str">
        <f>VLOOKUP(F$2&amp;":"&amp;$C10,'All data'!$E:$P,12,FALSE)</f>
        <v>104</v>
      </c>
      <c r="G10" s="160" t="str">
        <f>VLOOKUP(G$2&amp;":"&amp;$C10,'All data'!$E:$P,12,FALSE)</f>
        <v>4870</v>
      </c>
      <c r="H10" s="137" t="str">
        <f>VLOOKUP(H$2&amp;":"&amp;$C10,'All data'!$E:$P,12,FALSE)</f>
        <v>4180</v>
      </c>
      <c r="I10" s="138" t="str">
        <f>VLOOKUP(I$2&amp;":"&amp;$C10,'All data'!$E:$P,12,FALSE)</f>
        <v>5460</v>
      </c>
      <c r="J10" s="160" t="str">
        <f>VLOOKUP(J$2&amp;":"&amp;$C10,'All data'!$E:$P,12,FALSE)</f>
        <v>20000</v>
      </c>
      <c r="K10" s="137" t="str">
        <f>VLOOKUP(K$2&amp;":"&amp;$C10,'All data'!$E:$P,12,FALSE)</f>
        <v>27500</v>
      </c>
      <c r="L10" s="138" t="str">
        <f>VLOOKUP(L$2&amp;":"&amp;$C10,'All data'!$E:$P,12,FALSE)</f>
        <v>19200</v>
      </c>
      <c r="M10" s="160" t="str">
        <f>VLOOKUP(M$2&amp;":"&amp;$C10,'All data'!$E:$P,12,FALSE)</f>
        <v>67400</v>
      </c>
      <c r="N10" s="137" t="str">
        <f>VLOOKUP(N$2&amp;":"&amp;$C10,'All data'!$E:$P,12,FALSE)</f>
        <v>50300</v>
      </c>
      <c r="O10" s="138" t="str">
        <f>VLOOKUP(O$2&amp;":"&amp;$C10,'All data'!$E:$P,12,FALSE)</f>
        <v>41400</v>
      </c>
      <c r="P10" s="137" t="str">
        <f>VLOOKUP(P$2&amp;":"&amp;$C10,'All data'!$E:$P,12,FALSE)</f>
        <v>285000</v>
      </c>
      <c r="Q10" s="137" t="str">
        <f>VLOOKUP(Q$2&amp;":"&amp;$C10,'All data'!$E:$P,12,FALSE)</f>
        <v>347000</v>
      </c>
      <c r="R10" s="138" t="str">
        <f>VLOOKUP(R$2&amp;":"&amp;$C10,'All data'!$E:$P,12,FALSE)</f>
        <v>413000</v>
      </c>
      <c r="T10" s="141"/>
    </row>
    <row r="11" spans="1:77" x14ac:dyDescent="0.25">
      <c r="A11" s="266"/>
      <c r="C11" s="145" t="s">
        <v>25</v>
      </c>
      <c r="D11" s="160" t="str">
        <f>VLOOKUP(D$2&amp;":"&amp;$C11,'All data'!$E:$P,12,FALSE)</f>
        <v>64.5</v>
      </c>
      <c r="E11" s="137" t="str">
        <f>VLOOKUP(E$2&amp;":"&amp;$C11,'All data'!$E:$P,12,FALSE)</f>
        <v>231</v>
      </c>
      <c r="F11" s="138" t="str">
        <f>VLOOKUP(F$2&amp;":"&amp;$C11,'All data'!$E:$P,12,FALSE)</f>
        <v>89.4</v>
      </c>
      <c r="G11" s="160" t="str">
        <f>VLOOKUP(G$2&amp;":"&amp;$C11,'All data'!$E:$P,12,FALSE)</f>
        <v>14400</v>
      </c>
      <c r="H11" s="137" t="str">
        <f>VLOOKUP(H$2&amp;":"&amp;$C11,'All data'!$E:$P,12,FALSE)</f>
        <v>15700</v>
      </c>
      <c r="I11" s="138" t="str">
        <f>VLOOKUP(I$2&amp;":"&amp;$C11,'All data'!$E:$P,12,FALSE)</f>
        <v>18400</v>
      </c>
      <c r="J11" s="160" t="str">
        <f>VLOOKUP(J$2&amp;":"&amp;$C11,'All data'!$E:$P,12,FALSE)</f>
        <v>67500</v>
      </c>
      <c r="K11" s="137" t="str">
        <f>VLOOKUP(K$2&amp;":"&amp;$C11,'All data'!$E:$P,12,FALSE)</f>
        <v>71600</v>
      </c>
      <c r="L11" s="138" t="str">
        <f>VLOOKUP(L$2&amp;":"&amp;$C11,'All data'!$E:$P,12,FALSE)</f>
        <v>55300</v>
      </c>
      <c r="M11" s="160" t="str">
        <f>VLOOKUP(M$2&amp;":"&amp;$C11,'All data'!$E:$P,12,FALSE)</f>
        <v>189000</v>
      </c>
      <c r="N11" s="137" t="str">
        <f>VLOOKUP(N$2&amp;":"&amp;$C11,'All data'!$E:$P,12,FALSE)</f>
        <v>136000</v>
      </c>
      <c r="O11" s="138" t="str">
        <f>VLOOKUP(O$2&amp;":"&amp;$C11,'All data'!$E:$P,12,FALSE)</f>
        <v>137000</v>
      </c>
      <c r="P11" s="137" t="str">
        <f>VLOOKUP(P$2&amp;":"&amp;$C11,'All data'!$E:$P,12,FALSE)</f>
        <v>818000</v>
      </c>
      <c r="Q11" s="137" t="str">
        <f>VLOOKUP(Q$2&amp;":"&amp;$C11,'All data'!$E:$P,12,FALSE)</f>
        <v>943000</v>
      </c>
      <c r="R11" s="138" t="str">
        <f>VLOOKUP(R$2&amp;":"&amp;$C11,'All data'!$E:$P,12,FALSE)</f>
        <v>897000</v>
      </c>
      <c r="T11" s="141"/>
    </row>
    <row r="12" spans="1:77" x14ac:dyDescent="0.25">
      <c r="A12" s="266"/>
      <c r="C12" s="145" t="s">
        <v>26</v>
      </c>
      <c r="D12" s="160">
        <f>VLOOKUP(D$2&amp;":"&amp;$C12,'All data'!$E:$P,12,FALSE)</f>
        <v>0</v>
      </c>
      <c r="E12" s="137">
        <f>VLOOKUP(E$2&amp;":"&amp;$C12,'All data'!$E:$P,12,FALSE)</f>
        <v>0</v>
      </c>
      <c r="F12" s="138">
        <f>VLOOKUP(F$2&amp;":"&amp;$C12,'All data'!$E:$P,12,FALSE)</f>
        <v>0</v>
      </c>
      <c r="G12" s="160" t="str">
        <f>VLOOKUP(G$2&amp;":"&amp;$C12,'All data'!$E:$P,12,FALSE)</f>
        <v>3730</v>
      </c>
      <c r="H12" s="137" t="str">
        <f>VLOOKUP(H$2&amp;":"&amp;$C12,'All data'!$E:$P,12,FALSE)</f>
        <v>4390</v>
      </c>
      <c r="I12" s="138" t="str">
        <f>VLOOKUP(I$2&amp;":"&amp;$C12,'All data'!$E:$P,12,FALSE)</f>
        <v>4970</v>
      </c>
      <c r="J12" s="160" t="str">
        <f>VLOOKUP(J$2&amp;":"&amp;$C12,'All data'!$E:$P,12,FALSE)</f>
        <v>19900</v>
      </c>
      <c r="K12" s="137" t="str">
        <f>VLOOKUP(K$2&amp;":"&amp;$C12,'All data'!$E:$P,12,FALSE)</f>
        <v>23000</v>
      </c>
      <c r="L12" s="138" t="str">
        <f>VLOOKUP(L$2&amp;":"&amp;$C12,'All data'!$E:$P,12,FALSE)</f>
        <v>16500</v>
      </c>
      <c r="M12" s="160" t="str">
        <f>VLOOKUP(M$2&amp;":"&amp;$C12,'All data'!$E:$P,12,FALSE)</f>
        <v>43200</v>
      </c>
      <c r="N12" s="137" t="str">
        <f>VLOOKUP(N$2&amp;":"&amp;$C12,'All data'!$E:$P,12,FALSE)</f>
        <v>46700</v>
      </c>
      <c r="O12" s="138" t="str">
        <f>VLOOKUP(O$2&amp;":"&amp;$C12,'All data'!$E:$P,12,FALSE)</f>
        <v>40700</v>
      </c>
      <c r="P12" s="137" t="str">
        <f>VLOOKUP(P$2&amp;":"&amp;$C12,'All data'!$E:$P,12,FALSE)</f>
        <v>211000</v>
      </c>
      <c r="Q12" s="137" t="str">
        <f>VLOOKUP(Q$2&amp;":"&amp;$C12,'All data'!$E:$P,12,FALSE)</f>
        <v>234000</v>
      </c>
      <c r="R12" s="138" t="str">
        <f>VLOOKUP(R$2&amp;":"&amp;$C12,'All data'!$E:$P,12,FALSE)</f>
        <v>271000</v>
      </c>
      <c r="T12" s="141"/>
    </row>
    <row r="13" spans="1:77" ht="15.75" thickBot="1" x14ac:dyDescent="0.3">
      <c r="A13" s="266"/>
      <c r="C13" s="146" t="s">
        <v>27</v>
      </c>
      <c r="D13" s="161">
        <f>VLOOKUP(D$2&amp;":"&amp;$C13,'All data'!$E:$P,12,FALSE)</f>
        <v>0</v>
      </c>
      <c r="E13" s="139" t="str">
        <f>VLOOKUP(E$2&amp;":"&amp;$C13,'All data'!$E:$P,12,FALSE)</f>
        <v>31.0</v>
      </c>
      <c r="F13" s="140" t="str">
        <f>VLOOKUP(F$2&amp;":"&amp;$C13,'All data'!$E:$P,12,FALSE)</f>
        <v>33.7</v>
      </c>
      <c r="G13" s="161" t="str">
        <f>VLOOKUP(G$2&amp;":"&amp;$C13,'All data'!$E:$P,12,FALSE)</f>
        <v>3520</v>
      </c>
      <c r="H13" s="139" t="str">
        <f>VLOOKUP(H$2&amp;":"&amp;$C13,'All data'!$E:$P,12,FALSE)</f>
        <v>3440</v>
      </c>
      <c r="I13" s="140" t="str">
        <f>VLOOKUP(I$2&amp;":"&amp;$C13,'All data'!$E:$P,12,FALSE)</f>
        <v>4620</v>
      </c>
      <c r="J13" s="161" t="str">
        <f>VLOOKUP(J$2&amp;":"&amp;$C13,'All data'!$E:$P,12,FALSE)</f>
        <v>16500</v>
      </c>
      <c r="K13" s="139" t="str">
        <f>VLOOKUP(K$2&amp;":"&amp;$C13,'All data'!$E:$P,12,FALSE)</f>
        <v>20500</v>
      </c>
      <c r="L13" s="140" t="str">
        <f>VLOOKUP(L$2&amp;":"&amp;$C13,'All data'!$E:$P,12,FALSE)</f>
        <v>21000</v>
      </c>
      <c r="M13" s="161" t="str">
        <f>VLOOKUP(M$2&amp;":"&amp;$C13,'All data'!$E:$P,12,FALSE)</f>
        <v>39700</v>
      </c>
      <c r="N13" s="139" t="str">
        <f>VLOOKUP(N$2&amp;":"&amp;$C13,'All data'!$E:$P,12,FALSE)</f>
        <v>36100</v>
      </c>
      <c r="O13" s="140" t="str">
        <f>VLOOKUP(O$2&amp;":"&amp;$C13,'All data'!$E:$P,12,FALSE)</f>
        <v>32900</v>
      </c>
      <c r="P13" s="139" t="str">
        <f>VLOOKUP(P$2&amp;":"&amp;$C13,'All data'!$E:$P,12,FALSE)</f>
        <v>186000</v>
      </c>
      <c r="Q13" s="139" t="str">
        <f>VLOOKUP(Q$2&amp;":"&amp;$C13,'All data'!$E:$P,12,FALSE)</f>
        <v>269000</v>
      </c>
      <c r="R13" s="140" t="str">
        <f>VLOOKUP(R$2&amp;":"&amp;$C13,'All data'!$E:$P,12,FALSE)</f>
        <v>148000</v>
      </c>
      <c r="T13" s="141"/>
    </row>
    <row r="14" spans="1:77" ht="19.5" thickBot="1" x14ac:dyDescent="0.35">
      <c r="A14" s="154"/>
      <c r="C14" s="267" t="s">
        <v>1276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T14" s="141"/>
    </row>
    <row r="15" spans="1:77" ht="15" customHeight="1" x14ac:dyDescent="0.25">
      <c r="A15" s="266" t="s">
        <v>1267</v>
      </c>
      <c r="C15" s="147" t="s">
        <v>22</v>
      </c>
      <c r="D15" s="171">
        <f>VALUE(D8)</f>
        <v>61.5</v>
      </c>
      <c r="E15" s="135">
        <f t="shared" ref="E15:R20" si="0">VALUE(E8)</f>
        <v>210</v>
      </c>
      <c r="F15" s="136">
        <f t="shared" si="0"/>
        <v>50.5</v>
      </c>
      <c r="G15" s="171">
        <f t="shared" si="0"/>
        <v>9900</v>
      </c>
      <c r="H15" s="135">
        <f t="shared" si="0"/>
        <v>11700</v>
      </c>
      <c r="I15" s="136">
        <f t="shared" si="0"/>
        <v>12300</v>
      </c>
      <c r="J15" s="171">
        <f t="shared" si="0"/>
        <v>49900</v>
      </c>
      <c r="K15" s="135">
        <f t="shared" si="0"/>
        <v>69700</v>
      </c>
      <c r="L15" s="136">
        <f t="shared" si="0"/>
        <v>48000</v>
      </c>
      <c r="M15" s="171">
        <f t="shared" si="0"/>
        <v>140000</v>
      </c>
      <c r="N15" s="135">
        <f t="shared" si="0"/>
        <v>106000</v>
      </c>
      <c r="O15" s="136">
        <f t="shared" si="0"/>
        <v>134000</v>
      </c>
      <c r="P15" s="135">
        <f t="shared" si="0"/>
        <v>673000</v>
      </c>
      <c r="Q15" s="135">
        <f t="shared" si="0"/>
        <v>633000</v>
      </c>
      <c r="R15" s="136">
        <f t="shared" si="0"/>
        <v>863000</v>
      </c>
      <c r="T15" s="141"/>
    </row>
    <row r="16" spans="1:77" x14ac:dyDescent="0.25">
      <c r="A16" s="266"/>
      <c r="C16" s="145" t="s">
        <v>23</v>
      </c>
      <c r="D16" s="160">
        <f t="shared" ref="D16:O20" si="1">VALUE(D9)</f>
        <v>0</v>
      </c>
      <c r="E16" s="137">
        <f t="shared" si="1"/>
        <v>50.2</v>
      </c>
      <c r="F16" s="138">
        <f t="shared" si="1"/>
        <v>0</v>
      </c>
      <c r="G16" s="160">
        <f t="shared" si="1"/>
        <v>5330</v>
      </c>
      <c r="H16" s="137">
        <f t="shared" si="1"/>
        <v>4930</v>
      </c>
      <c r="I16" s="138">
        <f t="shared" si="1"/>
        <v>6360</v>
      </c>
      <c r="J16" s="160">
        <f t="shared" si="1"/>
        <v>26000</v>
      </c>
      <c r="K16" s="137">
        <f t="shared" si="1"/>
        <v>31300</v>
      </c>
      <c r="L16" s="138">
        <f t="shared" si="1"/>
        <v>22600</v>
      </c>
      <c r="M16" s="160">
        <f t="shared" si="1"/>
        <v>64200</v>
      </c>
      <c r="N16" s="137">
        <f t="shared" si="1"/>
        <v>62200</v>
      </c>
      <c r="O16" s="138">
        <f t="shared" si="1"/>
        <v>61900</v>
      </c>
      <c r="P16" s="137">
        <f t="shared" si="0"/>
        <v>380000</v>
      </c>
      <c r="Q16" s="137">
        <f t="shared" si="0"/>
        <v>376000</v>
      </c>
      <c r="R16" s="138">
        <f t="shared" si="0"/>
        <v>374000</v>
      </c>
    </row>
    <row r="17" spans="1:18" x14ac:dyDescent="0.25">
      <c r="A17" s="266"/>
      <c r="C17" s="145" t="s">
        <v>24</v>
      </c>
      <c r="D17" s="160">
        <f t="shared" si="1"/>
        <v>80.3</v>
      </c>
      <c r="E17" s="137">
        <f t="shared" si="1"/>
        <v>53.4</v>
      </c>
      <c r="F17" s="138">
        <f t="shared" si="1"/>
        <v>104</v>
      </c>
      <c r="G17" s="160">
        <f t="shared" si="1"/>
        <v>4870</v>
      </c>
      <c r="H17" s="137">
        <f t="shared" si="1"/>
        <v>4180</v>
      </c>
      <c r="I17" s="138">
        <f t="shared" si="1"/>
        <v>5460</v>
      </c>
      <c r="J17" s="160">
        <f t="shared" si="1"/>
        <v>20000</v>
      </c>
      <c r="K17" s="137">
        <f t="shared" si="1"/>
        <v>27500</v>
      </c>
      <c r="L17" s="138">
        <f t="shared" si="1"/>
        <v>19200</v>
      </c>
      <c r="M17" s="160">
        <f t="shared" si="1"/>
        <v>67400</v>
      </c>
      <c r="N17" s="137">
        <f t="shared" si="1"/>
        <v>50300</v>
      </c>
      <c r="O17" s="138">
        <f t="shared" si="1"/>
        <v>41400</v>
      </c>
      <c r="P17" s="137">
        <f t="shared" si="0"/>
        <v>285000</v>
      </c>
      <c r="Q17" s="137">
        <f t="shared" si="0"/>
        <v>347000</v>
      </c>
      <c r="R17" s="138">
        <f t="shared" si="0"/>
        <v>413000</v>
      </c>
    </row>
    <row r="18" spans="1:18" x14ac:dyDescent="0.25">
      <c r="A18" s="266"/>
      <c r="C18" s="145" t="s">
        <v>25</v>
      </c>
      <c r="D18" s="160">
        <f t="shared" si="1"/>
        <v>64.5</v>
      </c>
      <c r="E18" s="137">
        <f t="shared" si="1"/>
        <v>231</v>
      </c>
      <c r="F18" s="138">
        <f t="shared" si="1"/>
        <v>89.4</v>
      </c>
      <c r="G18" s="160">
        <f t="shared" si="1"/>
        <v>14400</v>
      </c>
      <c r="H18" s="137">
        <f t="shared" si="1"/>
        <v>15700</v>
      </c>
      <c r="I18" s="138">
        <f t="shared" si="1"/>
        <v>18400</v>
      </c>
      <c r="J18" s="160">
        <f t="shared" si="1"/>
        <v>67500</v>
      </c>
      <c r="K18" s="137">
        <f t="shared" si="1"/>
        <v>71600</v>
      </c>
      <c r="L18" s="138">
        <f t="shared" si="1"/>
        <v>55300</v>
      </c>
      <c r="M18" s="160">
        <f t="shared" si="1"/>
        <v>189000</v>
      </c>
      <c r="N18" s="137">
        <f t="shared" si="1"/>
        <v>136000</v>
      </c>
      <c r="O18" s="138">
        <f t="shared" si="1"/>
        <v>137000</v>
      </c>
      <c r="P18" s="137">
        <f t="shared" si="0"/>
        <v>818000</v>
      </c>
      <c r="Q18" s="137">
        <f t="shared" si="0"/>
        <v>943000</v>
      </c>
      <c r="R18" s="138">
        <f t="shared" si="0"/>
        <v>897000</v>
      </c>
    </row>
    <row r="19" spans="1:18" x14ac:dyDescent="0.25">
      <c r="A19" s="266"/>
      <c r="C19" s="145" t="s">
        <v>26</v>
      </c>
      <c r="D19" s="160">
        <f t="shared" si="1"/>
        <v>0</v>
      </c>
      <c r="E19" s="137">
        <f t="shared" si="1"/>
        <v>0</v>
      </c>
      <c r="F19" s="138">
        <f t="shared" si="1"/>
        <v>0</v>
      </c>
      <c r="G19" s="160">
        <f t="shared" si="1"/>
        <v>3730</v>
      </c>
      <c r="H19" s="137">
        <f t="shared" si="1"/>
        <v>4390</v>
      </c>
      <c r="I19" s="138">
        <f t="shared" si="1"/>
        <v>4970</v>
      </c>
      <c r="J19" s="160">
        <f t="shared" si="1"/>
        <v>19900</v>
      </c>
      <c r="K19" s="137">
        <f t="shared" si="1"/>
        <v>23000</v>
      </c>
      <c r="L19" s="138">
        <f t="shared" si="1"/>
        <v>16500</v>
      </c>
      <c r="M19" s="160">
        <f t="shared" si="1"/>
        <v>43200</v>
      </c>
      <c r="N19" s="137">
        <f t="shared" si="1"/>
        <v>46700</v>
      </c>
      <c r="O19" s="138">
        <f t="shared" si="1"/>
        <v>40700</v>
      </c>
      <c r="P19" s="137">
        <f t="shared" si="0"/>
        <v>211000</v>
      </c>
      <c r="Q19" s="137">
        <f t="shared" si="0"/>
        <v>234000</v>
      </c>
      <c r="R19" s="138">
        <f t="shared" si="0"/>
        <v>271000</v>
      </c>
    </row>
    <row r="20" spans="1:18" ht="15.75" thickBot="1" x14ac:dyDescent="0.3">
      <c r="A20" s="266"/>
      <c r="C20" s="146" t="s">
        <v>27</v>
      </c>
      <c r="D20" s="161">
        <f t="shared" si="1"/>
        <v>0</v>
      </c>
      <c r="E20" s="139">
        <f t="shared" si="1"/>
        <v>31</v>
      </c>
      <c r="F20" s="140">
        <f t="shared" si="1"/>
        <v>33.700000000000003</v>
      </c>
      <c r="G20" s="161">
        <f t="shared" si="1"/>
        <v>3520</v>
      </c>
      <c r="H20" s="139">
        <f t="shared" si="1"/>
        <v>3440</v>
      </c>
      <c r="I20" s="140">
        <f t="shared" si="1"/>
        <v>4620</v>
      </c>
      <c r="J20" s="161">
        <f t="shared" si="1"/>
        <v>16500</v>
      </c>
      <c r="K20" s="139">
        <f t="shared" si="1"/>
        <v>20500</v>
      </c>
      <c r="L20" s="140">
        <f t="shared" si="1"/>
        <v>21000</v>
      </c>
      <c r="M20" s="161">
        <f t="shared" si="1"/>
        <v>39700</v>
      </c>
      <c r="N20" s="139">
        <f t="shared" si="1"/>
        <v>36100</v>
      </c>
      <c r="O20" s="140">
        <f t="shared" si="1"/>
        <v>32900</v>
      </c>
      <c r="P20" s="139">
        <f t="shared" si="0"/>
        <v>186000</v>
      </c>
      <c r="Q20" s="139">
        <f t="shared" si="0"/>
        <v>269000</v>
      </c>
      <c r="R20" s="140">
        <f t="shared" si="0"/>
        <v>148000</v>
      </c>
    </row>
    <row r="21" spans="1:18" ht="15.75" thickBot="1" x14ac:dyDescent="0.3">
      <c r="A21" s="154"/>
    </row>
    <row r="22" spans="1:18" ht="33.75" thickBot="1" x14ac:dyDescent="0.3">
      <c r="A22" s="154"/>
      <c r="B22" s="211" t="s">
        <v>203</v>
      </c>
      <c r="C22" s="212" t="s">
        <v>243</v>
      </c>
      <c r="D22" s="213" t="s">
        <v>1264</v>
      </c>
      <c r="E22" s="214" t="s">
        <v>1313</v>
      </c>
      <c r="F22" s="214" t="s">
        <v>1314</v>
      </c>
      <c r="G22" s="215" t="s">
        <v>1278</v>
      </c>
      <c r="H22" s="243" t="s">
        <v>1270</v>
      </c>
      <c r="I22" s="244" t="s">
        <v>1269</v>
      </c>
      <c r="J22" s="244" t="s">
        <v>1271</v>
      </c>
      <c r="K22" s="244" t="s">
        <v>1272</v>
      </c>
      <c r="L22" s="244" t="s">
        <v>1273</v>
      </c>
      <c r="M22" s="245" t="s">
        <v>1274</v>
      </c>
    </row>
    <row r="23" spans="1:18" ht="15.75" thickBot="1" x14ac:dyDescent="0.3">
      <c r="A23" s="154"/>
      <c r="D23" s="200"/>
      <c r="E23" s="101"/>
      <c r="F23" s="101"/>
      <c r="G23" s="101"/>
      <c r="H23" s="201" t="s">
        <v>1275</v>
      </c>
      <c r="I23" s="202"/>
      <c r="J23" s="203"/>
      <c r="K23" s="202"/>
      <c r="L23" s="202"/>
      <c r="M23" s="202"/>
    </row>
    <row r="24" spans="1:18" ht="15" customHeight="1" x14ac:dyDescent="0.25">
      <c r="A24" s="268" t="s">
        <v>1267</v>
      </c>
      <c r="B24" s="208">
        <v>0</v>
      </c>
      <c r="C24" s="163" t="s">
        <v>22</v>
      </c>
      <c r="D24" s="206" t="str">
        <f>D$3&amp;":"&amp;$C24</f>
        <v>SHW-S50-P0-Day20:PFHxA</v>
      </c>
      <c r="E24" s="135">
        <f t="shared" ref="E24:E29" si="2">AVERAGE(D15:F15)</f>
        <v>107.33333333333333</v>
      </c>
      <c r="F24" s="148">
        <f t="shared" ref="F24:F29" si="3">STDEV(D15:F15)</f>
        <v>89.081891163879831</v>
      </c>
      <c r="G24" s="216">
        <f>IFERROR(F24/E24,"")</f>
        <v>0.82995550773801086</v>
      </c>
      <c r="H24" s="194">
        <f>'PFAS at t0'!E23/1000</f>
        <v>0</v>
      </c>
      <c r="I24" s="193">
        <f t="shared" ref="I24:I53" si="4">E24/1000</f>
        <v>0.10733333333333332</v>
      </c>
      <c r="J24" s="193">
        <f>H24-I24</f>
        <v>-0.10733333333333332</v>
      </c>
      <c r="K24" s="194">
        <f>(J24*0.05)/(50/1000000)</f>
        <v>-107.33333333333331</v>
      </c>
      <c r="L24" s="105"/>
      <c r="M24" s="134"/>
    </row>
    <row r="25" spans="1:18" x14ac:dyDescent="0.25">
      <c r="A25" s="268"/>
      <c r="B25" s="209">
        <v>0</v>
      </c>
      <c r="C25" s="103" t="s">
        <v>23</v>
      </c>
      <c r="D25" s="205" t="str">
        <f t="shared" ref="D25:D29" si="5">D$3&amp;":"&amp;$C25</f>
        <v>SHW-S50-P0-Day20:PFOA</v>
      </c>
      <c r="E25" s="137">
        <f t="shared" si="2"/>
        <v>16.733333333333334</v>
      </c>
      <c r="F25" s="149">
        <f t="shared" si="3"/>
        <v>28.982983513319216</v>
      </c>
      <c r="G25" s="217">
        <f t="shared" ref="G25:G53" si="6">IFERROR(F25/E25,"")</f>
        <v>1.7320508075688774</v>
      </c>
      <c r="H25" s="196">
        <f>'PFAS at t0'!E24/1000</f>
        <v>0</v>
      </c>
      <c r="I25" s="195">
        <f t="shared" si="4"/>
        <v>1.6733333333333333E-2</v>
      </c>
      <c r="J25" s="195">
        <f t="shared" ref="J25:J53" si="7">H25-I25</f>
        <v>-1.6733333333333333E-2</v>
      </c>
      <c r="K25" s="196">
        <f t="shared" ref="K25:K53" si="8">(J25*0.05)/(50/1000000)</f>
        <v>-16.733333333333331</v>
      </c>
      <c r="L25" s="103"/>
      <c r="M25" s="130"/>
    </row>
    <row r="26" spans="1:18" x14ac:dyDescent="0.25">
      <c r="A26" s="268"/>
      <c r="B26" s="209">
        <v>0</v>
      </c>
      <c r="C26" s="103" t="s">
        <v>24</v>
      </c>
      <c r="D26" s="205" t="str">
        <f t="shared" si="5"/>
        <v>SHW-S50-P0-Day20:PFNA</v>
      </c>
      <c r="E26" s="137">
        <f t="shared" si="2"/>
        <v>79.233333333333334</v>
      </c>
      <c r="F26" s="149">
        <f t="shared" si="3"/>
        <v>25.31685867822733</v>
      </c>
      <c r="G26" s="217">
        <f t="shared" si="6"/>
        <v>0.31952282723888092</v>
      </c>
      <c r="H26" s="196">
        <f>'PFAS at t0'!E25/1000</f>
        <v>0</v>
      </c>
      <c r="I26" s="195">
        <f t="shared" si="4"/>
        <v>7.9233333333333336E-2</v>
      </c>
      <c r="J26" s="195">
        <f t="shared" si="7"/>
        <v>-7.9233333333333336E-2</v>
      </c>
      <c r="K26" s="196">
        <f t="shared" si="8"/>
        <v>-79.233333333333334</v>
      </c>
      <c r="L26" s="103"/>
      <c r="M26" s="130"/>
    </row>
    <row r="27" spans="1:18" x14ac:dyDescent="0.25">
      <c r="A27" s="268"/>
      <c r="B27" s="209">
        <v>0</v>
      </c>
      <c r="C27" s="103" t="s">
        <v>25</v>
      </c>
      <c r="D27" s="205" t="str">
        <f t="shared" si="5"/>
        <v>SHW-S50-P0-Day20:PFBS</v>
      </c>
      <c r="E27" s="137">
        <f t="shared" si="2"/>
        <v>128.29999999999998</v>
      </c>
      <c r="F27" s="149">
        <f t="shared" si="3"/>
        <v>89.807961785133529</v>
      </c>
      <c r="G27" s="217">
        <f t="shared" si="6"/>
        <v>0.69998411367991853</v>
      </c>
      <c r="H27" s="196">
        <f>'PFAS at t0'!E26/1000</f>
        <v>3.5000000000000003E-2</v>
      </c>
      <c r="I27" s="195">
        <f t="shared" si="4"/>
        <v>0.12829999999999997</v>
      </c>
      <c r="J27" s="195">
        <f t="shared" si="7"/>
        <v>-9.3299999999999966E-2</v>
      </c>
      <c r="K27" s="196">
        <f t="shared" si="8"/>
        <v>-93.299999999999955</v>
      </c>
      <c r="L27" s="103"/>
      <c r="M27" s="130"/>
    </row>
    <row r="28" spans="1:18" x14ac:dyDescent="0.25">
      <c r="A28" s="268"/>
      <c r="B28" s="209">
        <v>0</v>
      </c>
      <c r="C28" s="103" t="s">
        <v>26</v>
      </c>
      <c r="D28" s="205" t="str">
        <f t="shared" si="5"/>
        <v>SHW-S50-P0-Day20:PFOS</v>
      </c>
      <c r="E28" s="137">
        <f t="shared" si="2"/>
        <v>0</v>
      </c>
      <c r="F28" s="149">
        <f t="shared" si="3"/>
        <v>0</v>
      </c>
      <c r="G28" s="217" t="str">
        <f t="shared" si="6"/>
        <v/>
      </c>
      <c r="H28" s="196">
        <f>'PFAS at t0'!E27/1000</f>
        <v>0</v>
      </c>
      <c r="I28" s="195">
        <f t="shared" si="4"/>
        <v>0</v>
      </c>
      <c r="J28" s="195">
        <f t="shared" si="7"/>
        <v>0</v>
      </c>
      <c r="K28" s="196">
        <f t="shared" si="8"/>
        <v>0</v>
      </c>
      <c r="L28" s="103"/>
      <c r="M28" s="130"/>
    </row>
    <row r="29" spans="1:18" ht="15.75" thickBot="1" x14ac:dyDescent="0.3">
      <c r="A29" s="268"/>
      <c r="B29" s="210">
        <v>0</v>
      </c>
      <c r="C29" s="104" t="s">
        <v>27</v>
      </c>
      <c r="D29" s="207" t="str">
        <f t="shared" si="5"/>
        <v>SHW-S50-P0-Day20:8:2FTS</v>
      </c>
      <c r="E29" s="139">
        <f t="shared" si="2"/>
        <v>21.566666666666666</v>
      </c>
      <c r="F29" s="150">
        <f t="shared" si="3"/>
        <v>18.726006871015869</v>
      </c>
      <c r="G29" s="218">
        <f t="shared" si="6"/>
        <v>0.868284708084198</v>
      </c>
      <c r="H29" s="198">
        <f>'PFAS at t0'!E28/1000</f>
        <v>4.8766666666666673E-2</v>
      </c>
      <c r="I29" s="197">
        <f t="shared" si="4"/>
        <v>2.1566666666666668E-2</v>
      </c>
      <c r="J29" s="197">
        <f t="shared" si="7"/>
        <v>2.7200000000000005E-2</v>
      </c>
      <c r="K29" s="198">
        <f t="shared" si="8"/>
        <v>27.200000000000006</v>
      </c>
      <c r="L29" s="104"/>
      <c r="M29" s="132"/>
    </row>
    <row r="30" spans="1:18" x14ac:dyDescent="0.25">
      <c r="A30" s="268"/>
      <c r="B30" s="208">
        <v>10</v>
      </c>
      <c r="C30" s="163" t="s">
        <v>22</v>
      </c>
      <c r="D30" s="206" t="str">
        <f>G$3&amp;":"&amp;$C30</f>
        <v>SHW-S50-P10-Day20:PFHxA</v>
      </c>
      <c r="E30" s="135">
        <f t="shared" ref="E30:E35" si="9">AVERAGE(G15:I15)</f>
        <v>11300</v>
      </c>
      <c r="F30" s="148">
        <f t="shared" ref="F30:F35" si="10">STDEV(G15:I15)</f>
        <v>1248.9995996796797</v>
      </c>
      <c r="G30" s="216">
        <f t="shared" si="6"/>
        <v>0.11053093802475042</v>
      </c>
      <c r="H30" s="171">
        <f>'PFAS at t0'!E29/1000</f>
        <v>15.4</v>
      </c>
      <c r="I30" s="234">
        <f t="shared" si="4"/>
        <v>11.3</v>
      </c>
      <c r="J30" s="234">
        <f t="shared" si="7"/>
        <v>4.0999999999999996</v>
      </c>
      <c r="K30" s="235">
        <f t="shared" si="8"/>
        <v>4100</v>
      </c>
      <c r="L30" s="135">
        <f t="shared" ref="L30:L53" si="11">K30/I30</f>
        <v>362.83185840707961</v>
      </c>
      <c r="M30" s="199">
        <f t="shared" ref="M30:M53" si="12">LOG(L30)</f>
        <v>2.5597054132363155</v>
      </c>
    </row>
    <row r="31" spans="1:18" x14ac:dyDescent="0.25">
      <c r="A31" s="268"/>
      <c r="B31" s="209">
        <v>10</v>
      </c>
      <c r="C31" s="103" t="s">
        <v>23</v>
      </c>
      <c r="D31" s="205" t="str">
        <f t="shared" ref="D31:D35" si="13">G$3&amp;":"&amp;$C31</f>
        <v>SHW-S50-P10-Day20:PFOA</v>
      </c>
      <c r="E31" s="137">
        <f t="shared" si="9"/>
        <v>5540</v>
      </c>
      <c r="F31" s="149">
        <f t="shared" si="10"/>
        <v>737.76690085690348</v>
      </c>
      <c r="G31" s="217">
        <f t="shared" si="6"/>
        <v>0.13317092073229306</v>
      </c>
      <c r="H31" s="160">
        <f>'PFAS at t0'!E30/1000</f>
        <v>7.8833333333333329</v>
      </c>
      <c r="I31" s="93">
        <f t="shared" si="4"/>
        <v>5.54</v>
      </c>
      <c r="J31" s="93">
        <f t="shared" si="7"/>
        <v>2.3433333333333328</v>
      </c>
      <c r="K31" s="236">
        <f t="shared" si="8"/>
        <v>2343.3333333333326</v>
      </c>
      <c r="L31" s="137">
        <f t="shared" si="11"/>
        <v>422.98435619735244</v>
      </c>
      <c r="M31" s="158">
        <f t="shared" si="12"/>
        <v>2.6263243055717318</v>
      </c>
    </row>
    <row r="32" spans="1:18" x14ac:dyDescent="0.25">
      <c r="A32" s="268"/>
      <c r="B32" s="209">
        <v>10</v>
      </c>
      <c r="C32" s="103" t="s">
        <v>24</v>
      </c>
      <c r="D32" s="205" t="str">
        <f t="shared" si="13"/>
        <v>SHW-S50-P10-Day20:PFNA</v>
      </c>
      <c r="E32" s="137">
        <f t="shared" si="9"/>
        <v>4836.666666666667</v>
      </c>
      <c r="F32" s="149">
        <f t="shared" si="10"/>
        <v>640.65071086617536</v>
      </c>
      <c r="G32" s="217">
        <f t="shared" si="6"/>
        <v>0.13245707323215203</v>
      </c>
      <c r="H32" s="160">
        <f>'PFAS at t0'!E31/1000</f>
        <v>6.81</v>
      </c>
      <c r="I32" s="93">
        <f t="shared" si="4"/>
        <v>4.8366666666666669</v>
      </c>
      <c r="J32" s="93">
        <f t="shared" si="7"/>
        <v>1.9733333333333327</v>
      </c>
      <c r="K32" s="236">
        <f t="shared" si="8"/>
        <v>1973.3333333333326</v>
      </c>
      <c r="L32" s="137">
        <f t="shared" si="11"/>
        <v>407.99448656099224</v>
      </c>
      <c r="M32" s="158">
        <f t="shared" si="12"/>
        <v>2.6106542942851836</v>
      </c>
    </row>
    <row r="33" spans="1:13" x14ac:dyDescent="0.25">
      <c r="A33" s="268"/>
      <c r="B33" s="209">
        <v>10</v>
      </c>
      <c r="C33" s="103" t="s">
        <v>25</v>
      </c>
      <c r="D33" s="205" t="str">
        <f t="shared" si="13"/>
        <v>SHW-S50-P10-Day20:PFBS</v>
      </c>
      <c r="E33" s="137">
        <f t="shared" si="9"/>
        <v>16166.666666666666</v>
      </c>
      <c r="F33" s="149">
        <f t="shared" si="10"/>
        <v>2040.4247923737139</v>
      </c>
      <c r="G33" s="217">
        <f t="shared" si="6"/>
        <v>0.12621184282724004</v>
      </c>
      <c r="H33" s="160">
        <f>'PFAS at t0'!E32/1000</f>
        <v>20.633333333333333</v>
      </c>
      <c r="I33" s="93">
        <f t="shared" si="4"/>
        <v>16.166666666666664</v>
      </c>
      <c r="J33" s="93">
        <f t="shared" si="7"/>
        <v>4.4666666666666686</v>
      </c>
      <c r="K33" s="236">
        <f t="shared" si="8"/>
        <v>4466.6666666666688</v>
      </c>
      <c r="L33" s="137">
        <f t="shared" si="11"/>
        <v>276.28865979381459</v>
      </c>
      <c r="M33" s="158">
        <f t="shared" si="12"/>
        <v>2.4413630597625442</v>
      </c>
    </row>
    <row r="34" spans="1:13" x14ac:dyDescent="0.25">
      <c r="A34" s="268"/>
      <c r="B34" s="209">
        <v>10</v>
      </c>
      <c r="C34" s="103" t="s">
        <v>26</v>
      </c>
      <c r="D34" s="205" t="str">
        <f t="shared" si="13"/>
        <v>SHW-S50-P10-Day20:PFOS</v>
      </c>
      <c r="E34" s="137">
        <f t="shared" si="9"/>
        <v>4363.333333333333</v>
      </c>
      <c r="F34" s="149">
        <f t="shared" si="10"/>
        <v>620.42995844279801</v>
      </c>
      <c r="G34" s="217">
        <f t="shared" si="6"/>
        <v>0.14219173990285669</v>
      </c>
      <c r="H34" s="160">
        <f>'PFAS at t0'!E33/1000</f>
        <v>7.6933333333333334</v>
      </c>
      <c r="I34" s="93">
        <f t="shared" si="4"/>
        <v>4.3633333333333333</v>
      </c>
      <c r="J34" s="93">
        <f t="shared" si="7"/>
        <v>3.33</v>
      </c>
      <c r="K34" s="236">
        <f t="shared" si="8"/>
        <v>3330</v>
      </c>
      <c r="L34" s="137">
        <f t="shared" si="11"/>
        <v>763.17799847211609</v>
      </c>
      <c r="M34" s="158">
        <f t="shared" si="12"/>
        <v>2.8826258416752264</v>
      </c>
    </row>
    <row r="35" spans="1:13" ht="15.75" thickBot="1" x14ac:dyDescent="0.3">
      <c r="A35" s="268"/>
      <c r="B35" s="210">
        <v>10</v>
      </c>
      <c r="C35" s="104" t="s">
        <v>27</v>
      </c>
      <c r="D35" s="207" t="str">
        <f t="shared" si="13"/>
        <v>SHW-S50-P10-Day20:8:2FTS</v>
      </c>
      <c r="E35" s="139">
        <f t="shared" si="9"/>
        <v>3860</v>
      </c>
      <c r="F35" s="150">
        <f t="shared" si="10"/>
        <v>659.39366087338146</v>
      </c>
      <c r="G35" s="218">
        <f t="shared" si="6"/>
        <v>0.17082737328325945</v>
      </c>
      <c r="H35" s="161">
        <f>'PFAS at t0'!E34/1000</f>
        <v>7.0633333333333335</v>
      </c>
      <c r="I35" s="8">
        <f t="shared" si="4"/>
        <v>3.86</v>
      </c>
      <c r="J35" s="8">
        <f t="shared" si="7"/>
        <v>3.2033333333333336</v>
      </c>
      <c r="K35" s="237">
        <f t="shared" si="8"/>
        <v>3203.3333333333335</v>
      </c>
      <c r="L35" s="139">
        <f t="shared" si="11"/>
        <v>829.87910189982733</v>
      </c>
      <c r="M35" s="159">
        <f t="shared" si="12"/>
        <v>2.919014828277128</v>
      </c>
    </row>
    <row r="36" spans="1:13" x14ac:dyDescent="0.25">
      <c r="A36" s="268"/>
      <c r="B36" s="208">
        <v>50</v>
      </c>
      <c r="C36" s="163" t="s">
        <v>22</v>
      </c>
      <c r="D36" s="206" t="str">
        <f>J$3&amp;":"&amp;$C36</f>
        <v>SHW-S50-P50-Day20:PFHxA</v>
      </c>
      <c r="E36" s="135">
        <f t="shared" ref="E36:E41" si="14">AVERAGE(J15:L15)</f>
        <v>55866.666666666664</v>
      </c>
      <c r="F36" s="148">
        <f t="shared" ref="F36:F41" si="15">STDEV(J15:L15)</f>
        <v>12017.625944142754</v>
      </c>
      <c r="G36" s="216">
        <f t="shared" si="6"/>
        <v>0.21511263623167221</v>
      </c>
      <c r="H36" s="171">
        <f>'PFAS at t0'!E35/1000</f>
        <v>47.5</v>
      </c>
      <c r="I36" s="234">
        <f t="shared" si="4"/>
        <v>55.866666666666667</v>
      </c>
      <c r="J36" s="234">
        <f t="shared" si="7"/>
        <v>-8.3666666666666671</v>
      </c>
      <c r="K36" s="235">
        <f t="shared" si="8"/>
        <v>-8366.6666666666679</v>
      </c>
      <c r="L36" s="135">
        <f t="shared" si="11"/>
        <v>-149.76133651551314</v>
      </c>
      <c r="M36" s="199" t="e">
        <f t="shared" si="12"/>
        <v>#NUM!</v>
      </c>
    </row>
    <row r="37" spans="1:13" x14ac:dyDescent="0.25">
      <c r="A37" s="268"/>
      <c r="B37" s="209">
        <v>50</v>
      </c>
      <c r="C37" s="103" t="s">
        <v>23</v>
      </c>
      <c r="D37" s="205" t="str">
        <f t="shared" ref="D37:D41" si="16">J$3&amp;":"&amp;$C37</f>
        <v>SHW-S50-P50-Day20:PFOA</v>
      </c>
      <c r="E37" s="137">
        <f t="shared" si="14"/>
        <v>26633.333333333332</v>
      </c>
      <c r="F37" s="149">
        <f t="shared" si="15"/>
        <v>4384.4421918111057</v>
      </c>
      <c r="G37" s="217">
        <f t="shared" si="6"/>
        <v>0.16462236014309534</v>
      </c>
      <c r="H37" s="160">
        <f>'PFAS at t0'!E36/1000</f>
        <v>26.566666666666666</v>
      </c>
      <c r="I37" s="93">
        <f t="shared" si="4"/>
        <v>26.633333333333333</v>
      </c>
      <c r="J37" s="93">
        <f t="shared" si="7"/>
        <v>-6.666666666666643E-2</v>
      </c>
      <c r="K37" s="236">
        <f t="shared" si="8"/>
        <v>-66.66666666666643</v>
      </c>
      <c r="L37" s="137">
        <f t="shared" si="11"/>
        <v>-2.5031289111389148</v>
      </c>
      <c r="M37" s="158" t="e">
        <f t="shared" si="12"/>
        <v>#NUM!</v>
      </c>
    </row>
    <row r="38" spans="1:13" x14ac:dyDescent="0.25">
      <c r="A38" s="268"/>
      <c r="B38" s="209">
        <v>50</v>
      </c>
      <c r="C38" s="103" t="s">
        <v>24</v>
      </c>
      <c r="D38" s="205" t="str">
        <f t="shared" si="16"/>
        <v>SHW-S50-P50-Day20:PFNA</v>
      </c>
      <c r="E38" s="137">
        <f t="shared" si="14"/>
        <v>22233.333333333332</v>
      </c>
      <c r="F38" s="149">
        <f t="shared" si="15"/>
        <v>4578.5732857882022</v>
      </c>
      <c r="G38" s="217">
        <f t="shared" si="6"/>
        <v>0.20593283144474672</v>
      </c>
      <c r="H38" s="160">
        <f>'PFAS at t0'!E37/1000</f>
        <v>23</v>
      </c>
      <c r="I38" s="93">
        <f t="shared" si="4"/>
        <v>22.233333333333331</v>
      </c>
      <c r="J38" s="93">
        <f t="shared" si="7"/>
        <v>0.76666666666666927</v>
      </c>
      <c r="K38" s="236">
        <f t="shared" si="8"/>
        <v>766.66666666666936</v>
      </c>
      <c r="L38" s="137">
        <f t="shared" si="11"/>
        <v>34.482758620689779</v>
      </c>
      <c r="M38" s="158">
        <f t="shared" si="12"/>
        <v>1.5376020021010455</v>
      </c>
    </row>
    <row r="39" spans="1:13" x14ac:dyDescent="0.25">
      <c r="A39" s="268"/>
      <c r="B39" s="209">
        <v>50</v>
      </c>
      <c r="C39" s="103" t="s">
        <v>25</v>
      </c>
      <c r="D39" s="205" t="str">
        <f t="shared" si="16"/>
        <v>SHW-S50-P50-Day20:PFBS</v>
      </c>
      <c r="E39" s="137">
        <f t="shared" si="14"/>
        <v>64800</v>
      </c>
      <c r="F39" s="149">
        <f t="shared" si="15"/>
        <v>8478.7970844925876</v>
      </c>
      <c r="G39" s="217">
        <f t="shared" si="6"/>
        <v>0.13084563401994734</v>
      </c>
      <c r="H39" s="160">
        <f>'PFAS at t0'!E38/1000</f>
        <v>59.166666666666664</v>
      </c>
      <c r="I39" s="93">
        <f t="shared" si="4"/>
        <v>64.8</v>
      </c>
      <c r="J39" s="93">
        <f t="shared" si="7"/>
        <v>-5.6333333333333329</v>
      </c>
      <c r="K39" s="236">
        <f t="shared" si="8"/>
        <v>-5633.333333333333</v>
      </c>
      <c r="L39" s="137">
        <f t="shared" si="11"/>
        <v>-86.934156378600818</v>
      </c>
      <c r="M39" s="158" t="e">
        <f t="shared" si="12"/>
        <v>#NUM!</v>
      </c>
    </row>
    <row r="40" spans="1:13" x14ac:dyDescent="0.25">
      <c r="A40" s="268"/>
      <c r="B40" s="209">
        <v>50</v>
      </c>
      <c r="C40" s="103" t="s">
        <v>26</v>
      </c>
      <c r="D40" s="205" t="str">
        <f t="shared" si="16"/>
        <v>SHW-S50-P50-Day20:PFOS</v>
      </c>
      <c r="E40" s="137">
        <f t="shared" si="14"/>
        <v>19800</v>
      </c>
      <c r="F40" s="149">
        <f t="shared" si="15"/>
        <v>3251.1536414017719</v>
      </c>
      <c r="G40" s="217">
        <f t="shared" si="6"/>
        <v>0.16419967885867534</v>
      </c>
      <c r="H40" s="160">
        <f>'PFAS at t0'!E39/1000</f>
        <v>26.7</v>
      </c>
      <c r="I40" s="93">
        <f t="shared" si="4"/>
        <v>19.8</v>
      </c>
      <c r="J40" s="93">
        <f t="shared" si="7"/>
        <v>6.8999999999999986</v>
      </c>
      <c r="K40" s="236">
        <f t="shared" si="8"/>
        <v>6899.9999999999991</v>
      </c>
      <c r="L40" s="137">
        <f t="shared" si="11"/>
        <v>348.48484848484844</v>
      </c>
      <c r="M40" s="158">
        <f t="shared" si="12"/>
        <v>2.5421839004757243</v>
      </c>
    </row>
    <row r="41" spans="1:13" ht="15.75" thickBot="1" x14ac:dyDescent="0.3">
      <c r="A41" s="268"/>
      <c r="B41" s="210">
        <v>50</v>
      </c>
      <c r="C41" s="104" t="s">
        <v>27</v>
      </c>
      <c r="D41" s="207" t="str">
        <f t="shared" si="16"/>
        <v>SHW-S50-P50-Day20:8:2FTS</v>
      </c>
      <c r="E41" s="139">
        <f t="shared" si="14"/>
        <v>19333.333333333332</v>
      </c>
      <c r="F41" s="150">
        <f t="shared" si="15"/>
        <v>2466.4414311581318</v>
      </c>
      <c r="G41" s="218">
        <f t="shared" si="6"/>
        <v>0.12757455678404131</v>
      </c>
      <c r="H41" s="161">
        <f>'PFAS at t0'!E40/1000</f>
        <v>23.2</v>
      </c>
      <c r="I41" s="8">
        <f t="shared" si="4"/>
        <v>19.333333333333332</v>
      </c>
      <c r="J41" s="8">
        <f t="shared" si="7"/>
        <v>3.8666666666666671</v>
      </c>
      <c r="K41" s="237">
        <f t="shared" si="8"/>
        <v>3866.666666666667</v>
      </c>
      <c r="L41" s="139">
        <f t="shared" si="11"/>
        <v>200.00000000000003</v>
      </c>
      <c r="M41" s="159">
        <f t="shared" si="12"/>
        <v>2.3010299956639813</v>
      </c>
    </row>
    <row r="42" spans="1:13" x14ac:dyDescent="0.25">
      <c r="A42" s="268"/>
      <c r="B42" s="208">
        <v>100</v>
      </c>
      <c r="C42" s="163" t="s">
        <v>22</v>
      </c>
      <c r="D42" s="206" t="str">
        <f>M$3&amp;":"&amp;$C42</f>
        <v>SHW-S50-P100-Day20:PFHxA</v>
      </c>
      <c r="E42" s="135">
        <f t="shared" ref="E42:E47" si="17">AVERAGE(M15:O15)</f>
        <v>126666.66666666667</v>
      </c>
      <c r="F42" s="148">
        <f t="shared" ref="F42:F47" si="18">STDEV(M15:O15)</f>
        <v>18147.543451754897</v>
      </c>
      <c r="G42" s="216">
        <f t="shared" si="6"/>
        <v>0.1432700798822755</v>
      </c>
      <c r="H42" s="171">
        <f>'PFAS at t0'!E41/1000</f>
        <v>120</v>
      </c>
      <c r="I42" s="234">
        <f t="shared" si="4"/>
        <v>126.66666666666667</v>
      </c>
      <c r="J42" s="234">
        <f t="shared" si="7"/>
        <v>-6.6666666666666714</v>
      </c>
      <c r="K42" s="235">
        <f t="shared" si="8"/>
        <v>-6666.6666666666715</v>
      </c>
      <c r="L42" s="135">
        <f t="shared" si="11"/>
        <v>-52.63157894736846</v>
      </c>
      <c r="M42" s="199" t="e">
        <f t="shared" si="12"/>
        <v>#NUM!</v>
      </c>
    </row>
    <row r="43" spans="1:13" x14ac:dyDescent="0.25">
      <c r="A43" s="268"/>
      <c r="B43" s="209">
        <v>100</v>
      </c>
      <c r="C43" s="103" t="s">
        <v>23</v>
      </c>
      <c r="D43" s="205" t="str">
        <f t="shared" ref="D43:D47" si="19">M$3&amp;":"&amp;$C43</f>
        <v>SHW-S50-P100-Day20:PFOA</v>
      </c>
      <c r="E43" s="137">
        <f t="shared" si="17"/>
        <v>62766.666666666664</v>
      </c>
      <c r="F43" s="149">
        <f t="shared" si="18"/>
        <v>1250.3332889007368</v>
      </c>
      <c r="G43" s="217">
        <f t="shared" si="6"/>
        <v>1.9920339175263996E-2</v>
      </c>
      <c r="H43" s="160">
        <f>'PFAS at t0'!E42/1000</f>
        <v>62.8</v>
      </c>
      <c r="I43" s="93">
        <f t="shared" si="4"/>
        <v>62.766666666666666</v>
      </c>
      <c r="J43" s="93">
        <f t="shared" si="7"/>
        <v>3.3333333333331439E-2</v>
      </c>
      <c r="K43" s="236">
        <f t="shared" si="8"/>
        <v>33.333333333331439</v>
      </c>
      <c r="L43" s="137">
        <f t="shared" si="11"/>
        <v>0.53106744556555663</v>
      </c>
      <c r="M43" s="158">
        <f t="shared" si="12"/>
        <v>-0.27485032001668952</v>
      </c>
    </row>
    <row r="44" spans="1:13" x14ac:dyDescent="0.25">
      <c r="A44" s="268"/>
      <c r="B44" s="209">
        <v>100</v>
      </c>
      <c r="C44" s="103" t="s">
        <v>24</v>
      </c>
      <c r="D44" s="205" t="str">
        <f t="shared" si="19"/>
        <v>SHW-S50-P100-Day20:PFNA</v>
      </c>
      <c r="E44" s="137">
        <f t="shared" si="17"/>
        <v>53033.333333333336</v>
      </c>
      <c r="F44" s="149">
        <f t="shared" si="18"/>
        <v>13213.75545911659</v>
      </c>
      <c r="G44" s="217">
        <f t="shared" si="6"/>
        <v>0.24915943668981627</v>
      </c>
      <c r="H44" s="160">
        <f>'PFAS at t0'!E43/1000</f>
        <v>55.2</v>
      </c>
      <c r="I44" s="93">
        <f t="shared" si="4"/>
        <v>53.033333333333339</v>
      </c>
      <c r="J44" s="93">
        <f t="shared" si="7"/>
        <v>2.1666666666666643</v>
      </c>
      <c r="K44" s="236">
        <f t="shared" si="8"/>
        <v>2166.6666666666642</v>
      </c>
      <c r="L44" s="137">
        <f t="shared" si="11"/>
        <v>40.854808296668715</v>
      </c>
      <c r="M44" s="158">
        <f t="shared" si="12"/>
        <v>1.6112431769962736</v>
      </c>
    </row>
    <row r="45" spans="1:13" x14ac:dyDescent="0.25">
      <c r="A45" s="268"/>
      <c r="B45" s="209">
        <v>100</v>
      </c>
      <c r="C45" s="103" t="s">
        <v>25</v>
      </c>
      <c r="D45" s="205" t="str">
        <f t="shared" si="19"/>
        <v>SHW-S50-P100-Day20:PFBS</v>
      </c>
      <c r="E45" s="137">
        <f t="shared" si="17"/>
        <v>154000</v>
      </c>
      <c r="F45" s="149">
        <f t="shared" si="18"/>
        <v>30315.012782448237</v>
      </c>
      <c r="G45" s="217">
        <f t="shared" si="6"/>
        <v>0.19685073235355999</v>
      </c>
      <c r="H45" s="160">
        <f>'PFAS at t0'!E44/1000</f>
        <v>143</v>
      </c>
      <c r="I45" s="93">
        <f t="shared" si="4"/>
        <v>154</v>
      </c>
      <c r="J45" s="93">
        <f t="shared" si="7"/>
        <v>-11</v>
      </c>
      <c r="K45" s="236">
        <f t="shared" si="8"/>
        <v>-11000</v>
      </c>
      <c r="L45" s="137">
        <f t="shared" si="11"/>
        <v>-71.428571428571431</v>
      </c>
      <c r="M45" s="158" t="e">
        <f t="shared" si="12"/>
        <v>#NUM!</v>
      </c>
    </row>
    <row r="46" spans="1:13" x14ac:dyDescent="0.25">
      <c r="A46" s="268"/>
      <c r="B46" s="209">
        <v>100</v>
      </c>
      <c r="C46" s="103" t="s">
        <v>26</v>
      </c>
      <c r="D46" s="205" t="str">
        <f t="shared" si="19"/>
        <v>SHW-S50-P100-Day20:PFOS</v>
      </c>
      <c r="E46" s="137">
        <f t="shared" si="17"/>
        <v>43533.333333333336</v>
      </c>
      <c r="F46" s="149">
        <f t="shared" si="18"/>
        <v>3013.8568866708542</v>
      </c>
      <c r="G46" s="217">
        <f t="shared" si="6"/>
        <v>6.9231015773449936E-2</v>
      </c>
      <c r="H46" s="160">
        <f>'PFAS at t0'!E45/1000</f>
        <v>58.8</v>
      </c>
      <c r="I46" s="93">
        <f t="shared" si="4"/>
        <v>43.533333333333339</v>
      </c>
      <c r="J46" s="93">
        <f t="shared" si="7"/>
        <v>15.266666666666659</v>
      </c>
      <c r="K46" s="236">
        <f t="shared" si="8"/>
        <v>15266.666666666659</v>
      </c>
      <c r="L46" s="137">
        <f t="shared" si="11"/>
        <v>350.68912710566593</v>
      </c>
      <c r="M46" s="158">
        <f t="shared" si="12"/>
        <v>2.5449223010648137</v>
      </c>
    </row>
    <row r="47" spans="1:13" ht="15.75" thickBot="1" x14ac:dyDescent="0.3">
      <c r="A47" s="268"/>
      <c r="B47" s="210">
        <v>100</v>
      </c>
      <c r="C47" s="104" t="s">
        <v>27</v>
      </c>
      <c r="D47" s="207" t="str">
        <f t="shared" si="19"/>
        <v>SHW-S50-P100-Day20:8:2FTS</v>
      </c>
      <c r="E47" s="139">
        <f t="shared" si="17"/>
        <v>36233.333333333336</v>
      </c>
      <c r="F47" s="150">
        <f t="shared" si="18"/>
        <v>3401.960219246153</v>
      </c>
      <c r="G47" s="218">
        <f t="shared" si="6"/>
        <v>9.3890346437336319E-2</v>
      </c>
      <c r="H47" s="161">
        <f>'PFAS at t0'!E46/1000</f>
        <v>47.333333333333336</v>
      </c>
      <c r="I47" s="8">
        <f t="shared" si="4"/>
        <v>36.233333333333334</v>
      </c>
      <c r="J47" s="8">
        <f t="shared" si="7"/>
        <v>11.100000000000001</v>
      </c>
      <c r="K47" s="237">
        <f t="shared" si="8"/>
        <v>11100</v>
      </c>
      <c r="L47" s="139">
        <f t="shared" si="11"/>
        <v>306.34774609015636</v>
      </c>
      <c r="M47" s="159">
        <f t="shared" si="12"/>
        <v>2.4862146894200254</v>
      </c>
    </row>
    <row r="48" spans="1:13" x14ac:dyDescent="0.25">
      <c r="A48" s="268"/>
      <c r="B48" s="208">
        <v>500</v>
      </c>
      <c r="C48" s="163" t="s">
        <v>22</v>
      </c>
      <c r="D48" s="206" t="str">
        <f>P$3&amp;":"&amp;$C48</f>
        <v>SHW-S50-P500-Day20:PFHxA</v>
      </c>
      <c r="E48" s="135">
        <f t="shared" ref="E48:E53" si="20">AVERAGE(P15:R15)</f>
        <v>723000</v>
      </c>
      <c r="F48" s="148">
        <f t="shared" ref="F48:F53" si="21">STDEV(P15:R15)</f>
        <v>122882.05727444508</v>
      </c>
      <c r="G48" s="216">
        <f t="shared" si="6"/>
        <v>0.16996135169356166</v>
      </c>
      <c r="H48" s="160">
        <f>'PFAS at t0'!E47/1000</f>
        <v>711</v>
      </c>
      <c r="I48" s="93">
        <f t="shared" si="4"/>
        <v>723</v>
      </c>
      <c r="J48" s="93">
        <f t="shared" si="7"/>
        <v>-12</v>
      </c>
      <c r="K48" s="236">
        <f t="shared" si="8"/>
        <v>-12000.000000000002</v>
      </c>
      <c r="L48" s="137">
        <f t="shared" si="11"/>
        <v>-16.597510373443985</v>
      </c>
      <c r="M48" s="158" t="e">
        <f t="shared" si="12"/>
        <v>#NUM!</v>
      </c>
    </row>
    <row r="49" spans="1:55" x14ac:dyDescent="0.25">
      <c r="A49" s="268"/>
      <c r="B49" s="209">
        <v>500</v>
      </c>
      <c r="C49" s="103" t="s">
        <v>23</v>
      </c>
      <c r="D49" s="205" t="str">
        <f t="shared" ref="D49:D53" si="22">P$3&amp;":"&amp;$C49</f>
        <v>SHW-S50-P500-Day20:PFOA</v>
      </c>
      <c r="E49" s="137">
        <f t="shared" si="20"/>
        <v>376666.66666666669</v>
      </c>
      <c r="F49" s="149">
        <f t="shared" si="21"/>
        <v>3055.0504633038931</v>
      </c>
      <c r="G49" s="217">
        <f t="shared" si="6"/>
        <v>8.1107534423997159E-3</v>
      </c>
      <c r="H49" s="160">
        <f>'PFAS at t0'!E48/1000</f>
        <v>467</v>
      </c>
      <c r="I49" s="93">
        <f t="shared" si="4"/>
        <v>376.66666666666669</v>
      </c>
      <c r="J49" s="93">
        <f t="shared" si="7"/>
        <v>90.333333333333314</v>
      </c>
      <c r="K49" s="236">
        <f t="shared" si="8"/>
        <v>90333.333333333314</v>
      </c>
      <c r="L49" s="137">
        <f t="shared" si="11"/>
        <v>239.82300884955745</v>
      </c>
      <c r="M49" s="158">
        <f t="shared" si="12"/>
        <v>2.3798908473909859</v>
      </c>
    </row>
    <row r="50" spans="1:55" x14ac:dyDescent="0.25">
      <c r="A50" s="268"/>
      <c r="B50" s="209">
        <v>500</v>
      </c>
      <c r="C50" s="103" t="s">
        <v>24</v>
      </c>
      <c r="D50" s="205" t="str">
        <f t="shared" si="22"/>
        <v>SHW-S50-P500-Day20:PFNA</v>
      </c>
      <c r="E50" s="137">
        <f t="shared" si="20"/>
        <v>348333.33333333331</v>
      </c>
      <c r="F50" s="149">
        <f t="shared" si="21"/>
        <v>64010.415819094189</v>
      </c>
      <c r="G50" s="217">
        <f t="shared" si="6"/>
        <v>0.18376195928926561</v>
      </c>
      <c r="H50" s="160">
        <f>'PFAS at t0'!E49/1000</f>
        <v>373</v>
      </c>
      <c r="I50" s="93">
        <f t="shared" si="4"/>
        <v>348.33333333333331</v>
      </c>
      <c r="J50" s="93">
        <f t="shared" si="7"/>
        <v>24.666666666666686</v>
      </c>
      <c r="K50" s="236">
        <f t="shared" si="8"/>
        <v>24666.666666666686</v>
      </c>
      <c r="L50" s="137">
        <f t="shared" si="11"/>
        <v>70.813397129186669</v>
      </c>
      <c r="M50" s="158">
        <f t="shared" si="12"/>
        <v>1.8501154292839037</v>
      </c>
    </row>
    <row r="51" spans="1:55" x14ac:dyDescent="0.25">
      <c r="A51" s="268"/>
      <c r="B51" s="209">
        <v>500</v>
      </c>
      <c r="C51" s="103" t="s">
        <v>25</v>
      </c>
      <c r="D51" s="205" t="str">
        <f t="shared" si="22"/>
        <v>SHW-S50-P500-Day20:PFBS</v>
      </c>
      <c r="E51" s="137">
        <f t="shared" si="20"/>
        <v>886000</v>
      </c>
      <c r="F51" s="149">
        <f t="shared" si="21"/>
        <v>63221.831672294975</v>
      </c>
      <c r="G51" s="217">
        <f t="shared" si="6"/>
        <v>7.1356469156089133E-2</v>
      </c>
      <c r="H51" s="160">
        <f>'PFAS at t0'!E50/1000</f>
        <v>867</v>
      </c>
      <c r="I51" s="93">
        <f t="shared" si="4"/>
        <v>886</v>
      </c>
      <c r="J51" s="93">
        <f t="shared" si="7"/>
        <v>-19</v>
      </c>
      <c r="K51" s="236">
        <f t="shared" si="8"/>
        <v>-19000</v>
      </c>
      <c r="L51" s="137">
        <f t="shared" si="11"/>
        <v>-21.444695259593679</v>
      </c>
      <c r="M51" s="158" t="e">
        <f t="shared" si="12"/>
        <v>#NUM!</v>
      </c>
    </row>
    <row r="52" spans="1:55" x14ac:dyDescent="0.25">
      <c r="A52" s="268"/>
      <c r="B52" s="209">
        <v>500</v>
      </c>
      <c r="C52" s="103" t="s">
        <v>26</v>
      </c>
      <c r="D52" s="205" t="str">
        <f t="shared" si="22"/>
        <v>SHW-S50-P500-Day20:PFOS</v>
      </c>
      <c r="E52" s="137">
        <f t="shared" si="20"/>
        <v>238666.66666666666</v>
      </c>
      <c r="F52" s="149">
        <f t="shared" si="21"/>
        <v>30270.998221620117</v>
      </c>
      <c r="G52" s="217">
        <f t="shared" si="6"/>
        <v>0.12683379143136922</v>
      </c>
      <c r="H52" s="160">
        <f>'PFAS at t0'!E51/1000</f>
        <v>400</v>
      </c>
      <c r="I52" s="93">
        <f t="shared" si="4"/>
        <v>238.66666666666666</v>
      </c>
      <c r="J52" s="93">
        <f t="shared" si="7"/>
        <v>161.33333333333334</v>
      </c>
      <c r="K52" s="236">
        <f t="shared" si="8"/>
        <v>161333.33333333334</v>
      </c>
      <c r="L52" s="137">
        <f t="shared" si="11"/>
        <v>675.97765363128497</v>
      </c>
      <c r="M52" s="158">
        <f t="shared" si="12"/>
        <v>2.829932339336557</v>
      </c>
    </row>
    <row r="53" spans="1:55" ht="15.75" thickBot="1" x14ac:dyDescent="0.3">
      <c r="A53" s="268"/>
      <c r="B53" s="210">
        <v>500</v>
      </c>
      <c r="C53" s="104" t="s">
        <v>27</v>
      </c>
      <c r="D53" s="207" t="str">
        <f t="shared" si="22"/>
        <v>SHW-S50-P500-Day20:8:2FTS</v>
      </c>
      <c r="E53" s="139">
        <f t="shared" si="20"/>
        <v>201000</v>
      </c>
      <c r="F53" s="150">
        <f t="shared" si="21"/>
        <v>61878.914017619929</v>
      </c>
      <c r="G53" s="218">
        <f t="shared" si="6"/>
        <v>0.30785529361999964</v>
      </c>
      <c r="H53" s="161">
        <f>'PFAS at t0'!E52/1000</f>
        <v>454.33333333333331</v>
      </c>
      <c r="I53" s="8">
        <f t="shared" si="4"/>
        <v>201</v>
      </c>
      <c r="J53" s="8">
        <f t="shared" si="7"/>
        <v>253.33333333333331</v>
      </c>
      <c r="K53" s="237">
        <f t="shared" si="8"/>
        <v>253333.33333333331</v>
      </c>
      <c r="L53" s="139">
        <f t="shared" si="11"/>
        <v>1260.3648424543946</v>
      </c>
      <c r="M53" s="159">
        <f t="shared" si="12"/>
        <v>3.1004962801406402</v>
      </c>
    </row>
    <row r="56" spans="1:55" ht="21" x14ac:dyDescent="0.35">
      <c r="C56" s="219" t="s">
        <v>1279</v>
      </c>
      <c r="AR56" s="249" t="s">
        <v>1315</v>
      </c>
      <c r="AS56" s="249"/>
    </row>
    <row r="57" spans="1:55" ht="21" x14ac:dyDescent="0.35">
      <c r="C57" s="219"/>
    </row>
    <row r="58" spans="1:55" x14ac:dyDescent="0.25">
      <c r="C58" s="262" t="s">
        <v>1303</v>
      </c>
      <c r="D58" s="262"/>
      <c r="E58" s="262"/>
      <c r="F58" s="262"/>
      <c r="G58" s="262"/>
      <c r="I58" s="263" t="s">
        <v>1304</v>
      </c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C58" s="264" t="s">
        <v>1305</v>
      </c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S58" s="260" t="s">
        <v>1301</v>
      </c>
      <c r="AT58" s="260"/>
      <c r="AU58" s="260"/>
      <c r="AV58" s="260"/>
      <c r="AW58" s="260"/>
      <c r="AX58" s="260"/>
      <c r="AY58" s="260"/>
    </row>
    <row r="59" spans="1:55" ht="76.5" x14ac:dyDescent="0.35">
      <c r="C59" s="225" t="s">
        <v>1280</v>
      </c>
      <c r="D59" s="225" t="s">
        <v>243</v>
      </c>
      <c r="E59" s="225" t="s">
        <v>1281</v>
      </c>
      <c r="F59" s="225" t="s">
        <v>1286</v>
      </c>
      <c r="G59" s="225" t="s">
        <v>1287</v>
      </c>
      <c r="H59" s="10"/>
      <c r="I59" s="225" t="s">
        <v>1282</v>
      </c>
      <c r="J59" s="225" t="s">
        <v>1283</v>
      </c>
      <c r="K59" s="225" t="s">
        <v>1284</v>
      </c>
      <c r="L59" s="225" t="s">
        <v>1285</v>
      </c>
      <c r="M59" s="101"/>
      <c r="N59" s="101"/>
      <c r="O59" s="101"/>
      <c r="P59" s="101"/>
      <c r="Q59" s="101"/>
      <c r="R59" s="101"/>
      <c r="T59" s="222" t="s">
        <v>1288</v>
      </c>
      <c r="U59" s="222" t="s">
        <v>1289</v>
      </c>
      <c r="V59" s="222" t="s">
        <v>1290</v>
      </c>
      <c r="W59" s="222" t="s">
        <v>1291</v>
      </c>
      <c r="X59" s="230" t="s">
        <v>1292</v>
      </c>
      <c r="Y59" s="230" t="s">
        <v>1293</v>
      </c>
      <c r="Z59" s="223" t="s">
        <v>1294</v>
      </c>
      <c r="AA59" s="224" t="s">
        <v>1295</v>
      </c>
      <c r="AC59" s="225" t="s">
        <v>1296</v>
      </c>
      <c r="AD59" s="225" t="s">
        <v>1297</v>
      </c>
      <c r="AE59" s="226" t="s">
        <v>1298</v>
      </c>
      <c r="AF59" s="223" t="s">
        <v>1299</v>
      </c>
      <c r="AG59" s="223" t="s">
        <v>1300</v>
      </c>
      <c r="AH59" s="223" t="s">
        <v>1301</v>
      </c>
      <c r="AR59" s="250" t="s">
        <v>1286</v>
      </c>
      <c r="AS59" s="33" t="s">
        <v>22</v>
      </c>
      <c r="AT59" s="250" t="s">
        <v>1286</v>
      </c>
      <c r="AU59" s="33" t="s">
        <v>23</v>
      </c>
      <c r="AV59" s="250" t="s">
        <v>1286</v>
      </c>
      <c r="AW59" s="33" t="s">
        <v>24</v>
      </c>
      <c r="AX59" s="250" t="s">
        <v>1286</v>
      </c>
      <c r="AY59" s="33" t="s">
        <v>25</v>
      </c>
      <c r="AZ59" s="250" t="s">
        <v>1286</v>
      </c>
      <c r="BA59" s="33" t="s">
        <v>26</v>
      </c>
      <c r="BB59" s="250" t="s">
        <v>1286</v>
      </c>
      <c r="BC59" s="33" t="s">
        <v>1316</v>
      </c>
    </row>
    <row r="60" spans="1:55" x14ac:dyDescent="0.25">
      <c r="C60" s="33" t="str">
        <f>D4</f>
        <v>SHW</v>
      </c>
      <c r="D60" s="33" t="str">
        <f>C24</f>
        <v>PFHxA</v>
      </c>
      <c r="E60" s="33">
        <f>B30</f>
        <v>10</v>
      </c>
      <c r="F60" s="220">
        <f>I30</f>
        <v>11.3</v>
      </c>
      <c r="G60" s="220">
        <f>K30</f>
        <v>4100</v>
      </c>
      <c r="I60" s="220">
        <f>SLOPE(G60:G63,F60:F63)</f>
        <v>-14.116765799113907</v>
      </c>
      <c r="J60" s="221" t="e">
        <f>LOG(I60)</f>
        <v>#NUM!</v>
      </c>
      <c r="K60" s="33">
        <f>V60/L60*Y60</f>
        <v>-5.0364495956564132E-9</v>
      </c>
      <c r="L60" s="33">
        <f>1/W60*X60</f>
        <v>-58191248183.89151</v>
      </c>
      <c r="T60" s="204">
        <f>1/F60</f>
        <v>8.8495575221238937E-2</v>
      </c>
      <c r="U60" s="204">
        <f>1/G60</f>
        <v>2.4390243902439024E-4</v>
      </c>
      <c r="V60" s="204">
        <f>1/(SLOPE(U60:U63,T60:T63))</f>
        <v>228.72867121921237</v>
      </c>
      <c r="W60" s="204">
        <f>INTERCEPT(U60:U63,T60:T63)</f>
        <v>-1.5366878713513952E-4</v>
      </c>
      <c r="X60" s="229">
        <v>8942178.5302984994</v>
      </c>
      <c r="Y60" s="229">
        <v>1.2813316617645132</v>
      </c>
      <c r="Z60" s="227">
        <f>L60*(K60*F60/(1+K60*F60))</f>
        <v>3311.7735472467371</v>
      </c>
      <c r="AA60" s="227">
        <f>(G60-Z60)^2</f>
        <v>621300.94081999187</v>
      </c>
      <c r="AC60" s="33" t="e">
        <f>INTERCEPT(AG60:AG63,AF60:AF63)</f>
        <v>#NUM!</v>
      </c>
      <c r="AD60" s="33" t="e">
        <f>10^AC60</f>
        <v>#NUM!</v>
      </c>
      <c r="AE60" s="34" t="e">
        <f>SLOPE(AG60:AG63,AF60:AF63)</f>
        <v>#NUM!</v>
      </c>
      <c r="AF60" s="204">
        <f t="shared" ref="AF60:AG63" si="23">LOG(F60)</f>
        <v>1.0530784434834197</v>
      </c>
      <c r="AG60" s="204">
        <f t="shared" si="23"/>
        <v>3.6127838567197355</v>
      </c>
      <c r="AH60" s="204" t="e">
        <f>AD60*F60^AE60</f>
        <v>#NUM!</v>
      </c>
      <c r="AR60" s="251">
        <v>0</v>
      </c>
      <c r="AS60" s="241" t="e">
        <f>AD$60*AR60^AE$60</f>
        <v>#NUM!</v>
      </c>
      <c r="AT60" s="251"/>
      <c r="AU60" s="241"/>
      <c r="AV60" s="251">
        <v>0</v>
      </c>
      <c r="AW60" s="241">
        <f>AD$86*AV60^AE$86</f>
        <v>0</v>
      </c>
      <c r="AX60" s="251">
        <v>0</v>
      </c>
      <c r="AY60" s="241" t="e">
        <f>AD$99*AX60^AE$99</f>
        <v>#NUM!</v>
      </c>
      <c r="AZ60" s="251">
        <v>0</v>
      </c>
      <c r="BA60" s="241">
        <f>AD$112*AZ60^AE$112</f>
        <v>0</v>
      </c>
      <c r="BB60" s="251">
        <v>0</v>
      </c>
      <c r="BC60" s="241">
        <f>AD$125*BB60^AE$125</f>
        <v>0</v>
      </c>
    </row>
    <row r="61" spans="1:55" x14ac:dyDescent="0.25">
      <c r="C61" s="33" t="str">
        <f>C60</f>
        <v>SHW</v>
      </c>
      <c r="D61" s="33" t="str">
        <f>D60</f>
        <v>PFHxA</v>
      </c>
      <c r="E61" s="33">
        <f>B36</f>
        <v>50</v>
      </c>
      <c r="F61" s="220">
        <f>I36</f>
        <v>55.866666666666667</v>
      </c>
      <c r="G61" s="238">
        <f>K36</f>
        <v>-8366.6666666666679</v>
      </c>
      <c r="T61" s="204">
        <f t="shared" ref="T61:U63" si="24">1/F61</f>
        <v>1.7899761336515514E-2</v>
      </c>
      <c r="U61" s="204">
        <f t="shared" si="24"/>
        <v>-1.1952191235059759E-4</v>
      </c>
      <c r="V61" s="200"/>
      <c r="W61" s="200"/>
      <c r="X61" s="200"/>
      <c r="Y61" s="200"/>
      <c r="Z61" s="227">
        <f>L60*(K60*F61/(1+K60*F61))</f>
        <v>16373.255784796527</v>
      </c>
      <c r="AA61" s="227">
        <f>(G61-Z61)^2</f>
        <v>612063762.90441263</v>
      </c>
      <c r="AF61" s="204">
        <f t="shared" si="23"/>
        <v>1.7471527595745953</v>
      </c>
      <c r="AG61" s="204" t="e">
        <f t="shared" si="23"/>
        <v>#NUM!</v>
      </c>
      <c r="AH61" s="204" t="e">
        <f>AD60*F61^AE60</f>
        <v>#NUM!</v>
      </c>
      <c r="AR61" s="252">
        <f t="shared" ref="AR61:BB82" si="25">0.78*AR62</f>
        <v>2.3840434108662016</v>
      </c>
      <c r="AS61" s="241" t="e">
        <f>AD$60*AR61^AE$60</f>
        <v>#NUM!</v>
      </c>
      <c r="AT61" s="252"/>
      <c r="AU61" s="241"/>
      <c r="AV61" s="252">
        <f t="shared" si="25"/>
        <v>1.1486055160697004</v>
      </c>
      <c r="AW61" s="241">
        <f t="shared" ref="AW61:AW84" si="26">AD$86*AV61^AE$86</f>
        <v>317.43556230980414</v>
      </c>
      <c r="AX61" s="252">
        <f t="shared" si="25"/>
        <v>2.9215248437447507</v>
      </c>
      <c r="AY61" s="241" t="e">
        <f t="shared" ref="AY61:AY84" si="27">AD$99*AX61^AE$99</f>
        <v>#NUM!</v>
      </c>
      <c r="AZ61" s="252">
        <f t="shared" si="25"/>
        <v>0.7869871287137854</v>
      </c>
      <c r="BA61" s="241">
        <f t="shared" ref="BA61:BA84" si="28">AD$112*AZ61^AE$112</f>
        <v>425.41739372854971</v>
      </c>
      <c r="BB61" s="252">
        <f t="shared" si="25"/>
        <v>0.66278385281342556</v>
      </c>
      <c r="BC61" s="241">
        <f t="shared" ref="BC61:BC84" si="29">AD$125*BB61^AE$125</f>
        <v>206.68458417804842</v>
      </c>
    </row>
    <row r="62" spans="1:55" x14ac:dyDescent="0.25">
      <c r="C62" s="33" t="str">
        <f t="shared" ref="C62:D63" si="30">C61</f>
        <v>SHW</v>
      </c>
      <c r="D62" s="33" t="str">
        <f t="shared" si="30"/>
        <v>PFHxA</v>
      </c>
      <c r="E62" s="33">
        <f>B42</f>
        <v>100</v>
      </c>
      <c r="F62" s="220">
        <f>I42</f>
        <v>126.66666666666667</v>
      </c>
      <c r="G62" s="238">
        <f>K42</f>
        <v>-6666.6666666666715</v>
      </c>
      <c r="T62" s="204">
        <f t="shared" si="24"/>
        <v>7.8947368421052634E-3</v>
      </c>
      <c r="U62" s="204">
        <f t="shared" si="24"/>
        <v>-1.4999999999999988E-4</v>
      </c>
      <c r="V62" s="200"/>
      <c r="W62" s="200"/>
      <c r="X62" s="200"/>
      <c r="Y62" s="200"/>
      <c r="Z62" s="227">
        <f>L60*(K60*F62/(1+K60*F62))</f>
        <v>37123.146878345666</v>
      </c>
      <c r="AA62" s="227">
        <f>(G62-Z62)^2</f>
        <v>1917547770.306946</v>
      </c>
      <c r="AF62" s="204">
        <f t="shared" si="23"/>
        <v>2.102662341897148</v>
      </c>
      <c r="AG62" s="204" t="e">
        <f t="shared" si="23"/>
        <v>#NUM!</v>
      </c>
      <c r="AH62" s="204" t="e">
        <f>AD60*F62^AE60</f>
        <v>#NUM!</v>
      </c>
      <c r="AR62" s="253">
        <f t="shared" si="25"/>
        <v>3.0564659113669252</v>
      </c>
      <c r="AS62" s="241" t="e">
        <f t="shared" ref="AS62:AS84" si="31">AD$60*AR62^AE$60</f>
        <v>#NUM!</v>
      </c>
      <c r="AT62" s="253"/>
      <c r="AU62" s="241"/>
      <c r="AV62" s="253">
        <f t="shared" si="25"/>
        <v>1.4725711744483339</v>
      </c>
      <c r="AW62" s="241">
        <f t="shared" si="26"/>
        <v>372.51922884787325</v>
      </c>
      <c r="AX62" s="253">
        <f t="shared" si="25"/>
        <v>3.7455446714676288</v>
      </c>
      <c r="AY62" s="241" t="e">
        <f t="shared" si="27"/>
        <v>#NUM!</v>
      </c>
      <c r="AZ62" s="253">
        <f t="shared" si="25"/>
        <v>1.0089578573253659</v>
      </c>
      <c r="BA62" s="241">
        <f t="shared" si="28"/>
        <v>542.61148151647285</v>
      </c>
      <c r="BB62" s="253">
        <f t="shared" si="25"/>
        <v>0.84972288822234043</v>
      </c>
      <c r="BC62" s="241">
        <f t="shared" si="29"/>
        <v>273.60027071371644</v>
      </c>
    </row>
    <row r="63" spans="1:55" ht="15.75" thickBot="1" x14ac:dyDescent="0.3">
      <c r="C63" s="33" t="str">
        <f t="shared" si="30"/>
        <v>SHW</v>
      </c>
      <c r="D63" s="33" t="str">
        <f t="shared" si="30"/>
        <v>PFHxA</v>
      </c>
      <c r="E63" s="33">
        <f>B48</f>
        <v>500</v>
      </c>
      <c r="F63" s="220">
        <f>I48</f>
        <v>723</v>
      </c>
      <c r="G63" s="238">
        <f>K48</f>
        <v>-12000.000000000002</v>
      </c>
      <c r="T63" s="204">
        <f t="shared" si="24"/>
        <v>1.3831258644536654E-3</v>
      </c>
      <c r="U63" s="204">
        <f t="shared" si="24"/>
        <v>-8.3333333333333317E-5</v>
      </c>
      <c r="V63" s="200"/>
      <c r="W63" s="200"/>
      <c r="X63" s="200"/>
      <c r="Y63" s="200"/>
      <c r="Z63" s="227">
        <f>L60*(K60*F63/(1+K60*F63))</f>
        <v>211895.65109031819</v>
      </c>
      <c r="AA63" s="232">
        <f>(G63-Z63)^2</f>
        <v>50129262577.157501</v>
      </c>
      <c r="AF63" s="204">
        <f t="shared" si="23"/>
        <v>2.859138297294531</v>
      </c>
      <c r="AG63" s="204" t="e">
        <f t="shared" si="23"/>
        <v>#NUM!</v>
      </c>
      <c r="AH63" s="204" t="e">
        <f>AD60*F63^AE60</f>
        <v>#NUM!</v>
      </c>
      <c r="AR63" s="253">
        <f t="shared" si="25"/>
        <v>3.9185460402140069</v>
      </c>
      <c r="AS63" s="241" t="e">
        <f>AD$60*AR63^AE$60</f>
        <v>#NUM!</v>
      </c>
      <c r="AT63" s="253"/>
      <c r="AU63" s="241"/>
      <c r="AV63" s="253">
        <f t="shared" si="25"/>
        <v>1.8879117621132484</v>
      </c>
      <c r="AW63" s="241">
        <f t="shared" si="26"/>
        <v>437.16140325191338</v>
      </c>
      <c r="AX63" s="253">
        <f t="shared" si="25"/>
        <v>4.8019803480354213</v>
      </c>
      <c r="AY63" s="241" t="e">
        <f t="shared" si="27"/>
        <v>#NUM!</v>
      </c>
      <c r="AZ63" s="253">
        <f t="shared" si="25"/>
        <v>1.2935357145196997</v>
      </c>
      <c r="BA63" s="241">
        <f t="shared" si="28"/>
        <v>692.09022530322227</v>
      </c>
      <c r="BB63" s="253">
        <f t="shared" si="25"/>
        <v>1.0893883182337698</v>
      </c>
      <c r="BC63" s="241">
        <f t="shared" si="29"/>
        <v>362.18041336906509</v>
      </c>
    </row>
    <row r="64" spans="1:55" ht="15.75" thickBot="1" x14ac:dyDescent="0.3">
      <c r="T64" s="200"/>
      <c r="U64" s="200"/>
      <c r="V64" s="200"/>
      <c r="W64" s="200"/>
      <c r="X64" s="200"/>
      <c r="Y64" s="200"/>
      <c r="Z64" s="231" t="s">
        <v>1302</v>
      </c>
      <c r="AA64" s="233">
        <f>SUM(AA60:AA63)</f>
        <v>52659495411.309677</v>
      </c>
      <c r="AF64" s="200"/>
      <c r="AG64" s="200"/>
      <c r="AH64" s="200"/>
      <c r="AR64" s="253">
        <f t="shared" si="25"/>
        <v>5.0237769746333418</v>
      </c>
      <c r="AS64" s="241" t="e">
        <f t="shared" si="31"/>
        <v>#NUM!</v>
      </c>
      <c r="AT64" s="253"/>
      <c r="AU64" s="241"/>
      <c r="AV64" s="253">
        <f t="shared" si="25"/>
        <v>2.420399695016985</v>
      </c>
      <c r="AW64" s="241">
        <f t="shared" si="26"/>
        <v>513.02074549076838</v>
      </c>
      <c r="AX64" s="253">
        <f t="shared" si="25"/>
        <v>6.1563850615838733</v>
      </c>
      <c r="AY64" s="241" t="e">
        <f t="shared" si="27"/>
        <v>#NUM!</v>
      </c>
      <c r="AZ64" s="253">
        <f t="shared" si="25"/>
        <v>1.6583791211791021</v>
      </c>
      <c r="BA64" s="241">
        <f t="shared" si="28"/>
        <v>882.74741002826272</v>
      </c>
      <c r="BB64" s="253">
        <f t="shared" si="25"/>
        <v>1.3966516900432946</v>
      </c>
      <c r="BC64" s="241">
        <f t="shared" si="29"/>
        <v>479.43904253458282</v>
      </c>
    </row>
    <row r="65" spans="3:55" x14ac:dyDescent="0.25">
      <c r="T65" s="200"/>
      <c r="U65" s="200"/>
      <c r="V65" s="200"/>
      <c r="W65" s="200"/>
      <c r="X65" s="200"/>
      <c r="Y65" s="200"/>
      <c r="Z65" s="200"/>
      <c r="AA65" s="228"/>
      <c r="AF65" s="200"/>
      <c r="AG65" s="200"/>
      <c r="AH65" s="200"/>
      <c r="AR65" s="253">
        <f t="shared" si="25"/>
        <v>6.4407397110683871</v>
      </c>
      <c r="AS65" s="241" t="e">
        <f t="shared" si="31"/>
        <v>#NUM!</v>
      </c>
      <c r="AT65" s="253"/>
      <c r="AU65" s="241"/>
      <c r="AV65" s="253">
        <f t="shared" si="25"/>
        <v>3.1030765320730578</v>
      </c>
      <c r="AW65" s="241">
        <f t="shared" si="26"/>
        <v>602.04373795607205</v>
      </c>
      <c r="AX65" s="253">
        <f t="shared" si="25"/>
        <v>7.8928013610049659</v>
      </c>
      <c r="AY65" s="241" t="e">
        <f t="shared" si="27"/>
        <v>#NUM!</v>
      </c>
      <c r="AZ65" s="253">
        <f t="shared" si="25"/>
        <v>2.1261270784347461</v>
      </c>
      <c r="BA65" s="241">
        <f t="shared" si="28"/>
        <v>1125.9268826838286</v>
      </c>
      <c r="BB65" s="253">
        <f t="shared" si="25"/>
        <v>1.7905790897990956</v>
      </c>
      <c r="BC65" s="241">
        <f t="shared" si="29"/>
        <v>634.66103362206479</v>
      </c>
    </row>
    <row r="66" spans="3:55" x14ac:dyDescent="0.25">
      <c r="T66" s="200"/>
      <c r="U66" s="200"/>
      <c r="V66" s="200"/>
      <c r="W66" s="200"/>
      <c r="X66" s="200"/>
      <c r="Y66" s="200"/>
      <c r="AF66" s="200"/>
      <c r="AG66" s="200"/>
      <c r="AH66" s="200"/>
      <c r="AR66" s="253">
        <f t="shared" si="25"/>
        <v>8.2573586039338291</v>
      </c>
      <c r="AS66" s="241" t="e">
        <f>AD$60*AR66^AE$60</f>
        <v>#NUM!</v>
      </c>
      <c r="AT66" s="253"/>
      <c r="AU66" s="241"/>
      <c r="AV66" s="253">
        <f t="shared" si="25"/>
        <v>3.9783032462475099</v>
      </c>
      <c r="AW66" s="241">
        <f t="shared" si="26"/>
        <v>706.51463044712625</v>
      </c>
      <c r="AX66" s="253">
        <f t="shared" si="25"/>
        <v>10.118976103852519</v>
      </c>
      <c r="AY66" s="241" t="e">
        <f t="shared" si="27"/>
        <v>#NUM!</v>
      </c>
      <c r="AZ66" s="253">
        <f t="shared" si="25"/>
        <v>2.725803946711213</v>
      </c>
      <c r="BA66" s="241">
        <f t="shared" si="28"/>
        <v>1436.0974960091205</v>
      </c>
      <c r="BB66" s="253">
        <f t="shared" si="25"/>
        <v>2.2956142176911483</v>
      </c>
      <c r="BC66" s="241">
        <f t="shared" si="29"/>
        <v>840.13731019657894</v>
      </c>
    </row>
    <row r="67" spans="3:55" x14ac:dyDescent="0.25">
      <c r="AF67" s="200"/>
      <c r="AG67" s="200"/>
      <c r="AH67" s="200"/>
      <c r="AR67" s="253">
        <f t="shared" si="25"/>
        <v>10.58635718453055</v>
      </c>
      <c r="AS67" s="241" t="e">
        <f t="shared" si="31"/>
        <v>#NUM!</v>
      </c>
      <c r="AT67" s="253"/>
      <c r="AU67" s="241"/>
      <c r="AV67" s="253">
        <f t="shared" si="25"/>
        <v>5.1003887772403971</v>
      </c>
      <c r="AW67" s="241">
        <f t="shared" si="26"/>
        <v>829.11405196321596</v>
      </c>
      <c r="AX67" s="253">
        <f t="shared" si="25"/>
        <v>12.973046286990408</v>
      </c>
      <c r="AY67" s="241" t="e">
        <f t="shared" si="27"/>
        <v>#NUM!</v>
      </c>
      <c r="AZ67" s="253">
        <f t="shared" si="25"/>
        <v>3.494620444501555</v>
      </c>
      <c r="BA67" s="241">
        <f t="shared" si="28"/>
        <v>1831.7139858386354</v>
      </c>
      <c r="BB67" s="253">
        <f t="shared" si="25"/>
        <v>2.9430951508860872</v>
      </c>
      <c r="BC67" s="241">
        <f t="shared" si="29"/>
        <v>1112.1380746445179</v>
      </c>
    </row>
    <row r="68" spans="3:55" x14ac:dyDescent="0.25">
      <c r="AF68" s="200"/>
      <c r="AG68" s="200"/>
      <c r="AH68" s="200"/>
      <c r="AR68" s="253">
        <f t="shared" si="25"/>
        <v>13.572252800680191</v>
      </c>
      <c r="AS68" s="241" t="e">
        <f t="shared" si="31"/>
        <v>#NUM!</v>
      </c>
      <c r="AT68" s="253"/>
      <c r="AU68" s="241"/>
      <c r="AV68" s="253">
        <f t="shared" si="25"/>
        <v>6.538959970821022</v>
      </c>
      <c r="AW68" s="241">
        <f t="shared" si="26"/>
        <v>972.98779322915675</v>
      </c>
      <c r="AX68" s="253">
        <f t="shared" si="25"/>
        <v>16.632110624346677</v>
      </c>
      <c r="AY68" s="241" t="e">
        <f t="shared" si="27"/>
        <v>#NUM!</v>
      </c>
      <c r="AZ68" s="253">
        <f t="shared" si="25"/>
        <v>4.4802826211558395</v>
      </c>
      <c r="BA68" s="241">
        <f t="shared" si="28"/>
        <v>2336.3150031532064</v>
      </c>
      <c r="BB68" s="253">
        <f t="shared" si="25"/>
        <v>3.7731989113924196</v>
      </c>
      <c r="BC68" s="241">
        <f t="shared" si="29"/>
        <v>1472.2011295803675</v>
      </c>
    </row>
    <row r="69" spans="3:55" x14ac:dyDescent="0.25">
      <c r="AR69" s="253">
        <f t="shared" si="25"/>
        <v>17.400324103436141</v>
      </c>
      <c r="AS69" s="241" t="e">
        <f t="shared" si="31"/>
        <v>#NUM!</v>
      </c>
      <c r="AT69" s="253"/>
      <c r="AU69" s="241"/>
      <c r="AV69" s="253">
        <f t="shared" si="25"/>
        <v>8.3832820138731048</v>
      </c>
      <c r="AW69" s="241">
        <f t="shared" si="26"/>
        <v>1141.8275248517257</v>
      </c>
      <c r="AX69" s="253">
        <f t="shared" si="25"/>
        <v>21.323218749162404</v>
      </c>
      <c r="AY69" s="241" t="e">
        <f t="shared" si="27"/>
        <v>#NUM!</v>
      </c>
      <c r="AZ69" s="253">
        <f t="shared" si="25"/>
        <v>5.7439520784049218</v>
      </c>
      <c r="BA69" s="241">
        <f t="shared" si="28"/>
        <v>2979.9236322693127</v>
      </c>
      <c r="BB69" s="253">
        <f t="shared" si="25"/>
        <v>4.837434501785153</v>
      </c>
      <c r="BC69" s="241">
        <f t="shared" si="29"/>
        <v>1948.8373029855009</v>
      </c>
    </row>
    <row r="70" spans="3:55" x14ac:dyDescent="0.25">
      <c r="AR70" s="253">
        <f t="shared" si="25"/>
        <v>22.308107824918128</v>
      </c>
      <c r="AS70" s="241" t="e">
        <f t="shared" si="31"/>
        <v>#NUM!</v>
      </c>
      <c r="AT70" s="253"/>
      <c r="AU70" s="241"/>
      <c r="AV70" s="253">
        <f t="shared" si="25"/>
        <v>10.747797453683468</v>
      </c>
      <c r="AW70" s="241">
        <f t="shared" si="26"/>
        <v>1339.9655222621648</v>
      </c>
      <c r="AX70" s="253">
        <f t="shared" si="25"/>
        <v>27.337459934823595</v>
      </c>
      <c r="AY70" s="241" t="e">
        <f t="shared" si="27"/>
        <v>#NUM!</v>
      </c>
      <c r="AZ70" s="253">
        <f t="shared" si="25"/>
        <v>7.3640411261601564</v>
      </c>
      <c r="BA70" s="241">
        <f t="shared" si="28"/>
        <v>3800.8337241220997</v>
      </c>
      <c r="BB70" s="253">
        <f t="shared" si="25"/>
        <v>6.2018391048527599</v>
      </c>
      <c r="BC70" s="241">
        <f t="shared" si="29"/>
        <v>2579.788017545106</v>
      </c>
    </row>
    <row r="71" spans="3:55" x14ac:dyDescent="0.25">
      <c r="C71" s="262" t="s">
        <v>1303</v>
      </c>
      <c r="D71" s="262"/>
      <c r="E71" s="262"/>
      <c r="F71" s="262"/>
      <c r="G71" s="262"/>
      <c r="I71" s="263" t="s">
        <v>1304</v>
      </c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C71" s="264" t="s">
        <v>1305</v>
      </c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R71" s="253">
        <f t="shared" si="25"/>
        <v>28.600138237074521</v>
      </c>
      <c r="AS71" s="241" t="e">
        <f t="shared" si="31"/>
        <v>#NUM!</v>
      </c>
      <c r="AT71" s="253"/>
      <c r="AU71" s="241"/>
      <c r="AV71" s="253">
        <f t="shared" si="25"/>
        <v>13.779227504722394</v>
      </c>
      <c r="AW71" s="241">
        <f t="shared" si="26"/>
        <v>1572.4858280014539</v>
      </c>
      <c r="AX71" s="253">
        <f t="shared" si="25"/>
        <v>35.048025557466147</v>
      </c>
      <c r="AY71" s="241" t="e">
        <f t="shared" si="27"/>
        <v>#NUM!</v>
      </c>
      <c r="AZ71" s="253">
        <f t="shared" si="25"/>
        <v>9.4410783668719951</v>
      </c>
      <c r="BA71" s="241">
        <f t="shared" si="28"/>
        <v>4847.8883290785852</v>
      </c>
      <c r="BB71" s="253">
        <f t="shared" si="25"/>
        <v>7.9510757754522556</v>
      </c>
      <c r="BC71" s="241">
        <f t="shared" si="29"/>
        <v>3415.0137650145439</v>
      </c>
    </row>
    <row r="72" spans="3:55" ht="76.5" x14ac:dyDescent="0.35">
      <c r="C72" s="225" t="s">
        <v>1280</v>
      </c>
      <c r="D72" s="225" t="s">
        <v>243</v>
      </c>
      <c r="E72" s="225" t="s">
        <v>1281</v>
      </c>
      <c r="F72" s="225" t="s">
        <v>1286</v>
      </c>
      <c r="G72" s="225" t="s">
        <v>1287</v>
      </c>
      <c r="H72" s="10"/>
      <c r="I72" s="225" t="s">
        <v>1282</v>
      </c>
      <c r="J72" s="225" t="s">
        <v>1283</v>
      </c>
      <c r="K72" s="225" t="s">
        <v>1284</v>
      </c>
      <c r="L72" s="225" t="s">
        <v>1285</v>
      </c>
      <c r="M72" s="101"/>
      <c r="N72" s="101"/>
      <c r="O72" s="101"/>
      <c r="P72" s="101"/>
      <c r="Q72" s="101"/>
      <c r="R72" s="101"/>
      <c r="T72" s="222" t="s">
        <v>1288</v>
      </c>
      <c r="U72" s="222" t="s">
        <v>1289</v>
      </c>
      <c r="V72" s="222" t="s">
        <v>1290</v>
      </c>
      <c r="W72" s="222" t="s">
        <v>1291</v>
      </c>
      <c r="X72" s="230" t="s">
        <v>1292</v>
      </c>
      <c r="Y72" s="230" t="s">
        <v>1293</v>
      </c>
      <c r="Z72" s="223" t="s">
        <v>1294</v>
      </c>
      <c r="AA72" s="224" t="s">
        <v>1295</v>
      </c>
      <c r="AC72" s="225" t="s">
        <v>1296</v>
      </c>
      <c r="AD72" s="225" t="s">
        <v>1297</v>
      </c>
      <c r="AE72" s="226" t="s">
        <v>1298</v>
      </c>
      <c r="AF72" s="223" t="s">
        <v>1299</v>
      </c>
      <c r="AG72" s="223" t="s">
        <v>1300</v>
      </c>
      <c r="AH72" s="223" t="s">
        <v>1301</v>
      </c>
      <c r="AR72" s="253">
        <f t="shared" si="25"/>
        <v>36.666843893685282</v>
      </c>
      <c r="AS72" s="241" t="e">
        <f t="shared" si="31"/>
        <v>#NUM!</v>
      </c>
      <c r="AT72" s="253"/>
      <c r="AU72" s="241"/>
      <c r="AV72" s="253">
        <f t="shared" si="25"/>
        <v>17.665676288105633</v>
      </c>
      <c r="AW72" s="241">
        <f t="shared" si="26"/>
        <v>1845.3547036724658</v>
      </c>
      <c r="AX72" s="253">
        <f t="shared" si="25"/>
        <v>44.93336609931557</v>
      </c>
      <c r="AY72" s="241" t="e">
        <f t="shared" si="27"/>
        <v>#NUM!</v>
      </c>
      <c r="AZ72" s="253">
        <f t="shared" si="25"/>
        <v>12.103946624194865</v>
      </c>
      <c r="BA72" s="241">
        <f t="shared" si="28"/>
        <v>6183.3857929801316</v>
      </c>
      <c r="BB72" s="253">
        <f t="shared" si="25"/>
        <v>10.193686891605456</v>
      </c>
      <c r="BC72" s="241">
        <f t="shared" si="29"/>
        <v>4520.6501216082579</v>
      </c>
    </row>
    <row r="73" spans="3:55" x14ac:dyDescent="0.25">
      <c r="C73" s="33" t="str">
        <f>C60</f>
        <v>SHW</v>
      </c>
      <c r="D73" s="33" t="str">
        <f>C25</f>
        <v>PFOA</v>
      </c>
      <c r="E73" s="33">
        <f>E60</f>
        <v>10</v>
      </c>
      <c r="F73" s="220">
        <f>I31</f>
        <v>5.54</v>
      </c>
      <c r="G73" s="220">
        <f>K31</f>
        <v>2343.3333333333326</v>
      </c>
      <c r="I73" s="220">
        <f>SLOPE(G73:G76,F73:F76)</f>
        <v>237.08886453861209</v>
      </c>
      <c r="J73" s="221">
        <f>LOG(I73)</f>
        <v>2.3749111567491652</v>
      </c>
      <c r="K73" s="33">
        <f>V73/L73*Y73</f>
        <v>1.3050044457767868E-10</v>
      </c>
      <c r="L73" s="33">
        <f>1/W73*X73</f>
        <v>1838021587466.3899</v>
      </c>
      <c r="T73" s="204">
        <f>1/F73</f>
        <v>0.18050541516245489</v>
      </c>
      <c r="U73" s="204">
        <f>1/G73</f>
        <v>4.2674253200569002E-4</v>
      </c>
      <c r="V73" s="204">
        <f>1/(SLOPE(U73:U76,T73:T76))</f>
        <v>427.8622751724443</v>
      </c>
      <c r="W73" s="204">
        <f>INTERCEPT(U73:U76,T73:T76)</f>
        <v>4.8651531465594548E-6</v>
      </c>
      <c r="X73" s="229">
        <v>8942256.5097063109</v>
      </c>
      <c r="Y73" s="229">
        <v>0.5606071117418826</v>
      </c>
      <c r="Z73" s="227">
        <f>L73*(K73*F73/(1+K73*F73))</f>
        <v>1328.8389931041356</v>
      </c>
      <c r="AA73" s="227">
        <f>(G73-Z73)^2</f>
        <v>1029198.7663570736</v>
      </c>
      <c r="AC73" s="33">
        <f>INTERCEPT(AG73:AG76,AF73:AF76)</f>
        <v>2.7263139042417377</v>
      </c>
      <c r="AD73" s="33">
        <f>10^AC73</f>
        <v>532.49300147615111</v>
      </c>
      <c r="AE73" s="34">
        <f>SLOPE(AG73:AG76,AF73:AF76)</f>
        <v>0.86551676465671135</v>
      </c>
      <c r="AF73" s="204">
        <f t="shared" ref="AF73:AG76" si="32">LOG(F73)</f>
        <v>0.74350976472842978</v>
      </c>
      <c r="AG73" s="204">
        <f t="shared" si="32"/>
        <v>3.3698340703001612</v>
      </c>
      <c r="AH73" s="204">
        <f>AD73*F73^AE73</f>
        <v>2343.3333333333308</v>
      </c>
      <c r="AR73" s="253">
        <f t="shared" si="25"/>
        <v>47.008774222673438</v>
      </c>
      <c r="AS73" s="241" t="e">
        <f t="shared" si="31"/>
        <v>#NUM!</v>
      </c>
      <c r="AT73" s="253"/>
      <c r="AU73" s="241"/>
      <c r="AV73" s="253">
        <f t="shared" si="25"/>
        <v>22.648302933468759</v>
      </c>
      <c r="AW73" s="241">
        <f t="shared" si="26"/>
        <v>2165.5737188385938</v>
      </c>
      <c r="AX73" s="253">
        <f t="shared" si="25"/>
        <v>57.606879614507136</v>
      </c>
      <c r="AY73" s="241" t="e">
        <f t="shared" si="27"/>
        <v>#NUM!</v>
      </c>
      <c r="AZ73" s="253">
        <f t="shared" si="25"/>
        <v>15.517880287429314</v>
      </c>
      <c r="BA73" s="241">
        <f t="shared" si="28"/>
        <v>7886.7864252342515</v>
      </c>
      <c r="BB73" s="253">
        <f t="shared" si="25"/>
        <v>13.068829348212121</v>
      </c>
      <c r="BC73" s="241">
        <f t="shared" si="29"/>
        <v>5984.244553084468</v>
      </c>
    </row>
    <row r="74" spans="3:55" x14ac:dyDescent="0.25">
      <c r="C74" s="33" t="str">
        <f>C73</f>
        <v>SHW</v>
      </c>
      <c r="D74" s="33" t="str">
        <f>D73</f>
        <v>PFOA</v>
      </c>
      <c r="E74" s="33">
        <f t="shared" ref="E74:E76" si="33">E61</f>
        <v>50</v>
      </c>
      <c r="F74" s="220"/>
      <c r="G74" s="238"/>
      <c r="T74" s="204"/>
      <c r="U74" s="204"/>
      <c r="V74" s="200"/>
      <c r="W74" s="200"/>
      <c r="X74" s="200"/>
      <c r="Y74" s="200"/>
      <c r="Z74" s="227"/>
      <c r="AA74" s="227"/>
      <c r="AF74" s="204"/>
      <c r="AG74" s="204"/>
      <c r="AH74" s="204"/>
      <c r="AR74" s="253">
        <f t="shared" si="25"/>
        <v>60.267659259837735</v>
      </c>
      <c r="AS74" s="241" t="e">
        <f t="shared" si="31"/>
        <v>#NUM!</v>
      </c>
      <c r="AT74" s="253"/>
      <c r="AU74" s="241"/>
      <c r="AV74" s="253">
        <f t="shared" si="25"/>
        <v>29.036285812139436</v>
      </c>
      <c r="AW74" s="241">
        <f t="shared" si="26"/>
        <v>2541.3594049920921</v>
      </c>
      <c r="AX74" s="253">
        <f t="shared" si="25"/>
        <v>73.854973864752736</v>
      </c>
      <c r="AY74" s="241" t="e">
        <f t="shared" si="27"/>
        <v>#NUM!</v>
      </c>
      <c r="AZ74" s="253">
        <f t="shared" si="25"/>
        <v>19.89471831721707</v>
      </c>
      <c r="BA74" s="241">
        <f t="shared" si="28"/>
        <v>10059.440280739913</v>
      </c>
      <c r="BB74" s="253">
        <f t="shared" si="25"/>
        <v>16.75490942078477</v>
      </c>
      <c r="BC74" s="241">
        <f t="shared" si="29"/>
        <v>7921.688674809674</v>
      </c>
    </row>
    <row r="75" spans="3:55" x14ac:dyDescent="0.25">
      <c r="C75" s="33" t="str">
        <f t="shared" ref="C75:D76" si="34">C74</f>
        <v>SHW</v>
      </c>
      <c r="D75" s="33" t="str">
        <f t="shared" si="34"/>
        <v>PFOA</v>
      </c>
      <c r="E75" s="33">
        <f t="shared" si="33"/>
        <v>100</v>
      </c>
      <c r="F75" s="220"/>
      <c r="G75" s="238"/>
      <c r="T75" s="204"/>
      <c r="U75" s="204"/>
      <c r="V75" s="200"/>
      <c r="W75" s="200"/>
      <c r="X75" s="200"/>
      <c r="Y75" s="200"/>
      <c r="Z75" s="227"/>
      <c r="AA75" s="227"/>
      <c r="AF75" s="204"/>
      <c r="AG75" s="204"/>
      <c r="AH75" s="204"/>
      <c r="AR75" s="253">
        <f t="shared" si="25"/>
        <v>77.266229820304787</v>
      </c>
      <c r="AS75" s="241" t="e">
        <f t="shared" si="31"/>
        <v>#NUM!</v>
      </c>
      <c r="AT75" s="253"/>
      <c r="AU75" s="241"/>
      <c r="AV75" s="253">
        <f t="shared" si="25"/>
        <v>37.226007451460816</v>
      </c>
      <c r="AW75" s="241">
        <f t="shared" si="26"/>
        <v>2982.3540843511369</v>
      </c>
      <c r="AX75" s="253">
        <f t="shared" si="25"/>
        <v>94.685863929170168</v>
      </c>
      <c r="AY75" s="241" t="e">
        <f t="shared" si="27"/>
        <v>#NUM!</v>
      </c>
      <c r="AZ75" s="253">
        <f t="shared" si="25"/>
        <v>25.506049124637268</v>
      </c>
      <c r="BA75" s="241">
        <f t="shared" si="28"/>
        <v>12830.617352335252</v>
      </c>
      <c r="BB75" s="253">
        <f t="shared" si="25"/>
        <v>21.480653103570216</v>
      </c>
      <c r="BC75" s="241">
        <f t="shared" si="29"/>
        <v>10486.394883087278</v>
      </c>
    </row>
    <row r="76" spans="3:55" ht="15.75" thickBot="1" x14ac:dyDescent="0.3">
      <c r="C76" s="33" t="str">
        <f t="shared" si="34"/>
        <v>SHW</v>
      </c>
      <c r="D76" s="33" t="str">
        <f t="shared" si="34"/>
        <v>PFOA</v>
      </c>
      <c r="E76" s="33">
        <f t="shared" si="33"/>
        <v>500</v>
      </c>
      <c r="F76" s="220">
        <f>I49</f>
        <v>376.66666666666669</v>
      </c>
      <c r="G76" s="220">
        <f>K49</f>
        <v>90333.333333333314</v>
      </c>
      <c r="T76" s="204">
        <f t="shared" ref="T76:U76" si="35">1/F76</f>
        <v>2.6548672566371681E-3</v>
      </c>
      <c r="U76" s="204">
        <f t="shared" si="35"/>
        <v>1.1070110701107014E-5</v>
      </c>
      <c r="V76" s="200"/>
      <c r="W76" s="200"/>
      <c r="X76" s="200"/>
      <c r="Y76" s="200"/>
      <c r="Z76" s="227">
        <f>L73*(K73*F76/(1+K73*F76))</f>
        <v>90348.254481496464</v>
      </c>
      <c r="AA76" s="232">
        <f>(G76-Z76)^2</f>
        <v>222.64066250667653</v>
      </c>
      <c r="AF76" s="204">
        <f t="shared" si="32"/>
        <v>2.5759571887637573</v>
      </c>
      <c r="AG76" s="204">
        <f t="shared" si="32"/>
        <v>4.9558480361547428</v>
      </c>
      <c r="AH76" s="204">
        <f>AD73*F76^AE73</f>
        <v>90333.333333333227</v>
      </c>
      <c r="AR76" s="253">
        <f t="shared" si="25"/>
        <v>99.059269000390756</v>
      </c>
      <c r="AS76" s="241" t="e">
        <f t="shared" si="31"/>
        <v>#NUM!</v>
      </c>
      <c r="AT76" s="253"/>
      <c r="AU76" s="241"/>
      <c r="AV76" s="253">
        <f t="shared" si="25"/>
        <v>47.725650578795914</v>
      </c>
      <c r="AW76" s="241">
        <f t="shared" si="26"/>
        <v>3499.8732831626335</v>
      </c>
      <c r="AX76" s="253">
        <f t="shared" si="25"/>
        <v>121.39213324252586</v>
      </c>
      <c r="AY76" s="241" t="e">
        <f t="shared" si="27"/>
        <v>#NUM!</v>
      </c>
      <c r="AZ76" s="253">
        <f t="shared" si="25"/>
        <v>32.700062980304189</v>
      </c>
      <c r="BA76" s="241">
        <f t="shared" si="28"/>
        <v>16365.198962137254</v>
      </c>
      <c r="BB76" s="253">
        <f t="shared" si="25"/>
        <v>27.539298850731043</v>
      </c>
      <c r="BC76" s="241">
        <f t="shared" si="29"/>
        <v>13881.443989804484</v>
      </c>
    </row>
    <row r="77" spans="3:55" ht="15.75" thickBot="1" x14ac:dyDescent="0.3">
      <c r="T77" s="200"/>
      <c r="U77" s="200"/>
      <c r="V77" s="200"/>
      <c r="W77" s="200"/>
      <c r="X77" s="200"/>
      <c r="Y77" s="200"/>
      <c r="Z77" s="231" t="s">
        <v>1302</v>
      </c>
      <c r="AA77" s="233">
        <f>SUM(AA73:AA76)</f>
        <v>1029421.4070195802</v>
      </c>
      <c r="AF77" s="200"/>
      <c r="AG77" s="200"/>
      <c r="AH77" s="200"/>
      <c r="AR77" s="253">
        <f t="shared" si="25"/>
        <v>126.99906282101378</v>
      </c>
      <c r="AS77" s="241" t="e">
        <f t="shared" si="31"/>
        <v>#NUM!</v>
      </c>
      <c r="AT77" s="253"/>
      <c r="AU77" s="241"/>
      <c r="AV77" s="253">
        <f t="shared" si="25"/>
        <v>61.186731511276811</v>
      </c>
      <c r="AW77" s="241">
        <f t="shared" si="26"/>
        <v>4107.1960779132614</v>
      </c>
      <c r="AX77" s="253">
        <f t="shared" si="25"/>
        <v>155.63094005452032</v>
      </c>
      <c r="AY77" s="241" t="e">
        <f t="shared" si="27"/>
        <v>#NUM!</v>
      </c>
      <c r="AZ77" s="253">
        <f t="shared" si="25"/>
        <v>41.92315766705665</v>
      </c>
      <c r="BA77" s="241">
        <f t="shared" si="28"/>
        <v>20873.487979250916</v>
      </c>
      <c r="BB77" s="253">
        <f t="shared" si="25"/>
        <v>35.306793398373131</v>
      </c>
      <c r="BC77" s="241">
        <f t="shared" si="29"/>
        <v>18375.66574503708</v>
      </c>
    </row>
    <row r="78" spans="3:55" x14ac:dyDescent="0.25">
      <c r="C78" t="s">
        <v>1306</v>
      </c>
      <c r="T78" s="200"/>
      <c r="U78" s="200"/>
      <c r="V78" s="200"/>
      <c r="W78" s="200"/>
      <c r="X78" s="200"/>
      <c r="Y78" s="200"/>
      <c r="Z78" s="200"/>
      <c r="AA78" s="228"/>
      <c r="AF78" s="200"/>
      <c r="AG78" s="200"/>
      <c r="AH78" s="200"/>
      <c r="AR78" s="253">
        <f t="shared" si="25"/>
        <v>162.81931130899201</v>
      </c>
      <c r="AS78" s="241" t="e">
        <f t="shared" si="31"/>
        <v>#NUM!</v>
      </c>
      <c r="AT78" s="253"/>
      <c r="AU78" s="241"/>
      <c r="AV78" s="253">
        <f t="shared" si="25"/>
        <v>78.444527578560013</v>
      </c>
      <c r="AW78" s="241">
        <f t="shared" si="26"/>
        <v>4819.9058244710204</v>
      </c>
      <c r="AX78" s="253">
        <f t="shared" si="25"/>
        <v>199.526846223744</v>
      </c>
      <c r="AY78" s="241" t="e">
        <f t="shared" si="27"/>
        <v>#NUM!</v>
      </c>
      <c r="AZ78" s="253">
        <f t="shared" si="25"/>
        <v>53.747638034688009</v>
      </c>
      <c r="BA78" s="241">
        <f t="shared" si="28"/>
        <v>26623.721558655034</v>
      </c>
      <c r="BB78" s="253">
        <f t="shared" si="25"/>
        <v>45.265119741504016</v>
      </c>
      <c r="BC78" s="241">
        <f t="shared" si="29"/>
        <v>24324.925549628311</v>
      </c>
    </row>
    <row r="79" spans="3:55" x14ac:dyDescent="0.25">
      <c r="C79" t="s">
        <v>185</v>
      </c>
      <c r="D79" t="s">
        <v>23</v>
      </c>
      <c r="E79">
        <v>50</v>
      </c>
      <c r="F79">
        <v>26.633333333333333</v>
      </c>
      <c r="G79">
        <v>-66.66666666666643</v>
      </c>
      <c r="T79" s="200"/>
      <c r="U79" s="200"/>
      <c r="V79" s="200"/>
      <c r="W79" s="200"/>
      <c r="X79" s="200"/>
      <c r="Y79" s="200"/>
      <c r="AF79" s="200"/>
      <c r="AG79" s="200"/>
      <c r="AH79" s="200"/>
      <c r="AR79" s="253">
        <f t="shared" si="25"/>
        <v>208.74270680640001</v>
      </c>
      <c r="AS79" s="241" t="e">
        <f t="shared" si="31"/>
        <v>#NUM!</v>
      </c>
      <c r="AT79" s="253"/>
      <c r="AU79" s="241"/>
      <c r="AV79" s="253">
        <f t="shared" si="25"/>
        <v>100.56990715200001</v>
      </c>
      <c r="AW79" s="241">
        <f t="shared" si="26"/>
        <v>5656.2900129600939</v>
      </c>
      <c r="AX79" s="253">
        <f t="shared" si="25"/>
        <v>255.80364900480001</v>
      </c>
      <c r="AY79" s="241" t="e">
        <f t="shared" si="27"/>
        <v>#NUM!</v>
      </c>
      <c r="AZ79" s="253">
        <f t="shared" si="25"/>
        <v>68.90722824960001</v>
      </c>
      <c r="BA79" s="241">
        <f t="shared" si="28"/>
        <v>33958.030892459894</v>
      </c>
      <c r="BB79" s="253">
        <f t="shared" si="25"/>
        <v>58.032204796800016</v>
      </c>
      <c r="BC79" s="241">
        <f t="shared" si="29"/>
        <v>32200.302900849576</v>
      </c>
    </row>
    <row r="80" spans="3:55" x14ac:dyDescent="0.25">
      <c r="C80" t="s">
        <v>185</v>
      </c>
      <c r="D80" t="s">
        <v>23</v>
      </c>
      <c r="E80">
        <v>100</v>
      </c>
      <c r="F80">
        <v>62.766666666666666</v>
      </c>
      <c r="G80">
        <v>33.333333333331439</v>
      </c>
      <c r="AF80" s="200"/>
      <c r="AG80" s="200"/>
      <c r="AH80" s="200"/>
      <c r="AR80" s="253">
        <f t="shared" si="25"/>
        <v>267.61885488000001</v>
      </c>
      <c r="AS80" s="241" t="e">
        <f t="shared" si="31"/>
        <v>#NUM!</v>
      </c>
      <c r="AT80" s="253"/>
      <c r="AU80" s="241"/>
      <c r="AV80" s="253">
        <f t="shared" si="25"/>
        <v>128.9357784</v>
      </c>
      <c r="AW80" s="241">
        <f t="shared" si="26"/>
        <v>6637.8095082850232</v>
      </c>
      <c r="AX80" s="253">
        <f t="shared" si="25"/>
        <v>327.95339616000001</v>
      </c>
      <c r="AY80" s="241" t="e">
        <f t="shared" si="27"/>
        <v>#NUM!</v>
      </c>
      <c r="AZ80" s="253">
        <f t="shared" si="25"/>
        <v>88.342600320000017</v>
      </c>
      <c r="BA80" s="241">
        <f t="shared" si="28"/>
        <v>43312.797557349317</v>
      </c>
      <c r="BB80" s="253">
        <f t="shared" si="25"/>
        <v>74.400262560000016</v>
      </c>
      <c r="BC80" s="241">
        <f t="shared" si="29"/>
        <v>42625.392821492314</v>
      </c>
    </row>
    <row r="81" spans="3:55" x14ac:dyDescent="0.25">
      <c r="AF81" s="200"/>
      <c r="AG81" s="200"/>
      <c r="AH81" s="200"/>
      <c r="AR81" s="251">
        <f t="shared" si="25"/>
        <v>343.10109600000004</v>
      </c>
      <c r="AS81" s="241" t="e">
        <f t="shared" si="31"/>
        <v>#NUM!</v>
      </c>
      <c r="AT81" s="251"/>
      <c r="AU81" s="241"/>
      <c r="AV81" s="251">
        <f t="shared" si="25"/>
        <v>165.30228</v>
      </c>
      <c r="AW81" s="241">
        <f t="shared" si="26"/>
        <v>7789.649216593295</v>
      </c>
      <c r="AX81" s="251">
        <f t="shared" si="25"/>
        <v>420.45307200000002</v>
      </c>
      <c r="AY81" s="241" t="e">
        <f t="shared" si="27"/>
        <v>#NUM!</v>
      </c>
      <c r="AZ81" s="251">
        <f t="shared" si="25"/>
        <v>113.25974400000001</v>
      </c>
      <c r="BA81" s="241">
        <f t="shared" si="28"/>
        <v>55244.617633599948</v>
      </c>
      <c r="BB81" s="251">
        <f t="shared" si="25"/>
        <v>95.384952000000013</v>
      </c>
      <c r="BC81" s="241">
        <f t="shared" si="29"/>
        <v>56425.683906799284</v>
      </c>
    </row>
    <row r="82" spans="3:55" x14ac:dyDescent="0.25">
      <c r="AR82" s="251">
        <f t="shared" si="25"/>
        <v>439.87320000000005</v>
      </c>
      <c r="AS82" s="241" t="e">
        <f t="shared" si="31"/>
        <v>#NUM!</v>
      </c>
      <c r="AT82" s="251"/>
      <c r="AU82" s="241"/>
      <c r="AV82" s="251">
        <f t="shared" si="25"/>
        <v>211.92599999999999</v>
      </c>
      <c r="AW82" s="241">
        <f t="shared" si="26"/>
        <v>9141.3643072818068</v>
      </c>
      <c r="AX82" s="251">
        <f t="shared" si="25"/>
        <v>539.04240000000004</v>
      </c>
      <c r="AY82" s="241" t="e">
        <f t="shared" si="27"/>
        <v>#NUM!</v>
      </c>
      <c r="AZ82" s="251">
        <f t="shared" si="25"/>
        <v>145.20480000000001</v>
      </c>
      <c r="BA82" s="241">
        <f t="shared" si="28"/>
        <v>70463.418425965981</v>
      </c>
      <c r="BB82" s="251">
        <f t="shared" si="25"/>
        <v>122.28840000000001</v>
      </c>
      <c r="BC82" s="241">
        <f t="shared" si="29"/>
        <v>74693.922884968226</v>
      </c>
    </row>
    <row r="83" spans="3:55" x14ac:dyDescent="0.25">
      <c r="AR83" s="253">
        <f>0.78*AR84</f>
        <v>563.94000000000005</v>
      </c>
      <c r="AS83" s="241" t="e">
        <f t="shared" si="31"/>
        <v>#NUM!</v>
      </c>
      <c r="AT83" s="253"/>
      <c r="AU83" s="241"/>
      <c r="AV83" s="253">
        <f>0.78*AV84</f>
        <v>271.7</v>
      </c>
      <c r="AW83" s="241">
        <f t="shared" si="26"/>
        <v>10727.638572021831</v>
      </c>
      <c r="AX83" s="253">
        <f>0.78*AX84</f>
        <v>691.08</v>
      </c>
      <c r="AY83" s="241" t="e">
        <f t="shared" si="27"/>
        <v>#NUM!</v>
      </c>
      <c r="AZ83" s="253">
        <f>0.78*AZ84</f>
        <v>186.16</v>
      </c>
      <c r="BA83" s="241">
        <f t="shared" si="28"/>
        <v>89874.698186941212</v>
      </c>
      <c r="BB83" s="253">
        <f>0.78*BB84</f>
        <v>156.78</v>
      </c>
      <c r="BC83" s="241">
        <f t="shared" si="29"/>
        <v>98876.641445072295</v>
      </c>
    </row>
    <row r="84" spans="3:55" x14ac:dyDescent="0.25">
      <c r="C84" s="262" t="s">
        <v>1303</v>
      </c>
      <c r="D84" s="262"/>
      <c r="E84" s="262"/>
      <c r="F84" s="262"/>
      <c r="G84" s="262"/>
      <c r="I84" s="263" t="s">
        <v>1304</v>
      </c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C84" s="264" t="s">
        <v>1305</v>
      </c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  <c r="AN84" s="264"/>
      <c r="AO84" s="264"/>
      <c r="AP84" s="264"/>
      <c r="AR84" s="253">
        <f>F63</f>
        <v>723</v>
      </c>
      <c r="AS84" s="241" t="e">
        <f t="shared" si="31"/>
        <v>#NUM!</v>
      </c>
      <c r="AT84" s="253"/>
      <c r="AU84" s="241"/>
      <c r="AV84" s="253">
        <f>F89</f>
        <v>348.33333333333331</v>
      </c>
      <c r="AW84" s="241">
        <f t="shared" si="26"/>
        <v>12589.174379611863</v>
      </c>
      <c r="AX84" s="253">
        <f>F102</f>
        <v>886</v>
      </c>
      <c r="AY84" s="241" t="e">
        <f t="shared" si="27"/>
        <v>#NUM!</v>
      </c>
      <c r="AZ84" s="253">
        <f>F115</f>
        <v>238.66666666666666</v>
      </c>
      <c r="BA84" s="241">
        <f t="shared" si="28"/>
        <v>114633.40204932778</v>
      </c>
      <c r="BB84" s="253">
        <f>F128</f>
        <v>201</v>
      </c>
      <c r="BC84" s="241">
        <f t="shared" si="29"/>
        <v>130888.6967754224</v>
      </c>
    </row>
    <row r="85" spans="3:55" ht="76.5" x14ac:dyDescent="0.35">
      <c r="C85" s="225" t="s">
        <v>1280</v>
      </c>
      <c r="D85" s="225" t="s">
        <v>243</v>
      </c>
      <c r="E85" s="225" t="s">
        <v>1281</v>
      </c>
      <c r="F85" s="225" t="s">
        <v>1286</v>
      </c>
      <c r="G85" s="225" t="s">
        <v>1287</v>
      </c>
      <c r="H85" s="10"/>
      <c r="I85" s="225" t="s">
        <v>1282</v>
      </c>
      <c r="J85" s="225" t="s">
        <v>1283</v>
      </c>
      <c r="K85" s="225" t="s">
        <v>1284</v>
      </c>
      <c r="L85" s="225" t="s">
        <v>1285</v>
      </c>
      <c r="M85" s="101"/>
      <c r="N85" s="101"/>
      <c r="O85" s="101"/>
      <c r="P85" s="101"/>
      <c r="Q85" s="101"/>
      <c r="R85" s="101"/>
      <c r="T85" s="222" t="s">
        <v>1288</v>
      </c>
      <c r="U85" s="222" t="s">
        <v>1289</v>
      </c>
      <c r="V85" s="222" t="s">
        <v>1290</v>
      </c>
      <c r="W85" s="222" t="s">
        <v>1291</v>
      </c>
      <c r="X85" s="230" t="s">
        <v>1292</v>
      </c>
      <c r="Y85" s="230" t="s">
        <v>1293</v>
      </c>
      <c r="Z85" s="223" t="s">
        <v>1294</v>
      </c>
      <c r="AA85" s="224" t="s">
        <v>1295</v>
      </c>
      <c r="AC85" s="225" t="s">
        <v>1296</v>
      </c>
      <c r="AD85" s="225" t="s">
        <v>1297</v>
      </c>
      <c r="AE85" s="226" t="s">
        <v>1298</v>
      </c>
      <c r="AF85" s="223" t="s">
        <v>1299</v>
      </c>
      <c r="AG85" s="223" t="s">
        <v>1300</v>
      </c>
      <c r="AH85" s="223" t="s">
        <v>1301</v>
      </c>
    </row>
    <row r="86" spans="3:55" x14ac:dyDescent="0.25">
      <c r="C86" s="33" t="str">
        <f>C73</f>
        <v>SHW</v>
      </c>
      <c r="D86" s="33" t="str">
        <f>C26</f>
        <v>PFNA</v>
      </c>
      <c r="E86" s="33">
        <f>E73</f>
        <v>10</v>
      </c>
      <c r="F86" s="220">
        <f>I32</f>
        <v>4.8366666666666669</v>
      </c>
      <c r="G86" s="220">
        <f>K32</f>
        <v>1973.3333333333326</v>
      </c>
      <c r="I86" s="220">
        <f>SLOPE(G86:G89,F86:F89)</f>
        <v>70.657071112267332</v>
      </c>
      <c r="J86" s="221">
        <f>LOG(I86)</f>
        <v>1.8491556310305617</v>
      </c>
      <c r="K86" s="33">
        <f>V86/L86*Y86</f>
        <v>4.2447959237324193E-9</v>
      </c>
      <c r="L86" s="33">
        <f>1/W86*X86</f>
        <v>16504169324.095278</v>
      </c>
      <c r="T86" s="204">
        <f>1/F86</f>
        <v>0.20675396278428668</v>
      </c>
      <c r="U86" s="204">
        <f>1/G86</f>
        <v>5.06756756756757E-4</v>
      </c>
      <c r="V86" s="204">
        <f>1/(SLOPE(U86:U89,T86:T89))</f>
        <v>1872.5071448809822</v>
      </c>
      <c r="W86" s="204">
        <f>INTERCEPT(U86:U89,T86:T89)</f>
        <v>5.4178624210985641E-4</v>
      </c>
      <c r="X86" s="229">
        <v>8941731.87724635</v>
      </c>
      <c r="Y86" s="229">
        <v>3.7413384970534855E-2</v>
      </c>
      <c r="Z86" s="227">
        <f>L86*(K86*F86/(1+K86*F86))</f>
        <v>338.84153072455865</v>
      </c>
      <c r="AA86" s="227">
        <f>(G86-Z86)^2</f>
        <v>2671563.4527952792</v>
      </c>
      <c r="AC86" s="33">
        <f>INTERCEPT(AG86:AG89,AF86:AF89)</f>
        <v>2.4629043834182633</v>
      </c>
      <c r="AD86" s="33">
        <f>10^AC86</f>
        <v>290.33833597776282</v>
      </c>
      <c r="AE86" s="34">
        <f>SLOPE(AG86:AG89,AF86:AF89)</f>
        <v>0.64401890751627855</v>
      </c>
      <c r="AF86" s="204">
        <f t="shared" ref="AF86:AG89" si="36">LOG(F86)</f>
        <v>0.68454615771807348</v>
      </c>
      <c r="AG86" s="204">
        <f t="shared" si="36"/>
        <v>3.295200452003257</v>
      </c>
      <c r="AH86" s="204">
        <f>AD86*F86^AE86</f>
        <v>801.24448276140083</v>
      </c>
    </row>
    <row r="87" spans="3:55" x14ac:dyDescent="0.25">
      <c r="C87" s="33" t="str">
        <f>C86</f>
        <v>SHW</v>
      </c>
      <c r="D87" s="33" t="str">
        <f>D86</f>
        <v>PFNA</v>
      </c>
      <c r="E87" s="33">
        <f t="shared" ref="E87:E89" si="37">E74</f>
        <v>50</v>
      </c>
      <c r="F87" s="220">
        <f>I38</f>
        <v>22.233333333333331</v>
      </c>
      <c r="G87" s="220">
        <f>K38</f>
        <v>766.66666666666936</v>
      </c>
      <c r="T87" s="204">
        <f t="shared" ref="T87:U89" si="38">1/F87</f>
        <v>4.4977511244377814E-2</v>
      </c>
      <c r="U87" s="204">
        <f t="shared" si="38"/>
        <v>1.3043478260869519E-3</v>
      </c>
      <c r="V87" s="200"/>
      <c r="W87" s="200"/>
      <c r="X87" s="200"/>
      <c r="Y87" s="200"/>
      <c r="Z87" s="227">
        <f>L86*(K86*F87/(1+K86*F87))</f>
        <v>1557.596721596866</v>
      </c>
      <c r="AA87" s="227">
        <f>(G87-Z87)^2</f>
        <v>625570.35179188394</v>
      </c>
      <c r="AF87" s="204">
        <f t="shared" si="36"/>
        <v>1.3470045791968865</v>
      </c>
      <c r="AG87" s="204">
        <f t="shared" si="36"/>
        <v>2.8846065812979318</v>
      </c>
      <c r="AH87" s="204">
        <f>AD86*F87^AE86</f>
        <v>2139.9360789528896</v>
      </c>
    </row>
    <row r="88" spans="3:55" x14ac:dyDescent="0.25">
      <c r="C88" s="33" t="str">
        <f t="shared" ref="C88:D89" si="39">C87</f>
        <v>SHW</v>
      </c>
      <c r="D88" s="33" t="str">
        <f t="shared" si="39"/>
        <v>PFNA</v>
      </c>
      <c r="E88" s="33">
        <f t="shared" si="37"/>
        <v>100</v>
      </c>
      <c r="F88" s="220">
        <f>I44</f>
        <v>53.033333333333339</v>
      </c>
      <c r="G88" s="220">
        <f>K44</f>
        <v>2166.6666666666642</v>
      </c>
      <c r="T88" s="204">
        <f t="shared" si="38"/>
        <v>1.8856065367693273E-2</v>
      </c>
      <c r="U88" s="204">
        <f t="shared" si="38"/>
        <v>4.6153846153846207E-4</v>
      </c>
      <c r="V88" s="200"/>
      <c r="W88" s="200"/>
      <c r="X88" s="200"/>
      <c r="Y88" s="200"/>
      <c r="Z88" s="227">
        <f>L86*(K86*F88/(1+K86*F88))</f>
        <v>3715.3464168963178</v>
      </c>
      <c r="AA88" s="227">
        <f>(G88-Z88)^2</f>
        <v>2398408.9687713822</v>
      </c>
      <c r="AF88" s="204">
        <f t="shared" si="36"/>
        <v>1.724548924926919</v>
      </c>
      <c r="AG88" s="204">
        <f t="shared" si="36"/>
        <v>3.3357921019231926</v>
      </c>
      <c r="AH88" s="204">
        <f>AD86*F88^AE86</f>
        <v>3745.8164970590951</v>
      </c>
    </row>
    <row r="89" spans="3:55" ht="15.75" thickBot="1" x14ac:dyDescent="0.3">
      <c r="C89" s="33" t="str">
        <f t="shared" si="39"/>
        <v>SHW</v>
      </c>
      <c r="D89" s="33" t="str">
        <f t="shared" si="39"/>
        <v>PFNA</v>
      </c>
      <c r="E89" s="33">
        <f t="shared" si="37"/>
        <v>500</v>
      </c>
      <c r="F89" s="220">
        <f>I50</f>
        <v>348.33333333333331</v>
      </c>
      <c r="G89" s="220">
        <f>K50</f>
        <v>24666.666666666686</v>
      </c>
      <c r="T89" s="204">
        <f t="shared" si="38"/>
        <v>2.8708133971291866E-3</v>
      </c>
      <c r="U89" s="204">
        <f t="shared" si="38"/>
        <v>4.0540540540540511E-5</v>
      </c>
      <c r="V89" s="200"/>
      <c r="W89" s="200"/>
      <c r="X89" s="200"/>
      <c r="Y89" s="200"/>
      <c r="Z89" s="227">
        <f>L86*(K86*F89/(1+K86*F89))</f>
        <v>24403.093268066525</v>
      </c>
      <c r="AA89" s="232">
        <f>(G89-Z89)^2</f>
        <v>69470.936449639586</v>
      </c>
      <c r="AF89" s="204">
        <f t="shared" si="36"/>
        <v>2.5419950357274104</v>
      </c>
      <c r="AG89" s="204">
        <f t="shared" si="36"/>
        <v>4.3921104650113145</v>
      </c>
      <c r="AH89" s="204">
        <f>AD86*F89^AE86</f>
        <v>12589.174379611863</v>
      </c>
    </row>
    <row r="90" spans="3:55" ht="15.75" thickBot="1" x14ac:dyDescent="0.3">
      <c r="T90" s="200"/>
      <c r="U90" s="200"/>
      <c r="V90" s="200"/>
      <c r="W90" s="200"/>
      <c r="X90" s="200"/>
      <c r="Y90" s="200"/>
      <c r="Z90" s="231" t="s">
        <v>1302</v>
      </c>
      <c r="AA90" s="233">
        <f>SUM(AA86:AA89)</f>
        <v>5765013.7098081848</v>
      </c>
      <c r="AF90" s="200"/>
      <c r="AG90" s="200"/>
      <c r="AH90" s="200"/>
    </row>
    <row r="91" spans="3:55" x14ac:dyDescent="0.25">
      <c r="T91" s="200"/>
      <c r="U91" s="200"/>
      <c r="V91" s="200"/>
      <c r="W91" s="200"/>
      <c r="X91" s="200"/>
      <c r="Y91" s="200"/>
      <c r="Z91" s="200"/>
      <c r="AA91" s="228"/>
      <c r="AF91" s="200"/>
      <c r="AG91" s="200"/>
      <c r="AH91" s="200"/>
    </row>
    <row r="92" spans="3:55" x14ac:dyDescent="0.25">
      <c r="T92" s="200"/>
      <c r="U92" s="200"/>
      <c r="V92" s="200"/>
      <c r="W92" s="200"/>
      <c r="X92" s="200"/>
      <c r="Y92" s="200"/>
      <c r="AF92" s="200"/>
      <c r="AG92" s="200"/>
      <c r="AH92" s="200"/>
    </row>
    <row r="93" spans="3:55" x14ac:dyDescent="0.25">
      <c r="AF93" s="200"/>
      <c r="AG93" s="200"/>
      <c r="AH93" s="200"/>
    </row>
    <row r="94" spans="3:55" x14ac:dyDescent="0.25">
      <c r="AF94" s="200"/>
      <c r="AG94" s="200"/>
      <c r="AH94" s="200"/>
    </row>
    <row r="97" spans="3:42" x14ac:dyDescent="0.25">
      <c r="C97" s="262" t="s">
        <v>1303</v>
      </c>
      <c r="D97" s="262"/>
      <c r="E97" s="262"/>
      <c r="F97" s="262"/>
      <c r="G97" s="262"/>
      <c r="I97" s="263" t="s">
        <v>1304</v>
      </c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C97" s="264" t="s">
        <v>1305</v>
      </c>
      <c r="AD97" s="264"/>
      <c r="AE97" s="264"/>
      <c r="AF97" s="264"/>
      <c r="AG97" s="264"/>
      <c r="AH97" s="264"/>
      <c r="AI97" s="264"/>
      <c r="AJ97" s="264"/>
      <c r="AK97" s="264"/>
      <c r="AL97" s="264"/>
      <c r="AM97" s="264"/>
      <c r="AN97" s="264"/>
      <c r="AO97" s="264"/>
      <c r="AP97" s="264"/>
    </row>
    <row r="98" spans="3:42" ht="76.5" x14ac:dyDescent="0.35">
      <c r="C98" s="225" t="s">
        <v>1280</v>
      </c>
      <c r="D98" s="225" t="s">
        <v>243</v>
      </c>
      <c r="E98" s="225" t="s">
        <v>1281</v>
      </c>
      <c r="F98" s="225" t="s">
        <v>1286</v>
      </c>
      <c r="G98" s="225" t="s">
        <v>1287</v>
      </c>
      <c r="H98" s="10"/>
      <c r="I98" s="225" t="s">
        <v>1282</v>
      </c>
      <c r="J98" s="225" t="s">
        <v>1283</v>
      </c>
      <c r="K98" s="225" t="s">
        <v>1284</v>
      </c>
      <c r="L98" s="225" t="s">
        <v>1285</v>
      </c>
      <c r="M98" s="101"/>
      <c r="N98" s="101"/>
      <c r="O98" s="101"/>
      <c r="P98" s="101"/>
      <c r="Q98" s="101"/>
      <c r="R98" s="101"/>
      <c r="T98" s="222" t="s">
        <v>1288</v>
      </c>
      <c r="U98" s="222" t="s">
        <v>1289</v>
      </c>
      <c r="V98" s="222" t="s">
        <v>1290</v>
      </c>
      <c r="W98" s="222" t="s">
        <v>1291</v>
      </c>
      <c r="X98" s="230" t="s">
        <v>1292</v>
      </c>
      <c r="Y98" s="230" t="s">
        <v>1293</v>
      </c>
      <c r="Z98" s="223" t="s">
        <v>1294</v>
      </c>
      <c r="AA98" s="224" t="s">
        <v>1295</v>
      </c>
      <c r="AC98" s="225" t="s">
        <v>1296</v>
      </c>
      <c r="AD98" s="225" t="s">
        <v>1297</v>
      </c>
      <c r="AE98" s="226" t="s">
        <v>1298</v>
      </c>
      <c r="AF98" s="223" t="s">
        <v>1299</v>
      </c>
      <c r="AG98" s="223" t="s">
        <v>1300</v>
      </c>
      <c r="AH98" s="223" t="s">
        <v>1301</v>
      </c>
    </row>
    <row r="99" spans="3:42" x14ac:dyDescent="0.25">
      <c r="C99" s="33" t="str">
        <f>C86</f>
        <v>SHW</v>
      </c>
      <c r="D99" s="33" t="str">
        <f>C27</f>
        <v>PFBS</v>
      </c>
      <c r="E99" s="33">
        <f>E86</f>
        <v>10</v>
      </c>
      <c r="F99" s="220">
        <f>I33</f>
        <v>16.166666666666664</v>
      </c>
      <c r="G99" s="220">
        <f>K33</f>
        <v>4466.6666666666688</v>
      </c>
      <c r="I99" s="220">
        <f>SLOPE(G99:G102,F99:F102)</f>
        <v>-20.212438966064049</v>
      </c>
      <c r="J99" s="221" t="e">
        <f>LOG(I99)</f>
        <v>#NUM!</v>
      </c>
      <c r="K99" s="33">
        <f>V99/L99*Y99</f>
        <v>-3.7448332335226139E-9</v>
      </c>
      <c r="L99" s="33">
        <f>1/W99*X99</f>
        <v>-64056812500.414604</v>
      </c>
      <c r="T99" s="204">
        <f>1/F99</f>
        <v>6.1855670103092793E-2</v>
      </c>
      <c r="U99" s="204">
        <f>1/G99</f>
        <v>2.2388059701492527E-4</v>
      </c>
      <c r="V99" s="204">
        <f>1/(SLOPE(U99:U102,T99:T102))</f>
        <v>184.10032507763842</v>
      </c>
      <c r="W99" s="204">
        <f>INTERCEPT(U99:U102,T99:T102)</f>
        <v>-1.3959761866596344E-4</v>
      </c>
      <c r="X99" s="229">
        <v>8942178.484389998</v>
      </c>
      <c r="Y99" s="229">
        <v>1.3029965057580253</v>
      </c>
      <c r="Z99" s="227">
        <f>L99*(K99*F99/(1+K99*F99))</f>
        <v>3878.0938660609559</v>
      </c>
      <c r="AA99" s="227">
        <f>(G99-Z99)^2</f>
        <v>346417.94161285233</v>
      </c>
      <c r="AC99" s="33" t="e">
        <f>INTERCEPT(AG99:AG102,AF99:AF102)</f>
        <v>#NUM!</v>
      </c>
      <c r="AD99" s="33" t="e">
        <f>10^AC99</f>
        <v>#NUM!</v>
      </c>
      <c r="AE99" s="34" t="e">
        <f>SLOPE(AG99:AG102,AF99:AF102)</f>
        <v>#NUM!</v>
      </c>
      <c r="AF99" s="204">
        <f t="shared" ref="AF99:AG102" si="40">LOG(F99)</f>
        <v>1.2086204838826011</v>
      </c>
      <c r="AG99" s="204">
        <f t="shared" si="40"/>
        <v>3.6499835436451455</v>
      </c>
      <c r="AH99" s="204" t="e">
        <f>AD99*F99^AE99</f>
        <v>#NUM!</v>
      </c>
    </row>
    <row r="100" spans="3:42" x14ac:dyDescent="0.25">
      <c r="C100" s="33" t="str">
        <f>C99</f>
        <v>SHW</v>
      </c>
      <c r="D100" s="33" t="str">
        <f>D99</f>
        <v>PFBS</v>
      </c>
      <c r="E100" s="33">
        <f t="shared" ref="E100:E102" si="41">E87</f>
        <v>50</v>
      </c>
      <c r="F100" s="220">
        <f>I39</f>
        <v>64.8</v>
      </c>
      <c r="G100" s="238">
        <f>K39</f>
        <v>-5633.333333333333</v>
      </c>
      <c r="T100" s="204">
        <f t="shared" ref="T100:U102" si="42">1/F100</f>
        <v>1.54320987654321E-2</v>
      </c>
      <c r="U100" s="204">
        <f t="shared" si="42"/>
        <v>-1.775147928994083E-4</v>
      </c>
      <c r="V100" s="200"/>
      <c r="W100" s="200"/>
      <c r="X100" s="200"/>
      <c r="Y100" s="200"/>
      <c r="Z100" s="227">
        <f>L99*(K99*F100/(1+K99*F100))</f>
        <v>15544.362574548897</v>
      </c>
      <c r="AA100" s="227">
        <f>(G100-Z100)^2</f>
        <v>448494803.96673173</v>
      </c>
      <c r="AF100" s="204">
        <f t="shared" si="40"/>
        <v>1.8115750058705933</v>
      </c>
      <c r="AG100" s="204" t="e">
        <f t="shared" si="40"/>
        <v>#NUM!</v>
      </c>
      <c r="AH100" s="204" t="e">
        <f>AD99*F100^AE99</f>
        <v>#NUM!</v>
      </c>
    </row>
    <row r="101" spans="3:42" x14ac:dyDescent="0.25">
      <c r="C101" s="33" t="str">
        <f t="shared" ref="C101:D102" si="43">C100</f>
        <v>SHW</v>
      </c>
      <c r="D101" s="33" t="str">
        <f t="shared" si="43"/>
        <v>PFBS</v>
      </c>
      <c r="E101" s="33">
        <f t="shared" si="41"/>
        <v>100</v>
      </c>
      <c r="F101" s="220">
        <f>I45</f>
        <v>154</v>
      </c>
      <c r="G101" s="238">
        <f>K45</f>
        <v>-11000</v>
      </c>
      <c r="T101" s="204">
        <f t="shared" si="42"/>
        <v>6.4935064935064939E-3</v>
      </c>
      <c r="U101" s="204">
        <f t="shared" si="42"/>
        <v>-9.0909090909090904E-5</v>
      </c>
      <c r="V101" s="200"/>
      <c r="W101" s="200"/>
      <c r="X101" s="200"/>
      <c r="Y101" s="200"/>
      <c r="Z101" s="227">
        <f>L99*(K99*F101/(1+K99*F101))</f>
        <v>36941.861668433368</v>
      </c>
      <c r="AA101" s="227">
        <f>(G101-Z101)^2</f>
        <v>2298422100.2352009</v>
      </c>
      <c r="AF101" s="204">
        <f t="shared" si="40"/>
        <v>2.1875207208364631</v>
      </c>
      <c r="AG101" s="204" t="e">
        <f t="shared" si="40"/>
        <v>#NUM!</v>
      </c>
      <c r="AH101" s="204" t="e">
        <f>AD99*F101^AE99</f>
        <v>#NUM!</v>
      </c>
    </row>
    <row r="102" spans="3:42" ht="15.75" thickBot="1" x14ac:dyDescent="0.3">
      <c r="C102" s="33" t="str">
        <f t="shared" si="43"/>
        <v>SHW</v>
      </c>
      <c r="D102" s="33" t="str">
        <f t="shared" si="43"/>
        <v>PFBS</v>
      </c>
      <c r="E102" s="33">
        <f t="shared" si="41"/>
        <v>500</v>
      </c>
      <c r="F102" s="220">
        <f>I51</f>
        <v>886</v>
      </c>
      <c r="G102" s="238">
        <f>K51</f>
        <v>-19000</v>
      </c>
      <c r="T102" s="204">
        <f t="shared" si="42"/>
        <v>1.128668171557562E-3</v>
      </c>
      <c r="U102" s="204">
        <f t="shared" si="42"/>
        <v>-5.2631578947368424E-5</v>
      </c>
      <c r="V102" s="200"/>
      <c r="W102" s="200"/>
      <c r="X102" s="200"/>
      <c r="Y102" s="200"/>
      <c r="Z102" s="227">
        <f>L99*(K99*F102/(1+K99*F102))</f>
        <v>212536.22831126011</v>
      </c>
      <c r="AA102" s="232">
        <f>(G102-Z102)^2</f>
        <v>53609025020.603973</v>
      </c>
      <c r="AF102" s="204">
        <f t="shared" si="40"/>
        <v>2.9474337218870508</v>
      </c>
      <c r="AG102" s="204" t="e">
        <f t="shared" si="40"/>
        <v>#NUM!</v>
      </c>
      <c r="AH102" s="204" t="e">
        <f>AD99*F102^AE99</f>
        <v>#NUM!</v>
      </c>
    </row>
    <row r="103" spans="3:42" ht="15.75" thickBot="1" x14ac:dyDescent="0.3">
      <c r="T103" s="200"/>
      <c r="U103" s="200"/>
      <c r="V103" s="200"/>
      <c r="W103" s="200"/>
      <c r="X103" s="200"/>
      <c r="Y103" s="200"/>
      <c r="Z103" s="231" t="s">
        <v>1302</v>
      </c>
      <c r="AA103" s="233">
        <f>SUM(AA99:AA102)</f>
        <v>56356288342.74752</v>
      </c>
      <c r="AF103" s="200"/>
      <c r="AG103" s="200"/>
      <c r="AH103" s="200"/>
    </row>
    <row r="104" spans="3:42" x14ac:dyDescent="0.25">
      <c r="T104" s="200"/>
      <c r="U104" s="200"/>
      <c r="V104" s="200"/>
      <c r="W104" s="200"/>
      <c r="X104" s="200"/>
      <c r="Y104" s="200"/>
      <c r="Z104" s="200"/>
      <c r="AA104" s="228"/>
      <c r="AF104" s="200"/>
      <c r="AG104" s="200"/>
      <c r="AH104" s="200"/>
    </row>
    <row r="105" spans="3:42" x14ac:dyDescent="0.25">
      <c r="T105" s="200"/>
      <c r="U105" s="200"/>
      <c r="V105" s="200"/>
      <c r="W105" s="200"/>
      <c r="X105" s="200"/>
      <c r="Y105" s="200"/>
      <c r="AF105" s="200"/>
      <c r="AG105" s="200"/>
      <c r="AH105" s="200"/>
    </row>
    <row r="106" spans="3:42" x14ac:dyDescent="0.25">
      <c r="AF106" s="200"/>
      <c r="AG106" s="200"/>
      <c r="AH106" s="200"/>
    </row>
    <row r="107" spans="3:42" x14ac:dyDescent="0.25">
      <c r="AF107" s="200"/>
      <c r="AG107" s="200"/>
      <c r="AH107" s="200"/>
    </row>
    <row r="110" spans="3:42" x14ac:dyDescent="0.25">
      <c r="C110" s="262" t="s">
        <v>1303</v>
      </c>
      <c r="D110" s="262"/>
      <c r="E110" s="262"/>
      <c r="F110" s="262"/>
      <c r="G110" s="262"/>
      <c r="I110" s="263" t="s">
        <v>1304</v>
      </c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63"/>
      <c r="AA110" s="263"/>
      <c r="AC110" s="264" t="s">
        <v>1305</v>
      </c>
      <c r="AD110" s="264"/>
      <c r="AE110" s="264"/>
      <c r="AF110" s="264"/>
      <c r="AG110" s="264"/>
      <c r="AH110" s="264"/>
      <c r="AI110" s="264"/>
      <c r="AJ110" s="264"/>
      <c r="AK110" s="264"/>
      <c r="AL110" s="264"/>
      <c r="AM110" s="264"/>
      <c r="AN110" s="264"/>
      <c r="AO110" s="264"/>
      <c r="AP110" s="264"/>
    </row>
    <row r="111" spans="3:42" ht="76.5" x14ac:dyDescent="0.35">
      <c r="C111" s="225" t="s">
        <v>1280</v>
      </c>
      <c r="D111" s="225" t="s">
        <v>243</v>
      </c>
      <c r="E111" s="225" t="s">
        <v>1281</v>
      </c>
      <c r="F111" s="225" t="s">
        <v>1286</v>
      </c>
      <c r="G111" s="225" t="s">
        <v>1287</v>
      </c>
      <c r="H111" s="10"/>
      <c r="I111" s="225" t="s">
        <v>1282</v>
      </c>
      <c r="J111" s="225" t="s">
        <v>1283</v>
      </c>
      <c r="K111" s="225" t="s">
        <v>1284</v>
      </c>
      <c r="L111" s="225" t="s">
        <v>1285</v>
      </c>
      <c r="M111" s="101"/>
      <c r="N111" s="101"/>
      <c r="O111" s="101"/>
      <c r="P111" s="101"/>
      <c r="Q111" s="101"/>
      <c r="R111" s="101"/>
      <c r="T111" s="222" t="s">
        <v>1288</v>
      </c>
      <c r="U111" s="222" t="s">
        <v>1289</v>
      </c>
      <c r="V111" s="222" t="s">
        <v>1290</v>
      </c>
      <c r="W111" s="222" t="s">
        <v>1291</v>
      </c>
      <c r="X111" s="230" t="s">
        <v>1292</v>
      </c>
      <c r="Y111" s="230" t="s">
        <v>1293</v>
      </c>
      <c r="Z111" s="223" t="s">
        <v>1294</v>
      </c>
      <c r="AA111" s="224" t="s">
        <v>1295</v>
      </c>
      <c r="AC111" s="225" t="s">
        <v>1296</v>
      </c>
      <c r="AD111" s="225" t="s">
        <v>1297</v>
      </c>
      <c r="AE111" s="226" t="s">
        <v>1298</v>
      </c>
      <c r="AF111" s="223" t="s">
        <v>1299</v>
      </c>
      <c r="AG111" s="223" t="s">
        <v>1300</v>
      </c>
      <c r="AH111" s="223" t="s">
        <v>1301</v>
      </c>
    </row>
    <row r="112" spans="3:42" x14ac:dyDescent="0.25">
      <c r="C112" s="33" t="str">
        <f>C99</f>
        <v>SHW</v>
      </c>
      <c r="D112" s="33" t="str">
        <f>C28</f>
        <v>PFOS</v>
      </c>
      <c r="E112" s="33">
        <f>E99</f>
        <v>10</v>
      </c>
      <c r="F112" s="220">
        <f>I34</f>
        <v>4.3633333333333333</v>
      </c>
      <c r="G112" s="220">
        <f>K34</f>
        <v>3330</v>
      </c>
      <c r="I112" s="220">
        <f>SLOPE(G112:G115,F112:F115)</f>
        <v>698.57033324545705</v>
      </c>
      <c r="J112" s="221">
        <f>LOG(I112)</f>
        <v>2.844210138156237</v>
      </c>
      <c r="K112" s="33">
        <f>V112/L112*Y112</f>
        <v>2.8432285333207966E-9</v>
      </c>
      <c r="L112" s="33">
        <f>1/W112*X112</f>
        <v>233339810828.1221</v>
      </c>
      <c r="T112" s="204">
        <f>1/F112</f>
        <v>0.22918258212375861</v>
      </c>
      <c r="U112" s="204">
        <f>1/G112</f>
        <v>3.0030030030030029E-4</v>
      </c>
      <c r="V112" s="204">
        <f>1/(SLOPE(U112:U115,T112:T115))</f>
        <v>843.82913064022875</v>
      </c>
      <c r="W112" s="204">
        <f>INTERCEPT(U112:U115,T112:T115)</f>
        <v>3.8322549431376904E-5</v>
      </c>
      <c r="X112" s="229">
        <v>8942176.4347688444</v>
      </c>
      <c r="Y112" s="229">
        <v>0.78622363700910725</v>
      </c>
      <c r="Z112" s="227">
        <f>L112*(K112*F112/(1+K112*F112))</f>
        <v>2894.8028847905675</v>
      </c>
      <c r="AA112" s="227">
        <f>(G112-Z112)^2</f>
        <v>189396.52908661205</v>
      </c>
      <c r="AC112" s="33">
        <f>INTERCEPT(AG112:AG115,AF112:AF115)</f>
        <v>2.730696052856036</v>
      </c>
      <c r="AD112" s="33">
        <f>10^AC112</f>
        <v>537.89319857978637</v>
      </c>
      <c r="AE112" s="34">
        <f>SLOPE(AG112:AG115,AF112:AF115)</f>
        <v>0.9793183576131077</v>
      </c>
      <c r="AF112" s="204">
        <f t="shared" ref="AF112:AG115" si="44">LOG(F112)</f>
        <v>0.63981839183109335</v>
      </c>
      <c r="AG112" s="204">
        <f t="shared" si="44"/>
        <v>3.5224442335063197</v>
      </c>
      <c r="AH112" s="204">
        <f>AD112*F112^AE112</f>
        <v>2276.5749325852698</v>
      </c>
    </row>
    <row r="113" spans="3:42" x14ac:dyDescent="0.25">
      <c r="C113" s="33" t="str">
        <f>C112</f>
        <v>SHW</v>
      </c>
      <c r="D113" s="33" t="str">
        <f>D112</f>
        <v>PFOS</v>
      </c>
      <c r="E113" s="33">
        <f t="shared" ref="E113:E115" si="45">E100</f>
        <v>50</v>
      </c>
      <c r="F113" s="220">
        <f>I40</f>
        <v>19.8</v>
      </c>
      <c r="G113" s="220">
        <f>K40</f>
        <v>6899.9999999999991</v>
      </c>
      <c r="T113" s="204">
        <f t="shared" ref="T113:U115" si="46">1/F113</f>
        <v>5.0505050505050504E-2</v>
      </c>
      <c r="U113" s="204">
        <f t="shared" si="46"/>
        <v>1.4492753623188408E-4</v>
      </c>
      <c r="V113" s="200"/>
      <c r="W113" s="200"/>
      <c r="X113" s="200"/>
      <c r="Y113" s="200"/>
      <c r="Z113" s="227">
        <f>L112*(K112*F113/(1+K112*F113))</f>
        <v>13136.079740994875</v>
      </c>
      <c r="AA113" s="227">
        <f>(G113-Z113)^2</f>
        <v>38888690.536046721</v>
      </c>
      <c r="AF113" s="204">
        <f t="shared" si="44"/>
        <v>1.2966651902615312</v>
      </c>
      <c r="AG113" s="204">
        <f t="shared" si="44"/>
        <v>3.8388490907372552</v>
      </c>
      <c r="AH113" s="204">
        <f>AD112*F113^AE112</f>
        <v>10012.535694739663</v>
      </c>
    </row>
    <row r="114" spans="3:42" x14ac:dyDescent="0.25">
      <c r="C114" s="33" t="str">
        <f t="shared" ref="C114:D115" si="47">C113</f>
        <v>SHW</v>
      </c>
      <c r="D114" s="33" t="str">
        <f t="shared" si="47"/>
        <v>PFOS</v>
      </c>
      <c r="E114" s="33">
        <f t="shared" si="45"/>
        <v>100</v>
      </c>
      <c r="F114" s="220">
        <f>I46</f>
        <v>43.533333333333339</v>
      </c>
      <c r="G114" s="220">
        <f>K46</f>
        <v>15266.666666666659</v>
      </c>
      <c r="T114" s="204">
        <f t="shared" si="46"/>
        <v>2.2970903522205204E-2</v>
      </c>
      <c r="U114" s="204">
        <f t="shared" si="46"/>
        <v>6.5502183406113577E-5</v>
      </c>
      <c r="V114" s="200"/>
      <c r="W114" s="200"/>
      <c r="X114" s="200"/>
      <c r="Y114" s="200"/>
      <c r="Z114" s="227">
        <f>L112*(K112*F114/(1+K112*F114))</f>
        <v>28881.681791386585</v>
      </c>
      <c r="AA114" s="227">
        <f>(G114-Z114)^2</f>
        <v>185368636.84635237</v>
      </c>
      <c r="AF114" s="204">
        <f t="shared" si="44"/>
        <v>1.6388219222193927</v>
      </c>
      <c r="AG114" s="204">
        <f t="shared" si="44"/>
        <v>4.1837442232842061</v>
      </c>
      <c r="AH114" s="204">
        <f>AD112*F114^AE112</f>
        <v>21658.304044157027</v>
      </c>
    </row>
    <row r="115" spans="3:42" ht="15.75" thickBot="1" x14ac:dyDescent="0.3">
      <c r="C115" s="33" t="str">
        <f t="shared" si="47"/>
        <v>SHW</v>
      </c>
      <c r="D115" s="33" t="str">
        <f t="shared" si="47"/>
        <v>PFOS</v>
      </c>
      <c r="E115" s="33">
        <f t="shared" si="45"/>
        <v>500</v>
      </c>
      <c r="F115" s="220">
        <f>I52</f>
        <v>238.66666666666666</v>
      </c>
      <c r="G115" s="220">
        <f>K52</f>
        <v>161333.33333333334</v>
      </c>
      <c r="T115" s="204">
        <f t="shared" si="46"/>
        <v>4.1899441340782122E-3</v>
      </c>
      <c r="U115" s="204">
        <f t="shared" si="46"/>
        <v>6.1983471074380163E-6</v>
      </c>
      <c r="V115" s="200"/>
      <c r="W115" s="200"/>
      <c r="X115" s="200"/>
      <c r="Y115" s="200"/>
      <c r="Z115" s="227">
        <f>L112*(K112*F115/(1+K112*F115))</f>
        <v>158340.52595401698</v>
      </c>
      <c r="AA115" s="232">
        <f>(G115-Z115)^2</f>
        <v>8956896.0096904822</v>
      </c>
      <c r="AF115" s="204">
        <f t="shared" si="44"/>
        <v>2.3777917675881932</v>
      </c>
      <c r="AG115" s="204">
        <f t="shared" si="44"/>
        <v>5.2077241069247497</v>
      </c>
      <c r="AH115" s="204">
        <f>AD112*F115^AE112</f>
        <v>114633.40204932778</v>
      </c>
    </row>
    <row r="116" spans="3:42" ht="15.75" thickBot="1" x14ac:dyDescent="0.3">
      <c r="T116" s="200"/>
      <c r="U116" s="200"/>
      <c r="V116" s="200"/>
      <c r="W116" s="200"/>
      <c r="X116" s="200"/>
      <c r="Y116" s="200"/>
      <c r="Z116" s="231" t="s">
        <v>1302</v>
      </c>
      <c r="AA116" s="233">
        <f>SUM(AA112:AA115)</f>
        <v>233403619.9211762</v>
      </c>
      <c r="AF116" s="200"/>
      <c r="AG116" s="200"/>
      <c r="AH116" s="200"/>
    </row>
    <row r="117" spans="3:42" x14ac:dyDescent="0.25">
      <c r="T117" s="200"/>
      <c r="U117" s="200"/>
      <c r="V117" s="200"/>
      <c r="W117" s="200"/>
      <c r="X117" s="200"/>
      <c r="Y117" s="200"/>
      <c r="Z117" s="200"/>
      <c r="AA117" s="228"/>
      <c r="AF117" s="200"/>
      <c r="AG117" s="200"/>
      <c r="AH117" s="200"/>
    </row>
    <row r="118" spans="3:42" x14ac:dyDescent="0.25">
      <c r="T118" s="200"/>
      <c r="U118" s="200"/>
      <c r="V118" s="200"/>
      <c r="W118" s="200"/>
      <c r="X118" s="200"/>
      <c r="Y118" s="200"/>
      <c r="AF118" s="200"/>
      <c r="AG118" s="200"/>
      <c r="AH118" s="200"/>
    </row>
    <row r="119" spans="3:42" x14ac:dyDescent="0.25">
      <c r="AF119" s="200"/>
      <c r="AG119" s="200"/>
      <c r="AH119" s="200"/>
    </row>
    <row r="120" spans="3:42" x14ac:dyDescent="0.25">
      <c r="AF120" s="200"/>
      <c r="AG120" s="200"/>
      <c r="AH120" s="200"/>
    </row>
    <row r="123" spans="3:42" x14ac:dyDescent="0.25">
      <c r="C123" s="262" t="s">
        <v>1303</v>
      </c>
      <c r="D123" s="262"/>
      <c r="E123" s="262"/>
      <c r="F123" s="262"/>
      <c r="G123" s="262"/>
      <c r="I123" s="263" t="s">
        <v>1304</v>
      </c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  <c r="AC123" s="264" t="s">
        <v>1305</v>
      </c>
      <c r="AD123" s="264"/>
      <c r="AE123" s="264"/>
      <c r="AF123" s="264"/>
      <c r="AG123" s="264"/>
      <c r="AH123" s="264"/>
      <c r="AI123" s="264"/>
      <c r="AJ123" s="264"/>
      <c r="AK123" s="264"/>
      <c r="AL123" s="264"/>
      <c r="AM123" s="264"/>
      <c r="AN123" s="264"/>
      <c r="AO123" s="264"/>
      <c r="AP123" s="264"/>
    </row>
    <row r="124" spans="3:42" ht="76.5" x14ac:dyDescent="0.35">
      <c r="C124" s="225" t="s">
        <v>1280</v>
      </c>
      <c r="D124" s="225" t="s">
        <v>243</v>
      </c>
      <c r="E124" s="225" t="s">
        <v>1281</v>
      </c>
      <c r="F124" s="225" t="s">
        <v>1286</v>
      </c>
      <c r="G124" s="225" t="s">
        <v>1287</v>
      </c>
      <c r="H124" s="10"/>
      <c r="I124" s="225" t="s">
        <v>1282</v>
      </c>
      <c r="J124" s="225" t="s">
        <v>1283</v>
      </c>
      <c r="K124" s="225" t="s">
        <v>1284</v>
      </c>
      <c r="L124" s="225" t="s">
        <v>1285</v>
      </c>
      <c r="M124" s="101"/>
      <c r="N124" s="101"/>
      <c r="O124" s="101"/>
      <c r="P124" s="101"/>
      <c r="Q124" s="101"/>
      <c r="R124" s="101"/>
      <c r="T124" s="222" t="s">
        <v>1288</v>
      </c>
      <c r="U124" s="222" t="s">
        <v>1289</v>
      </c>
      <c r="V124" s="222" t="s">
        <v>1290</v>
      </c>
      <c r="W124" s="222" t="s">
        <v>1291</v>
      </c>
      <c r="X124" s="230" t="s">
        <v>1292</v>
      </c>
      <c r="Y124" s="230" t="s">
        <v>1293</v>
      </c>
      <c r="Z124" s="223" t="s">
        <v>1294</v>
      </c>
      <c r="AA124" s="224" t="s">
        <v>1295</v>
      </c>
      <c r="AC124" s="225" t="s">
        <v>1296</v>
      </c>
      <c r="AD124" s="225" t="s">
        <v>1297</v>
      </c>
      <c r="AE124" s="226" t="s">
        <v>1298</v>
      </c>
      <c r="AF124" s="223" t="s">
        <v>1299</v>
      </c>
      <c r="AG124" s="223" t="s">
        <v>1300</v>
      </c>
      <c r="AH124" s="223" t="s">
        <v>1301</v>
      </c>
    </row>
    <row r="125" spans="3:42" x14ac:dyDescent="0.25">
      <c r="C125" s="33" t="str">
        <f>C112</f>
        <v>SHW</v>
      </c>
      <c r="D125" s="33" t="str">
        <f>C29</f>
        <v>8:2FTS</v>
      </c>
      <c r="E125" s="33">
        <f>E112</f>
        <v>10</v>
      </c>
      <c r="F125" s="220">
        <f>I35</f>
        <v>3.86</v>
      </c>
      <c r="G125" s="220">
        <f>K35</f>
        <v>3203.3333333333335</v>
      </c>
      <c r="I125" s="220">
        <f>SLOPE(G125:G128,F125:F128)</f>
        <v>1341.4167514460232</v>
      </c>
      <c r="J125" s="221">
        <f>LOG(I125)</f>
        <v>3.1275637254541233</v>
      </c>
      <c r="K125" s="33">
        <f>V125/L125*Y125</f>
        <v>1.1377802225863828E-8</v>
      </c>
      <c r="L125" s="33">
        <f>1/W125*X125</f>
        <v>107318848407.20175</v>
      </c>
      <c r="T125" s="204">
        <f>1/F125</f>
        <v>0.2590673575129534</v>
      </c>
      <c r="U125" s="204">
        <f>1/G125</f>
        <v>3.1217481789802288E-4</v>
      </c>
      <c r="V125" s="204">
        <f>1/(SLOPE(U125:U128,T125:T128))</f>
        <v>1035.6710319581566</v>
      </c>
      <c r="W125" s="204">
        <f>INTERCEPT(U125:U128,T125:T128)</f>
        <v>8.3323448644874711E-5</v>
      </c>
      <c r="X125" s="229">
        <v>8942176.5538845696</v>
      </c>
      <c r="Y125" s="229">
        <v>1.1789966066502244</v>
      </c>
      <c r="Z125" s="227">
        <f>L125*(K125*F125/(1+K125*F125))</f>
        <v>4713.2629536199929</v>
      </c>
      <c r="AA125" s="227">
        <f>(G125-Z125)^2</f>
        <v>2279887.4582190155</v>
      </c>
      <c r="AC125" s="33">
        <f>INTERCEPT(AG125:AG128,AF125:AF128)</f>
        <v>2.5169514500280732</v>
      </c>
      <c r="AD125" s="33">
        <f>10^AC125</f>
        <v>328.81487046170867</v>
      </c>
      <c r="AE125" s="34">
        <f>SLOPE(AG125:AG128,AF125:AF128)</f>
        <v>1.1288447134869819</v>
      </c>
      <c r="AF125" s="204">
        <f t="shared" ref="AF125:AG128" si="48">LOG(F125)</f>
        <v>0.58658730467175491</v>
      </c>
      <c r="AG125" s="204">
        <f t="shared" si="48"/>
        <v>3.5056021329488831</v>
      </c>
      <c r="AH125" s="204">
        <f>AD125*F125^AE125</f>
        <v>1510.4885165364792</v>
      </c>
    </row>
    <row r="126" spans="3:42" x14ac:dyDescent="0.25">
      <c r="C126" s="33" t="str">
        <f>C125</f>
        <v>SHW</v>
      </c>
      <c r="D126" s="33" t="str">
        <f>D125</f>
        <v>8:2FTS</v>
      </c>
      <c r="E126" s="33">
        <f t="shared" ref="E126:E128" si="49">E113</f>
        <v>50</v>
      </c>
      <c r="F126" s="220">
        <f>I41</f>
        <v>19.333333333333332</v>
      </c>
      <c r="G126" s="220">
        <f>K41</f>
        <v>3866.666666666667</v>
      </c>
      <c r="T126" s="204">
        <f t="shared" ref="T126:U128" si="50">1/F126</f>
        <v>5.1724137931034489E-2</v>
      </c>
      <c r="U126" s="204">
        <f t="shared" si="50"/>
        <v>2.5862068965517237E-4</v>
      </c>
      <c r="V126" s="200"/>
      <c r="W126" s="200"/>
      <c r="X126" s="200"/>
      <c r="Y126" s="200"/>
      <c r="Z126" s="227">
        <f>L125*(K125*F126/(1+K125*F126))</f>
        <v>23607.012364647908</v>
      </c>
      <c r="AA126" s="227">
        <f>(G126-Z126)^2</f>
        <v>389681248.27580643</v>
      </c>
      <c r="AF126" s="204">
        <f t="shared" si="48"/>
        <v>1.2863067388432747</v>
      </c>
      <c r="AG126" s="204">
        <f t="shared" si="48"/>
        <v>3.587336734507256</v>
      </c>
      <c r="AH126" s="204">
        <f>AD125*F126^AE125</f>
        <v>9310.9074991337147</v>
      </c>
    </row>
    <row r="127" spans="3:42" x14ac:dyDescent="0.25">
      <c r="C127" s="33" t="str">
        <f t="shared" ref="C127:D128" si="51">C126</f>
        <v>SHW</v>
      </c>
      <c r="D127" s="33" t="str">
        <f t="shared" si="51"/>
        <v>8:2FTS</v>
      </c>
      <c r="E127" s="33">
        <f t="shared" si="49"/>
        <v>100</v>
      </c>
      <c r="F127" s="220">
        <f>I47</f>
        <v>36.233333333333334</v>
      </c>
      <c r="G127" s="220">
        <f>K47</f>
        <v>11100</v>
      </c>
      <c r="T127" s="204">
        <f t="shared" si="50"/>
        <v>2.7598896044158234E-2</v>
      </c>
      <c r="U127" s="204">
        <f t="shared" si="50"/>
        <v>9.0090090090090091E-5</v>
      </c>
      <c r="V127" s="200"/>
      <c r="W127" s="200"/>
      <c r="X127" s="200"/>
      <c r="Y127" s="200"/>
      <c r="Z127" s="227">
        <f>L125*(K125*F127/(1+K125*F127))</f>
        <v>44242.788803770207</v>
      </c>
      <c r="AA127" s="227">
        <f>(G127-Z127)^2</f>
        <v>1098444449.6913159</v>
      </c>
      <c r="AF127" s="204">
        <f t="shared" si="48"/>
        <v>1.5591082893666321</v>
      </c>
      <c r="AG127" s="204">
        <f t="shared" si="48"/>
        <v>4.0453229787866576</v>
      </c>
      <c r="AH127" s="204">
        <f>AD125*F127^AE125</f>
        <v>18920.935281902854</v>
      </c>
    </row>
    <row r="128" spans="3:42" ht="15.75" thickBot="1" x14ac:dyDescent="0.3">
      <c r="C128" s="33" t="str">
        <f t="shared" si="51"/>
        <v>SHW</v>
      </c>
      <c r="D128" s="33" t="str">
        <f t="shared" si="51"/>
        <v>8:2FTS</v>
      </c>
      <c r="E128" s="33">
        <f t="shared" si="49"/>
        <v>500</v>
      </c>
      <c r="F128" s="220">
        <f>I53</f>
        <v>201</v>
      </c>
      <c r="G128" s="220">
        <f>K53</f>
        <v>253333.33333333331</v>
      </c>
      <c r="T128" s="204">
        <f t="shared" si="50"/>
        <v>4.9751243781094526E-3</v>
      </c>
      <c r="U128" s="204">
        <f t="shared" si="50"/>
        <v>3.9473684210526323E-6</v>
      </c>
      <c r="V128" s="200"/>
      <c r="W128" s="200"/>
      <c r="X128" s="200"/>
      <c r="Y128" s="200"/>
      <c r="Z128" s="227">
        <f>L125*(K125*F128/(1+K125*F128))</f>
        <v>245431.01780362346</v>
      </c>
      <c r="AA128" s="232">
        <f>(G128-Z128)^2</f>
        <v>62446590.731093571</v>
      </c>
      <c r="AF128" s="204">
        <f t="shared" si="48"/>
        <v>2.3031960574204891</v>
      </c>
      <c r="AG128" s="204">
        <f t="shared" si="48"/>
        <v>5.4036923375611288</v>
      </c>
      <c r="AH128" s="204">
        <f>AD125*F128^AE125</f>
        <v>130888.6967754224</v>
      </c>
    </row>
    <row r="129" spans="20:34" ht="15.75" thickBot="1" x14ac:dyDescent="0.3">
      <c r="T129" s="200"/>
      <c r="U129" s="200"/>
      <c r="V129" s="200"/>
      <c r="W129" s="200"/>
      <c r="X129" s="200"/>
      <c r="Y129" s="200"/>
      <c r="Z129" s="231" t="s">
        <v>1302</v>
      </c>
      <c r="AA129" s="233">
        <f>SUM(AA125:AA128)</f>
        <v>1552852176.156435</v>
      </c>
      <c r="AF129" s="200"/>
      <c r="AG129" s="200"/>
      <c r="AH129" s="200"/>
    </row>
    <row r="130" spans="20:34" x14ac:dyDescent="0.25">
      <c r="T130" s="200"/>
      <c r="U130" s="200"/>
      <c r="V130" s="200"/>
      <c r="W130" s="200"/>
      <c r="X130" s="200"/>
      <c r="Y130" s="200"/>
      <c r="Z130" s="200"/>
      <c r="AA130" s="228"/>
      <c r="AF130" s="200"/>
      <c r="AG130" s="200"/>
      <c r="AH130" s="200"/>
    </row>
    <row r="131" spans="20:34" x14ac:dyDescent="0.25">
      <c r="T131" s="200"/>
      <c r="U131" s="200"/>
      <c r="V131" s="200"/>
      <c r="W131" s="200"/>
      <c r="X131" s="200"/>
      <c r="Y131" s="200"/>
      <c r="AF131" s="200"/>
      <c r="AG131" s="200"/>
      <c r="AH131" s="200"/>
    </row>
    <row r="132" spans="20:34" x14ac:dyDescent="0.25">
      <c r="AF132" s="200"/>
      <c r="AG132" s="200"/>
      <c r="AH132" s="200"/>
    </row>
    <row r="133" spans="20:34" x14ac:dyDescent="0.25">
      <c r="AF133" s="200"/>
      <c r="AG133" s="200"/>
      <c r="AH133" s="200"/>
    </row>
  </sheetData>
  <mergeCells count="24">
    <mergeCell ref="AS58:AY58"/>
    <mergeCell ref="C7:Q7"/>
    <mergeCell ref="A8:A13"/>
    <mergeCell ref="C14:R14"/>
    <mergeCell ref="A15:A20"/>
    <mergeCell ref="A24:A53"/>
    <mergeCell ref="AC58:AP58"/>
    <mergeCell ref="C58:G58"/>
    <mergeCell ref="I58:AA58"/>
    <mergeCell ref="C71:G71"/>
    <mergeCell ref="I71:AA71"/>
    <mergeCell ref="AC71:AP71"/>
    <mergeCell ref="C84:G84"/>
    <mergeCell ref="I84:AA84"/>
    <mergeCell ref="AC84:AP84"/>
    <mergeCell ref="C123:G123"/>
    <mergeCell ref="I123:AA123"/>
    <mergeCell ref="AC123:AP123"/>
    <mergeCell ref="C97:G97"/>
    <mergeCell ref="I97:AA97"/>
    <mergeCell ref="AC97:AP97"/>
    <mergeCell ref="C110:G110"/>
    <mergeCell ref="I110:AA110"/>
    <mergeCell ref="AC110:AP110"/>
  </mergeCells>
  <conditionalFormatting sqref="K1:L1048576">
    <cfRule type="cellIs" dxfId="2" priority="2" operator="lessThan">
      <formula>0</formula>
    </cfRule>
  </conditionalFormatting>
  <conditionalFormatting sqref="W1:W1048576">
    <cfRule type="cellIs" dxfId="1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3AA5-9225-4F24-B2E7-AF0653CCAB8E}">
  <sheetPr>
    <tabColor theme="4" tint="0.59999389629810485"/>
  </sheetPr>
  <dimension ref="A1:BY133"/>
  <sheetViews>
    <sheetView topLeftCell="A73" zoomScale="85" zoomScaleNormal="85" workbookViewId="0">
      <selection activeCell="E22" sqref="E22:G22"/>
    </sheetView>
  </sheetViews>
  <sheetFormatPr defaultRowHeight="15" x14ac:dyDescent="0.25"/>
  <cols>
    <col min="1" max="1" width="19" customWidth="1"/>
    <col min="2" max="2" width="4.85546875" customWidth="1"/>
    <col min="3" max="3" width="22.7109375" customWidth="1"/>
    <col min="4" max="18" width="13.42578125" customWidth="1"/>
    <col min="20" max="20" width="12.28515625" bestFit="1" customWidth="1"/>
    <col min="21" max="21" width="11.28515625" bestFit="1" customWidth="1"/>
    <col min="23" max="23" width="12.85546875" bestFit="1" customWidth="1"/>
    <col min="24" max="24" width="10.140625" customWidth="1"/>
    <col min="25" max="25" width="9.28515625" bestFit="1" customWidth="1"/>
    <col min="26" max="26" width="9.7109375" customWidth="1"/>
    <col min="27" max="27" width="13.42578125" bestFit="1" customWidth="1"/>
    <col min="29" max="29" width="9.28515625" customWidth="1"/>
    <col min="34" max="34" width="10" customWidth="1"/>
  </cols>
  <sheetData>
    <row r="1" spans="1:77" ht="15.75" thickBot="1" x14ac:dyDescent="0.3"/>
    <row r="2" spans="1:77" ht="30.75" thickBot="1" x14ac:dyDescent="0.3">
      <c r="C2" s="133" t="s">
        <v>1263</v>
      </c>
      <c r="D2" s="246" t="s">
        <v>1153</v>
      </c>
      <c r="E2" s="247" t="s">
        <v>1154</v>
      </c>
      <c r="F2" s="248" t="s">
        <v>1155</v>
      </c>
      <c r="G2" s="246" t="s">
        <v>1156</v>
      </c>
      <c r="H2" s="247" t="s">
        <v>1157</v>
      </c>
      <c r="I2" s="248" t="s">
        <v>1158</v>
      </c>
      <c r="J2" s="246" t="s">
        <v>1159</v>
      </c>
      <c r="K2" s="247" t="s">
        <v>1160</v>
      </c>
      <c r="L2" s="248" t="s">
        <v>1161</v>
      </c>
      <c r="M2" s="246" t="s">
        <v>1186</v>
      </c>
      <c r="N2" s="247" t="s">
        <v>1188</v>
      </c>
      <c r="O2" s="247" t="s">
        <v>1190</v>
      </c>
      <c r="P2" s="246" t="s">
        <v>1192</v>
      </c>
      <c r="Q2" s="247" t="s">
        <v>1194</v>
      </c>
      <c r="R2" s="248" t="s">
        <v>1196</v>
      </c>
      <c r="S2" s="11"/>
      <c r="T2" s="14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</row>
    <row r="3" spans="1:77" x14ac:dyDescent="0.25">
      <c r="C3" s="175" t="s">
        <v>1268</v>
      </c>
      <c r="D3" s="155" t="str">
        <f>VLOOKUP(D2,'All data'!$F:$G,2,FALSE)</f>
        <v>OTS-S50-P0-Day20</v>
      </c>
      <c r="E3" s="156"/>
      <c r="F3" s="157"/>
      <c r="G3" s="155" t="str">
        <f>VLOOKUP(G2,'All data'!$F:$G,2,FALSE)</f>
        <v>OTS-S50-P10-Day20</v>
      </c>
      <c r="H3" s="156"/>
      <c r="I3" s="157"/>
      <c r="J3" s="155" t="str">
        <f>VLOOKUP(J2,'All data'!$F:$G,2,FALSE)</f>
        <v>OTS-S50-P50-Day20</v>
      </c>
      <c r="K3" s="156"/>
      <c r="L3" s="157"/>
      <c r="M3" s="155" t="str">
        <f>VLOOKUP(M2,'All data'!$F:$G,2,FALSE)</f>
        <v>OTS-S50-P100-Day20</v>
      </c>
      <c r="N3" s="156"/>
      <c r="O3" s="156"/>
      <c r="P3" s="155" t="str">
        <f>VLOOKUP(P2,'All data'!$F:$G,2,FALSE)</f>
        <v>OTS-S50-P500-Day20</v>
      </c>
      <c r="Q3" s="156"/>
      <c r="R3" s="157"/>
      <c r="S3" s="11"/>
      <c r="T3" s="14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</row>
    <row r="4" spans="1:77" x14ac:dyDescent="0.25">
      <c r="C4" s="142" t="s">
        <v>244</v>
      </c>
      <c r="D4" s="172" t="str">
        <f>VLOOKUP(D2,'All data'!$F:$M,4,FALSE)</f>
        <v>OTS</v>
      </c>
      <c r="E4" s="173" t="str">
        <f>VLOOKUP(E2,'All data'!$F:$M,4,FALSE)</f>
        <v>OTS</v>
      </c>
      <c r="F4" s="174" t="str">
        <f>VLOOKUP(F2,'All data'!$F:$M,4,FALSE)</f>
        <v>OTS</v>
      </c>
      <c r="G4" s="172" t="str">
        <f>VLOOKUP(G2,'All data'!$F:$M,4,FALSE)</f>
        <v>OTS</v>
      </c>
      <c r="H4" s="173" t="str">
        <f>VLOOKUP(H2,'All data'!$F:$M,4,FALSE)</f>
        <v>OTS</v>
      </c>
      <c r="I4" s="174" t="str">
        <f>VLOOKUP(I2,'All data'!$F:$M,4,FALSE)</f>
        <v>OTS</v>
      </c>
      <c r="J4" s="172" t="str">
        <f>VLOOKUP(J2,'All data'!$F:$M,4,FALSE)</f>
        <v>OTS</v>
      </c>
      <c r="K4" s="173" t="str">
        <f>VLOOKUP(K2,'All data'!$F:$M,4,FALSE)</f>
        <v>OTS</v>
      </c>
      <c r="L4" s="174" t="str">
        <f>VLOOKUP(L2,'All data'!$F:$M,4,FALSE)</f>
        <v>OTS</v>
      </c>
      <c r="M4" s="172" t="str">
        <f>VLOOKUP(M2,'All data'!$F:$M,4,FALSE)</f>
        <v>OTS</v>
      </c>
      <c r="N4" s="173" t="str">
        <f>VLOOKUP(N2,'All data'!$F:$M,4,FALSE)</f>
        <v>OTS</v>
      </c>
      <c r="O4" s="173" t="str">
        <f>VLOOKUP(O2,'All data'!$F:$M,4,FALSE)</f>
        <v>OTS</v>
      </c>
      <c r="P4" s="172" t="str">
        <f>VLOOKUP(P2,'All data'!$F:$M,4,FALSE)</f>
        <v>OTS</v>
      </c>
      <c r="Q4" s="173" t="str">
        <f>VLOOKUP(Q2,'All data'!$F:$M,4,FALSE)</f>
        <v>OTS</v>
      </c>
      <c r="R4" s="174" t="str">
        <f>VLOOKUP(R2,'All data'!$F:$M,4,FALSE)</f>
        <v>OTS</v>
      </c>
      <c r="T4" s="141"/>
    </row>
    <row r="5" spans="1:77" x14ac:dyDescent="0.25">
      <c r="C5" s="142" t="s">
        <v>240</v>
      </c>
      <c r="D5" s="172">
        <f>VLOOKUP(D2,'All data'!$F:$M,5,FALSE)</f>
        <v>50</v>
      </c>
      <c r="E5" s="173">
        <f>VLOOKUP(E2,'All data'!$F:$M,5,FALSE)</f>
        <v>50</v>
      </c>
      <c r="F5" s="174">
        <f>VLOOKUP(F2,'All data'!$F:$M,5,FALSE)</f>
        <v>50</v>
      </c>
      <c r="G5" s="172">
        <f>VLOOKUP(G2,'All data'!$F:$M,5,FALSE)</f>
        <v>50</v>
      </c>
      <c r="H5" s="173">
        <f>VLOOKUP(H2,'All data'!$F:$M,5,FALSE)</f>
        <v>50</v>
      </c>
      <c r="I5" s="174">
        <f>VLOOKUP(I2,'All data'!$F:$M,5,FALSE)</f>
        <v>50</v>
      </c>
      <c r="J5" s="172">
        <f>VLOOKUP(J2,'All data'!$F:$M,5,FALSE)</f>
        <v>50</v>
      </c>
      <c r="K5" s="173">
        <f>VLOOKUP(K2,'All data'!$F:$M,5,FALSE)</f>
        <v>50</v>
      </c>
      <c r="L5" s="174">
        <f>VLOOKUP(L2,'All data'!$F:$M,5,FALSE)</f>
        <v>50</v>
      </c>
      <c r="M5" s="172">
        <f>VLOOKUP(M2,'All data'!$F:$M,5,FALSE)</f>
        <v>50</v>
      </c>
      <c r="N5" s="173">
        <f>VLOOKUP(N2,'All data'!$F:$M,5,FALSE)</f>
        <v>50</v>
      </c>
      <c r="O5" s="173">
        <f>VLOOKUP(O2,'All data'!$F:$M,5,FALSE)</f>
        <v>50</v>
      </c>
      <c r="P5" s="172">
        <f>VLOOKUP(P2,'All data'!$F:$M,5,FALSE)</f>
        <v>50</v>
      </c>
      <c r="Q5" s="173">
        <f>VLOOKUP(Q2,'All data'!$F:$M,5,FALSE)</f>
        <v>50</v>
      </c>
      <c r="R5" s="174">
        <f>VLOOKUP(R2,'All data'!$F:$M,5,FALSE)</f>
        <v>50</v>
      </c>
      <c r="T5" s="141"/>
    </row>
    <row r="6" spans="1:77" ht="15.75" thickBot="1" x14ac:dyDescent="0.3">
      <c r="C6" s="143" t="s">
        <v>1277</v>
      </c>
      <c r="D6" s="179">
        <f>VLOOKUP(D2,'All data'!$F:$M,6,FALSE)</f>
        <v>0</v>
      </c>
      <c r="E6" s="180">
        <f>VLOOKUP(E2,'All data'!$F:$M,6,FALSE)</f>
        <v>0</v>
      </c>
      <c r="F6" s="181">
        <f>VLOOKUP(F2,'All data'!$F:$M,6,FALSE)</f>
        <v>0</v>
      </c>
      <c r="G6" s="182">
        <f>VLOOKUP(G2,'All data'!$F:$M,6,FALSE)</f>
        <v>10</v>
      </c>
      <c r="H6" s="183">
        <f>VLOOKUP(H2,'All data'!$F:$M,6,FALSE)</f>
        <v>10</v>
      </c>
      <c r="I6" s="184">
        <f>VLOOKUP(I2,'All data'!$F:$M,6,FALSE)</f>
        <v>10</v>
      </c>
      <c r="J6" s="185">
        <f>VLOOKUP(J2,'All data'!$F:$M,6,FALSE)</f>
        <v>50</v>
      </c>
      <c r="K6" s="186">
        <f>VLOOKUP(K2,'All data'!$F:$M,6,FALSE)</f>
        <v>50</v>
      </c>
      <c r="L6" s="187">
        <f>VLOOKUP(L2,'All data'!$F:$M,6,FALSE)</f>
        <v>50</v>
      </c>
      <c r="M6" s="188">
        <f>VLOOKUP(M2,'All data'!$F:$M,6,FALSE)</f>
        <v>100</v>
      </c>
      <c r="N6" s="189">
        <f>VLOOKUP(N2,'All data'!$F:$M,6,FALSE)</f>
        <v>100</v>
      </c>
      <c r="O6" s="189">
        <f>VLOOKUP(O2,'All data'!$F:$M,6,FALSE)</f>
        <v>100</v>
      </c>
      <c r="P6" s="190">
        <f>VLOOKUP(P2,'All data'!$F:$M,6,FALSE)</f>
        <v>500</v>
      </c>
      <c r="Q6" s="191">
        <f>VLOOKUP(Q2,'All data'!$F:$M,6,FALSE)</f>
        <v>500</v>
      </c>
      <c r="R6" s="192">
        <f>VLOOKUP(R2,'All data'!$F:$M,6,FALSE)</f>
        <v>500</v>
      </c>
      <c r="T6" s="141"/>
    </row>
    <row r="7" spans="1:77" ht="19.5" thickBot="1" x14ac:dyDescent="0.35">
      <c r="C7" s="265" t="s">
        <v>1267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130"/>
      <c r="T7" s="141"/>
    </row>
    <row r="8" spans="1:77" x14ac:dyDescent="0.25">
      <c r="A8" s="266" t="s">
        <v>1267</v>
      </c>
      <c r="C8" s="144" t="s">
        <v>22</v>
      </c>
      <c r="D8" s="171">
        <f>VLOOKUP(D$2&amp;":"&amp;$C8,'All data'!$E:$P,12,FALSE)</f>
        <v>0</v>
      </c>
      <c r="E8" s="135">
        <f>VLOOKUP(E$2&amp;":"&amp;$C8,'All data'!$E:$P,12,FALSE)</f>
        <v>0</v>
      </c>
      <c r="F8" s="136">
        <f>VLOOKUP(F$2&amp;":"&amp;$C8,'All data'!$E:$P,12,FALSE)</f>
        <v>0</v>
      </c>
      <c r="G8" s="171" t="str">
        <f>VLOOKUP(G$2&amp;":"&amp;$C8,'All data'!$E:$P,12,FALSE)</f>
        <v>16300</v>
      </c>
      <c r="H8" s="135" t="str">
        <f>VLOOKUP(H$2&amp;":"&amp;$C8,'All data'!$E:$P,12,FALSE)</f>
        <v>21300</v>
      </c>
      <c r="I8" s="136" t="str">
        <f>VLOOKUP(I$2&amp;":"&amp;$C8,'All data'!$E:$P,12,FALSE)</f>
        <v>14400</v>
      </c>
      <c r="J8" s="171" t="str">
        <f>VLOOKUP(J$2&amp;":"&amp;$C8,'All data'!$E:$P,12,FALSE)</f>
        <v>64300</v>
      </c>
      <c r="K8" s="135" t="str">
        <f>VLOOKUP(K$2&amp;":"&amp;$C8,'All data'!$E:$P,12,FALSE)</f>
        <v>59100</v>
      </c>
      <c r="L8" s="136" t="str">
        <f>VLOOKUP(L$2&amp;":"&amp;$C8,'All data'!$E:$P,12,FALSE)</f>
        <v>53600</v>
      </c>
      <c r="M8" s="171" t="str">
        <f>VLOOKUP(M$2&amp;":"&amp;$C8,'All data'!$E:$P,12,FALSE)</f>
        <v>145000</v>
      </c>
      <c r="N8" s="135" t="str">
        <f>VLOOKUP(N$2&amp;":"&amp;$C8,'All data'!$E:$P,12,FALSE)</f>
        <v>131000</v>
      </c>
      <c r="O8" s="136" t="str">
        <f>VLOOKUP(O$2&amp;":"&amp;$C8,'All data'!$E:$P,12,FALSE)</f>
        <v>140000</v>
      </c>
      <c r="P8" s="135" t="str">
        <f>VLOOKUP(P$2&amp;":"&amp;$C8,'All data'!$E:$P,12,FALSE)</f>
        <v>767000</v>
      </c>
      <c r="Q8" s="135" t="str">
        <f>VLOOKUP(Q$2&amp;":"&amp;$C8,'All data'!$E:$P,12,FALSE)</f>
        <v>790000</v>
      </c>
      <c r="R8" s="136" t="str">
        <f>VLOOKUP(R$2&amp;":"&amp;$C8,'All data'!$E:$P,12,FALSE)</f>
        <v>801000</v>
      </c>
      <c r="T8" s="141"/>
    </row>
    <row r="9" spans="1:77" x14ac:dyDescent="0.25">
      <c r="A9" s="266"/>
      <c r="C9" s="145" t="s">
        <v>23</v>
      </c>
      <c r="D9" s="160">
        <f>VLOOKUP(D$2&amp;":"&amp;$C9,'All data'!$E:$P,12,FALSE)</f>
        <v>0</v>
      </c>
      <c r="E9" s="137">
        <f>VLOOKUP(E$2&amp;":"&amp;$C9,'All data'!$E:$P,12,FALSE)</f>
        <v>0</v>
      </c>
      <c r="F9" s="138">
        <f>VLOOKUP(F$2&amp;":"&amp;$C9,'All data'!$E:$P,12,FALSE)</f>
        <v>0</v>
      </c>
      <c r="G9" s="160" t="str">
        <f>VLOOKUP(G$2&amp;":"&amp;$C9,'All data'!$E:$P,12,FALSE)</f>
        <v>9260</v>
      </c>
      <c r="H9" s="137" t="str">
        <f>VLOOKUP(H$2&amp;":"&amp;$C9,'All data'!$E:$P,12,FALSE)</f>
        <v>10800</v>
      </c>
      <c r="I9" s="138" t="str">
        <f>VLOOKUP(I$2&amp;":"&amp;$C9,'All data'!$E:$P,12,FALSE)</f>
        <v>8600</v>
      </c>
      <c r="J9" s="160" t="str">
        <f>VLOOKUP(J$2&amp;":"&amp;$C9,'All data'!$E:$P,12,FALSE)</f>
        <v>36000</v>
      </c>
      <c r="K9" s="137" t="str">
        <f>VLOOKUP(K$2&amp;":"&amp;$C9,'All data'!$E:$P,12,FALSE)</f>
        <v>33600</v>
      </c>
      <c r="L9" s="138" t="str">
        <f>VLOOKUP(L$2&amp;":"&amp;$C9,'All data'!$E:$P,12,FALSE)</f>
        <v>31500</v>
      </c>
      <c r="M9" s="160" t="str">
        <f>VLOOKUP(M$2&amp;":"&amp;$C9,'All data'!$E:$P,12,FALSE)</f>
        <v>72700</v>
      </c>
      <c r="N9" s="137" t="str">
        <f>VLOOKUP(N$2&amp;":"&amp;$C9,'All data'!$E:$P,12,FALSE)</f>
        <v>77000</v>
      </c>
      <c r="O9" s="138" t="str">
        <f>VLOOKUP(O$2&amp;":"&amp;$C9,'All data'!$E:$P,12,FALSE)</f>
        <v>80100</v>
      </c>
      <c r="P9" s="137" t="str">
        <f>VLOOKUP(P$2&amp;":"&amp;$C9,'All data'!$E:$P,12,FALSE)</f>
        <v>407000</v>
      </c>
      <c r="Q9" s="137" t="str">
        <f>VLOOKUP(Q$2&amp;":"&amp;$C9,'All data'!$E:$P,12,FALSE)</f>
        <v>433000</v>
      </c>
      <c r="R9" s="138" t="str">
        <f>VLOOKUP(R$2&amp;":"&amp;$C9,'All data'!$E:$P,12,FALSE)</f>
        <v>429000</v>
      </c>
      <c r="T9" s="141"/>
    </row>
    <row r="10" spans="1:77" x14ac:dyDescent="0.25">
      <c r="A10" s="266"/>
      <c r="C10" s="145" t="s">
        <v>24</v>
      </c>
      <c r="D10" s="160">
        <f>VLOOKUP(D$2&amp;":"&amp;$C10,'All data'!$E:$P,12,FALSE)</f>
        <v>0</v>
      </c>
      <c r="E10" s="137">
        <f>VLOOKUP(E$2&amp;":"&amp;$C10,'All data'!$E:$P,12,FALSE)</f>
        <v>0</v>
      </c>
      <c r="F10" s="138">
        <f>VLOOKUP(F$2&amp;":"&amp;$C10,'All data'!$E:$P,12,FALSE)</f>
        <v>0</v>
      </c>
      <c r="G10" s="160" t="str">
        <f>VLOOKUP(G$2&amp;":"&amp;$C10,'All data'!$E:$P,12,FALSE)</f>
        <v>7300</v>
      </c>
      <c r="H10" s="137" t="str">
        <f>VLOOKUP(H$2&amp;":"&amp;$C10,'All data'!$E:$P,12,FALSE)</f>
        <v>10900</v>
      </c>
      <c r="I10" s="138" t="str">
        <f>VLOOKUP(I$2&amp;":"&amp;$C10,'All data'!$E:$P,12,FALSE)</f>
        <v>6810</v>
      </c>
      <c r="J10" s="160" t="str">
        <f>VLOOKUP(J$2&amp;":"&amp;$C10,'All data'!$E:$P,12,FALSE)</f>
        <v>27100</v>
      </c>
      <c r="K10" s="137" t="str">
        <f>VLOOKUP(K$2&amp;":"&amp;$C10,'All data'!$E:$P,12,FALSE)</f>
        <v>27400</v>
      </c>
      <c r="L10" s="138" t="str">
        <f>VLOOKUP(L$2&amp;":"&amp;$C10,'All data'!$E:$P,12,FALSE)</f>
        <v>25800</v>
      </c>
      <c r="M10" s="160" t="str">
        <f>VLOOKUP(M$2&amp;":"&amp;$C10,'All data'!$E:$P,12,FALSE)</f>
        <v>61400</v>
      </c>
      <c r="N10" s="137" t="str">
        <f>VLOOKUP(N$2&amp;":"&amp;$C10,'All data'!$E:$P,12,FALSE)</f>
        <v>58100</v>
      </c>
      <c r="O10" s="138" t="str">
        <f>VLOOKUP(O$2&amp;":"&amp;$C10,'All data'!$E:$P,12,FALSE)</f>
        <v>67200</v>
      </c>
      <c r="P10" s="137" t="str">
        <f>VLOOKUP(P$2&amp;":"&amp;$C10,'All data'!$E:$P,12,FALSE)</f>
        <v>333000</v>
      </c>
      <c r="Q10" s="137" t="str">
        <f>VLOOKUP(Q$2&amp;":"&amp;$C10,'All data'!$E:$P,12,FALSE)</f>
        <v>317000</v>
      </c>
      <c r="R10" s="138" t="str">
        <f>VLOOKUP(R$2&amp;":"&amp;$C10,'All data'!$E:$P,12,FALSE)</f>
        <v>367000</v>
      </c>
      <c r="T10" s="141"/>
    </row>
    <row r="11" spans="1:77" x14ac:dyDescent="0.25">
      <c r="A11" s="266"/>
      <c r="C11" s="145" t="s">
        <v>25</v>
      </c>
      <c r="D11" s="160">
        <f>VLOOKUP(D$2&amp;":"&amp;$C11,'All data'!$E:$P,12,FALSE)</f>
        <v>0</v>
      </c>
      <c r="E11" s="137">
        <f>VLOOKUP(E$2&amp;":"&amp;$C11,'All data'!$E:$P,12,FALSE)</f>
        <v>0</v>
      </c>
      <c r="F11" s="138">
        <f>VLOOKUP(F$2&amp;":"&amp;$C11,'All data'!$E:$P,12,FALSE)</f>
        <v>0</v>
      </c>
      <c r="G11" s="160" t="str">
        <f>VLOOKUP(G$2&amp;":"&amp;$C11,'All data'!$E:$P,12,FALSE)</f>
        <v>25000</v>
      </c>
      <c r="H11" s="137" t="str">
        <f>VLOOKUP(H$2&amp;":"&amp;$C11,'All data'!$E:$P,12,FALSE)</f>
        <v>32100</v>
      </c>
      <c r="I11" s="138" t="str">
        <f>VLOOKUP(I$2&amp;":"&amp;$C11,'All data'!$E:$P,12,FALSE)</f>
        <v>21600</v>
      </c>
      <c r="J11" s="160" t="str">
        <f>VLOOKUP(J$2&amp;":"&amp;$C11,'All data'!$E:$P,12,FALSE)</f>
        <v>75900</v>
      </c>
      <c r="K11" s="137" t="str">
        <f>VLOOKUP(K$2&amp;":"&amp;$C11,'All data'!$E:$P,12,FALSE)</f>
        <v>73100</v>
      </c>
      <c r="L11" s="138" t="str">
        <f>VLOOKUP(L$2&amp;":"&amp;$C11,'All data'!$E:$P,12,FALSE)</f>
        <v>78900</v>
      </c>
      <c r="M11" s="160" t="str">
        <f>VLOOKUP(M$2&amp;":"&amp;$C11,'All data'!$E:$P,12,FALSE)</f>
        <v>165000</v>
      </c>
      <c r="N11" s="137" t="str">
        <f>VLOOKUP(N$2&amp;":"&amp;$C11,'All data'!$E:$P,12,FALSE)</f>
        <v>143000</v>
      </c>
      <c r="O11" s="138" t="str">
        <f>VLOOKUP(O$2&amp;":"&amp;$C11,'All data'!$E:$P,12,FALSE)</f>
        <v>178000</v>
      </c>
      <c r="P11" s="137" t="str">
        <f>VLOOKUP(P$2&amp;":"&amp;$C11,'All data'!$E:$P,12,FALSE)</f>
        <v>888000</v>
      </c>
      <c r="Q11" s="137" t="str">
        <f>VLOOKUP(Q$2&amp;":"&amp;$C11,'All data'!$E:$P,12,FALSE)</f>
        <v>986000</v>
      </c>
      <c r="R11" s="138" t="str">
        <f>VLOOKUP(R$2&amp;":"&amp;$C11,'All data'!$E:$P,12,FALSE)</f>
        <v>1160000</v>
      </c>
      <c r="T11" s="141"/>
    </row>
    <row r="12" spans="1:77" x14ac:dyDescent="0.25">
      <c r="A12" s="266"/>
      <c r="C12" s="145" t="s">
        <v>26</v>
      </c>
      <c r="D12" s="160">
        <f>VLOOKUP(D$2&amp;":"&amp;$C12,'All data'!$E:$P,12,FALSE)</f>
        <v>0</v>
      </c>
      <c r="E12" s="137">
        <f>VLOOKUP(E$2&amp;":"&amp;$C12,'All data'!$E:$P,12,FALSE)</f>
        <v>0</v>
      </c>
      <c r="F12" s="138">
        <f>VLOOKUP(F$2&amp;":"&amp;$C12,'All data'!$E:$P,12,FALSE)</f>
        <v>0</v>
      </c>
      <c r="G12" s="160" t="str">
        <f>VLOOKUP(G$2&amp;":"&amp;$C12,'All data'!$E:$P,12,FALSE)</f>
        <v>9870</v>
      </c>
      <c r="H12" s="137" t="str">
        <f>VLOOKUP(H$2&amp;":"&amp;$C12,'All data'!$E:$P,12,FALSE)</f>
        <v>12900</v>
      </c>
      <c r="I12" s="138" t="str">
        <f>VLOOKUP(I$2&amp;":"&amp;$C12,'All data'!$E:$P,12,FALSE)</f>
        <v>8680</v>
      </c>
      <c r="J12" s="160" t="str">
        <f>VLOOKUP(J$2&amp;":"&amp;$C12,'All data'!$E:$P,12,FALSE)</f>
        <v>35000</v>
      </c>
      <c r="K12" s="137" t="str">
        <f>VLOOKUP(K$2&amp;":"&amp;$C12,'All data'!$E:$P,12,FALSE)</f>
        <v>31600</v>
      </c>
      <c r="L12" s="138" t="str">
        <f>VLOOKUP(L$2&amp;":"&amp;$C12,'All data'!$E:$P,12,FALSE)</f>
        <v>29600</v>
      </c>
      <c r="M12" s="160" t="str">
        <f>VLOOKUP(M$2&amp;":"&amp;$C12,'All data'!$E:$P,12,FALSE)</f>
        <v>79000</v>
      </c>
      <c r="N12" s="137" t="str">
        <f>VLOOKUP(N$2&amp;":"&amp;$C12,'All data'!$E:$P,12,FALSE)</f>
        <v>76300</v>
      </c>
      <c r="O12" s="138" t="str">
        <f>VLOOKUP(O$2&amp;":"&amp;$C12,'All data'!$E:$P,12,FALSE)</f>
        <v>78400</v>
      </c>
      <c r="P12" s="137" t="str">
        <f>VLOOKUP(P$2&amp;":"&amp;$C12,'All data'!$E:$P,12,FALSE)</f>
        <v>380000</v>
      </c>
      <c r="Q12" s="137" t="str">
        <f>VLOOKUP(Q$2&amp;":"&amp;$C12,'All data'!$E:$P,12,FALSE)</f>
        <v>472000</v>
      </c>
      <c r="R12" s="138" t="str">
        <f>VLOOKUP(R$2&amp;":"&amp;$C12,'All data'!$E:$P,12,FALSE)</f>
        <v>464000</v>
      </c>
      <c r="T12" s="141"/>
    </row>
    <row r="13" spans="1:77" ht="15.75" thickBot="1" x14ac:dyDescent="0.3">
      <c r="A13" s="266"/>
      <c r="C13" s="146" t="s">
        <v>27</v>
      </c>
      <c r="D13" s="161">
        <f>VLOOKUP(D$2&amp;":"&amp;$C13,'All data'!$E:$P,12,FALSE)</f>
        <v>0</v>
      </c>
      <c r="E13" s="139">
        <f>VLOOKUP(E$2&amp;":"&amp;$C13,'All data'!$E:$P,12,FALSE)</f>
        <v>0</v>
      </c>
      <c r="F13" s="140">
        <f>VLOOKUP(F$2&amp;":"&amp;$C13,'All data'!$E:$P,12,FALSE)</f>
        <v>0</v>
      </c>
      <c r="G13" s="161" t="str">
        <f>VLOOKUP(G$2&amp;":"&amp;$C13,'All data'!$E:$P,12,FALSE)</f>
        <v>8150</v>
      </c>
      <c r="H13" s="139" t="str">
        <f>VLOOKUP(H$2&amp;":"&amp;$C13,'All data'!$E:$P,12,FALSE)</f>
        <v>11100</v>
      </c>
      <c r="I13" s="140" t="str">
        <f>VLOOKUP(I$2&amp;":"&amp;$C13,'All data'!$E:$P,12,FALSE)</f>
        <v>7690</v>
      </c>
      <c r="J13" s="161" t="str">
        <f>VLOOKUP(J$2&amp;":"&amp;$C13,'All data'!$E:$P,12,FALSE)</f>
        <v>43500</v>
      </c>
      <c r="K13" s="139" t="str">
        <f>VLOOKUP(K$2&amp;":"&amp;$C13,'All data'!$E:$P,12,FALSE)</f>
        <v>30800</v>
      </c>
      <c r="L13" s="140" t="str">
        <f>VLOOKUP(L$2&amp;":"&amp;$C13,'All data'!$E:$P,12,FALSE)</f>
        <v>32300</v>
      </c>
      <c r="M13" s="161" t="str">
        <f>VLOOKUP(M$2&amp;":"&amp;$C13,'All data'!$E:$P,12,FALSE)</f>
        <v>86200</v>
      </c>
      <c r="N13" s="139" t="str">
        <f>VLOOKUP(N$2&amp;":"&amp;$C13,'All data'!$E:$P,12,FALSE)</f>
        <v>118000</v>
      </c>
      <c r="O13" s="140" t="str">
        <f>VLOOKUP(O$2&amp;":"&amp;$C13,'All data'!$E:$P,12,FALSE)</f>
        <v>92100</v>
      </c>
      <c r="P13" s="139" t="str">
        <f>VLOOKUP(P$2&amp;":"&amp;$C13,'All data'!$E:$P,12,FALSE)</f>
        <v>459000</v>
      </c>
      <c r="Q13" s="139" t="str">
        <f>VLOOKUP(Q$2&amp;":"&amp;$C13,'All data'!$E:$P,12,FALSE)</f>
        <v>446000</v>
      </c>
      <c r="R13" s="140" t="str">
        <f>VLOOKUP(R$2&amp;":"&amp;$C13,'All data'!$E:$P,12,FALSE)</f>
        <v>480000</v>
      </c>
      <c r="T13" s="141"/>
    </row>
    <row r="14" spans="1:77" ht="19.5" thickBot="1" x14ac:dyDescent="0.35">
      <c r="A14" s="154"/>
      <c r="C14" s="267" t="s">
        <v>1276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T14" s="141"/>
    </row>
    <row r="15" spans="1:77" ht="15" customHeight="1" x14ac:dyDescent="0.25">
      <c r="A15" s="266" t="s">
        <v>1267</v>
      </c>
      <c r="C15" s="147" t="s">
        <v>22</v>
      </c>
      <c r="D15" s="171">
        <f>VALUE(D8)</f>
        <v>0</v>
      </c>
      <c r="E15" s="135">
        <f t="shared" ref="E15:R20" si="0">VALUE(E8)</f>
        <v>0</v>
      </c>
      <c r="F15" s="136">
        <f t="shared" si="0"/>
        <v>0</v>
      </c>
      <c r="G15" s="171">
        <f t="shared" si="0"/>
        <v>16300</v>
      </c>
      <c r="H15" s="135">
        <f t="shared" si="0"/>
        <v>21300</v>
      </c>
      <c r="I15" s="136">
        <f t="shared" si="0"/>
        <v>14400</v>
      </c>
      <c r="J15" s="171">
        <f t="shared" si="0"/>
        <v>64300</v>
      </c>
      <c r="K15" s="135">
        <f t="shared" si="0"/>
        <v>59100</v>
      </c>
      <c r="L15" s="136">
        <f t="shared" si="0"/>
        <v>53600</v>
      </c>
      <c r="M15" s="171">
        <f t="shared" si="0"/>
        <v>145000</v>
      </c>
      <c r="N15" s="135">
        <f t="shared" si="0"/>
        <v>131000</v>
      </c>
      <c r="O15" s="136">
        <f t="shared" si="0"/>
        <v>140000</v>
      </c>
      <c r="P15" s="135">
        <f t="shared" si="0"/>
        <v>767000</v>
      </c>
      <c r="Q15" s="135">
        <f t="shared" si="0"/>
        <v>790000</v>
      </c>
      <c r="R15" s="136">
        <f t="shared" si="0"/>
        <v>801000</v>
      </c>
      <c r="T15" s="141"/>
    </row>
    <row r="16" spans="1:77" x14ac:dyDescent="0.25">
      <c r="A16" s="266"/>
      <c r="C16" s="145" t="s">
        <v>23</v>
      </c>
      <c r="D16" s="160">
        <f t="shared" ref="D16:O20" si="1">VALUE(D9)</f>
        <v>0</v>
      </c>
      <c r="E16" s="137">
        <f t="shared" si="1"/>
        <v>0</v>
      </c>
      <c r="F16" s="138">
        <f t="shared" si="1"/>
        <v>0</v>
      </c>
      <c r="G16" s="160">
        <f t="shared" si="1"/>
        <v>9260</v>
      </c>
      <c r="H16" s="137">
        <f t="shared" si="1"/>
        <v>10800</v>
      </c>
      <c r="I16" s="138">
        <f t="shared" si="1"/>
        <v>8600</v>
      </c>
      <c r="J16" s="160">
        <f t="shared" si="1"/>
        <v>36000</v>
      </c>
      <c r="K16" s="137">
        <f t="shared" si="1"/>
        <v>33600</v>
      </c>
      <c r="L16" s="138">
        <f t="shared" si="1"/>
        <v>31500</v>
      </c>
      <c r="M16" s="160">
        <f t="shared" si="1"/>
        <v>72700</v>
      </c>
      <c r="N16" s="137">
        <f t="shared" si="1"/>
        <v>77000</v>
      </c>
      <c r="O16" s="138">
        <f t="shared" si="1"/>
        <v>80100</v>
      </c>
      <c r="P16" s="137">
        <f t="shared" si="0"/>
        <v>407000</v>
      </c>
      <c r="Q16" s="137">
        <f t="shared" si="0"/>
        <v>433000</v>
      </c>
      <c r="R16" s="138">
        <f t="shared" si="0"/>
        <v>429000</v>
      </c>
    </row>
    <row r="17" spans="1:18" x14ac:dyDescent="0.25">
      <c r="A17" s="266"/>
      <c r="C17" s="145" t="s">
        <v>24</v>
      </c>
      <c r="D17" s="160">
        <f t="shared" si="1"/>
        <v>0</v>
      </c>
      <c r="E17" s="137">
        <f t="shared" si="1"/>
        <v>0</v>
      </c>
      <c r="F17" s="138">
        <f t="shared" si="1"/>
        <v>0</v>
      </c>
      <c r="G17" s="160">
        <f t="shared" si="1"/>
        <v>7300</v>
      </c>
      <c r="H17" s="137">
        <f t="shared" si="1"/>
        <v>10900</v>
      </c>
      <c r="I17" s="138">
        <f t="shared" si="1"/>
        <v>6810</v>
      </c>
      <c r="J17" s="160">
        <f t="shared" si="1"/>
        <v>27100</v>
      </c>
      <c r="K17" s="137">
        <f t="shared" si="1"/>
        <v>27400</v>
      </c>
      <c r="L17" s="138">
        <f t="shared" si="1"/>
        <v>25800</v>
      </c>
      <c r="M17" s="160">
        <f t="shared" si="1"/>
        <v>61400</v>
      </c>
      <c r="N17" s="137">
        <f t="shared" si="1"/>
        <v>58100</v>
      </c>
      <c r="O17" s="138">
        <f t="shared" si="1"/>
        <v>67200</v>
      </c>
      <c r="P17" s="137">
        <f t="shared" si="0"/>
        <v>333000</v>
      </c>
      <c r="Q17" s="137">
        <f t="shared" si="0"/>
        <v>317000</v>
      </c>
      <c r="R17" s="138">
        <f t="shared" si="0"/>
        <v>367000</v>
      </c>
    </row>
    <row r="18" spans="1:18" x14ac:dyDescent="0.25">
      <c r="A18" s="266"/>
      <c r="C18" s="145" t="s">
        <v>25</v>
      </c>
      <c r="D18" s="160">
        <f t="shared" si="1"/>
        <v>0</v>
      </c>
      <c r="E18" s="137">
        <f t="shared" si="1"/>
        <v>0</v>
      </c>
      <c r="F18" s="138">
        <f t="shared" si="1"/>
        <v>0</v>
      </c>
      <c r="G18" s="160">
        <f t="shared" si="1"/>
        <v>25000</v>
      </c>
      <c r="H18" s="137">
        <f t="shared" si="1"/>
        <v>32100</v>
      </c>
      <c r="I18" s="138">
        <f t="shared" si="1"/>
        <v>21600</v>
      </c>
      <c r="J18" s="160">
        <f t="shared" si="1"/>
        <v>75900</v>
      </c>
      <c r="K18" s="137">
        <f t="shared" si="1"/>
        <v>73100</v>
      </c>
      <c r="L18" s="138">
        <f t="shared" si="1"/>
        <v>78900</v>
      </c>
      <c r="M18" s="160">
        <f t="shared" si="1"/>
        <v>165000</v>
      </c>
      <c r="N18" s="137">
        <f t="shared" si="1"/>
        <v>143000</v>
      </c>
      <c r="O18" s="138">
        <f t="shared" si="1"/>
        <v>178000</v>
      </c>
      <c r="P18" s="137">
        <f t="shared" si="0"/>
        <v>888000</v>
      </c>
      <c r="Q18" s="137">
        <f t="shared" si="0"/>
        <v>986000</v>
      </c>
      <c r="R18" s="138">
        <f t="shared" si="0"/>
        <v>1160000</v>
      </c>
    </row>
    <row r="19" spans="1:18" x14ac:dyDescent="0.25">
      <c r="A19" s="266"/>
      <c r="C19" s="145" t="s">
        <v>26</v>
      </c>
      <c r="D19" s="160">
        <f t="shared" si="1"/>
        <v>0</v>
      </c>
      <c r="E19" s="137">
        <f t="shared" si="1"/>
        <v>0</v>
      </c>
      <c r="F19" s="138">
        <f t="shared" si="1"/>
        <v>0</v>
      </c>
      <c r="G19" s="160">
        <f t="shared" si="1"/>
        <v>9870</v>
      </c>
      <c r="H19" s="137">
        <f t="shared" si="1"/>
        <v>12900</v>
      </c>
      <c r="I19" s="138">
        <f t="shared" si="1"/>
        <v>8680</v>
      </c>
      <c r="J19" s="160">
        <f t="shared" si="1"/>
        <v>35000</v>
      </c>
      <c r="K19" s="137">
        <f t="shared" si="1"/>
        <v>31600</v>
      </c>
      <c r="L19" s="138">
        <f t="shared" si="1"/>
        <v>29600</v>
      </c>
      <c r="M19" s="160">
        <f t="shared" si="1"/>
        <v>79000</v>
      </c>
      <c r="N19" s="137">
        <f t="shared" si="1"/>
        <v>76300</v>
      </c>
      <c r="O19" s="138">
        <f t="shared" si="1"/>
        <v>78400</v>
      </c>
      <c r="P19" s="137">
        <f t="shared" si="0"/>
        <v>380000</v>
      </c>
      <c r="Q19" s="137">
        <f t="shared" si="0"/>
        <v>472000</v>
      </c>
      <c r="R19" s="138">
        <f t="shared" si="0"/>
        <v>464000</v>
      </c>
    </row>
    <row r="20" spans="1:18" ht="15.75" thickBot="1" x14ac:dyDescent="0.3">
      <c r="A20" s="266"/>
      <c r="C20" s="146" t="s">
        <v>27</v>
      </c>
      <c r="D20" s="161">
        <f t="shared" si="1"/>
        <v>0</v>
      </c>
      <c r="E20" s="139">
        <f t="shared" si="1"/>
        <v>0</v>
      </c>
      <c r="F20" s="140">
        <f t="shared" si="1"/>
        <v>0</v>
      </c>
      <c r="G20" s="161">
        <f t="shared" si="1"/>
        <v>8150</v>
      </c>
      <c r="H20" s="139">
        <f t="shared" si="1"/>
        <v>11100</v>
      </c>
      <c r="I20" s="140">
        <f t="shared" si="1"/>
        <v>7690</v>
      </c>
      <c r="J20" s="161">
        <f t="shared" si="1"/>
        <v>43500</v>
      </c>
      <c r="K20" s="139">
        <f t="shared" si="1"/>
        <v>30800</v>
      </c>
      <c r="L20" s="140">
        <f t="shared" si="1"/>
        <v>32300</v>
      </c>
      <c r="M20" s="161">
        <f t="shared" si="1"/>
        <v>86200</v>
      </c>
      <c r="N20" s="139">
        <f t="shared" si="1"/>
        <v>118000</v>
      </c>
      <c r="O20" s="140">
        <f t="shared" si="1"/>
        <v>92100</v>
      </c>
      <c r="P20" s="139">
        <f t="shared" si="0"/>
        <v>459000</v>
      </c>
      <c r="Q20" s="139">
        <f t="shared" si="0"/>
        <v>446000</v>
      </c>
      <c r="R20" s="140">
        <f t="shared" si="0"/>
        <v>480000</v>
      </c>
    </row>
    <row r="21" spans="1:18" ht="15.75" thickBot="1" x14ac:dyDescent="0.3">
      <c r="A21" s="154"/>
    </row>
    <row r="22" spans="1:18" ht="33.75" thickBot="1" x14ac:dyDescent="0.3">
      <c r="A22" s="154"/>
      <c r="B22" s="211" t="s">
        <v>203</v>
      </c>
      <c r="C22" s="212" t="s">
        <v>243</v>
      </c>
      <c r="D22" s="213" t="s">
        <v>1264</v>
      </c>
      <c r="E22" s="214" t="s">
        <v>1313</v>
      </c>
      <c r="F22" s="214" t="s">
        <v>1314</v>
      </c>
      <c r="G22" s="215" t="s">
        <v>1278</v>
      </c>
      <c r="H22" s="243" t="s">
        <v>1270</v>
      </c>
      <c r="I22" s="244" t="s">
        <v>1269</v>
      </c>
      <c r="J22" s="244" t="s">
        <v>1271</v>
      </c>
      <c r="K22" s="244" t="s">
        <v>1272</v>
      </c>
      <c r="L22" s="244" t="s">
        <v>1273</v>
      </c>
      <c r="M22" s="245" t="s">
        <v>1274</v>
      </c>
    </row>
    <row r="23" spans="1:18" ht="15.75" thickBot="1" x14ac:dyDescent="0.3">
      <c r="A23" s="154"/>
      <c r="D23" s="200"/>
      <c r="E23" s="101"/>
      <c r="F23" s="101"/>
      <c r="G23" s="101"/>
      <c r="H23" s="201" t="s">
        <v>1275</v>
      </c>
      <c r="I23" s="202"/>
      <c r="J23" s="203"/>
      <c r="K23" s="202"/>
      <c r="L23" s="202"/>
      <c r="M23" s="202"/>
    </row>
    <row r="24" spans="1:18" ht="15" customHeight="1" x14ac:dyDescent="0.25">
      <c r="A24" s="268" t="s">
        <v>1267</v>
      </c>
      <c r="B24" s="208">
        <v>0</v>
      </c>
      <c r="C24" s="163" t="s">
        <v>22</v>
      </c>
      <c r="D24" s="206" t="str">
        <f>D$3&amp;":"&amp;$C24</f>
        <v>OTS-S50-P0-Day20:PFHxA</v>
      </c>
      <c r="E24" s="135">
        <f t="shared" ref="E24:E29" si="2">AVERAGE(D15:F15)</f>
        <v>0</v>
      </c>
      <c r="F24" s="148">
        <f t="shared" ref="F24:F29" si="3">STDEV(D15:F15)</f>
        <v>0</v>
      </c>
      <c r="G24" s="216" t="str">
        <f>IFERROR(F24/E24,"")</f>
        <v/>
      </c>
      <c r="H24" s="194">
        <f>'PFAS at t0'!E23/1000</f>
        <v>0</v>
      </c>
      <c r="I24" s="193">
        <f t="shared" ref="I24:I53" si="4">E24/1000</f>
        <v>0</v>
      </c>
      <c r="J24" s="193">
        <f>H24-I24</f>
        <v>0</v>
      </c>
      <c r="K24" s="194">
        <f>(J24*0.05)/(50/1000000)</f>
        <v>0</v>
      </c>
      <c r="L24" s="105"/>
      <c r="M24" s="134"/>
    </row>
    <row r="25" spans="1:18" x14ac:dyDescent="0.25">
      <c r="A25" s="268"/>
      <c r="B25" s="209">
        <v>0</v>
      </c>
      <c r="C25" s="103" t="s">
        <v>23</v>
      </c>
      <c r="D25" s="205" t="str">
        <f t="shared" ref="D25:D29" si="5">D$3&amp;":"&amp;$C25</f>
        <v>OTS-S50-P0-Day20:PFOA</v>
      </c>
      <c r="E25" s="137">
        <f t="shared" si="2"/>
        <v>0</v>
      </c>
      <c r="F25" s="149">
        <f t="shared" si="3"/>
        <v>0</v>
      </c>
      <c r="G25" s="217" t="str">
        <f t="shared" ref="G25:G53" si="6">IFERROR(F25/E25,"")</f>
        <v/>
      </c>
      <c r="H25" s="196">
        <f>'PFAS at t0'!E24/1000</f>
        <v>0</v>
      </c>
      <c r="I25" s="195">
        <f t="shared" si="4"/>
        <v>0</v>
      </c>
      <c r="J25" s="195">
        <f t="shared" ref="J25:J53" si="7">H25-I25</f>
        <v>0</v>
      </c>
      <c r="K25" s="196">
        <f t="shared" ref="K25:K53" si="8">(J25*0.05)/(50/1000000)</f>
        <v>0</v>
      </c>
      <c r="L25" s="103"/>
      <c r="M25" s="130"/>
    </row>
    <row r="26" spans="1:18" x14ac:dyDescent="0.25">
      <c r="A26" s="268"/>
      <c r="B26" s="209">
        <v>0</v>
      </c>
      <c r="C26" s="103" t="s">
        <v>24</v>
      </c>
      <c r="D26" s="205" t="str">
        <f t="shared" si="5"/>
        <v>OTS-S50-P0-Day20:PFNA</v>
      </c>
      <c r="E26" s="137">
        <f t="shared" si="2"/>
        <v>0</v>
      </c>
      <c r="F26" s="149">
        <f t="shared" si="3"/>
        <v>0</v>
      </c>
      <c r="G26" s="217" t="str">
        <f t="shared" si="6"/>
        <v/>
      </c>
      <c r="H26" s="196">
        <f>'PFAS at t0'!E25/1000</f>
        <v>0</v>
      </c>
      <c r="I26" s="195">
        <f t="shared" si="4"/>
        <v>0</v>
      </c>
      <c r="J26" s="195">
        <f t="shared" si="7"/>
        <v>0</v>
      </c>
      <c r="K26" s="196">
        <f t="shared" si="8"/>
        <v>0</v>
      </c>
      <c r="L26" s="103"/>
      <c r="M26" s="130"/>
    </row>
    <row r="27" spans="1:18" x14ac:dyDescent="0.25">
      <c r="A27" s="268"/>
      <c r="B27" s="209">
        <v>0</v>
      </c>
      <c r="C27" s="103" t="s">
        <v>25</v>
      </c>
      <c r="D27" s="205" t="str">
        <f t="shared" si="5"/>
        <v>OTS-S50-P0-Day20:PFBS</v>
      </c>
      <c r="E27" s="137">
        <f t="shared" si="2"/>
        <v>0</v>
      </c>
      <c r="F27" s="149">
        <f t="shared" si="3"/>
        <v>0</v>
      </c>
      <c r="G27" s="217" t="str">
        <f t="shared" si="6"/>
        <v/>
      </c>
      <c r="H27" s="196">
        <f>'PFAS at t0'!E26/1000</f>
        <v>3.5000000000000003E-2</v>
      </c>
      <c r="I27" s="195">
        <f t="shared" si="4"/>
        <v>0</v>
      </c>
      <c r="J27" s="195">
        <f t="shared" si="7"/>
        <v>3.5000000000000003E-2</v>
      </c>
      <c r="K27" s="196">
        <f t="shared" si="8"/>
        <v>35</v>
      </c>
      <c r="L27" s="103"/>
      <c r="M27" s="130"/>
    </row>
    <row r="28" spans="1:18" x14ac:dyDescent="0.25">
      <c r="A28" s="268"/>
      <c r="B28" s="209">
        <v>0</v>
      </c>
      <c r="C28" s="103" t="s">
        <v>26</v>
      </c>
      <c r="D28" s="205" t="str">
        <f t="shared" si="5"/>
        <v>OTS-S50-P0-Day20:PFOS</v>
      </c>
      <c r="E28" s="137">
        <f t="shared" si="2"/>
        <v>0</v>
      </c>
      <c r="F28" s="149">
        <f t="shared" si="3"/>
        <v>0</v>
      </c>
      <c r="G28" s="217" t="str">
        <f t="shared" si="6"/>
        <v/>
      </c>
      <c r="H28" s="196">
        <f>'PFAS at t0'!E27/1000</f>
        <v>0</v>
      </c>
      <c r="I28" s="195">
        <f t="shared" si="4"/>
        <v>0</v>
      </c>
      <c r="J28" s="195">
        <f t="shared" si="7"/>
        <v>0</v>
      </c>
      <c r="K28" s="196">
        <f t="shared" si="8"/>
        <v>0</v>
      </c>
      <c r="L28" s="103"/>
      <c r="M28" s="130"/>
    </row>
    <row r="29" spans="1:18" ht="15.75" thickBot="1" x14ac:dyDescent="0.3">
      <c r="A29" s="268"/>
      <c r="B29" s="210">
        <v>0</v>
      </c>
      <c r="C29" s="104" t="s">
        <v>27</v>
      </c>
      <c r="D29" s="207" t="str">
        <f t="shared" si="5"/>
        <v>OTS-S50-P0-Day20:8:2FTS</v>
      </c>
      <c r="E29" s="139">
        <f t="shared" si="2"/>
        <v>0</v>
      </c>
      <c r="F29" s="150">
        <f t="shared" si="3"/>
        <v>0</v>
      </c>
      <c r="G29" s="218" t="str">
        <f t="shared" si="6"/>
        <v/>
      </c>
      <c r="H29" s="198">
        <f>'PFAS at t0'!E28/1000</f>
        <v>4.8766666666666673E-2</v>
      </c>
      <c r="I29" s="197">
        <f t="shared" si="4"/>
        <v>0</v>
      </c>
      <c r="J29" s="197">
        <f t="shared" si="7"/>
        <v>4.8766666666666673E-2</v>
      </c>
      <c r="K29" s="198">
        <f t="shared" si="8"/>
        <v>48.76666666666668</v>
      </c>
      <c r="L29" s="104"/>
      <c r="M29" s="132"/>
    </row>
    <row r="30" spans="1:18" x14ac:dyDescent="0.25">
      <c r="A30" s="268"/>
      <c r="B30" s="208">
        <v>10</v>
      </c>
      <c r="C30" s="163" t="s">
        <v>22</v>
      </c>
      <c r="D30" s="206" t="str">
        <f>G$3&amp;":"&amp;$C30</f>
        <v>OTS-S50-P10-Day20:PFHxA</v>
      </c>
      <c r="E30" s="135">
        <f t="shared" ref="E30:E35" si="9">AVERAGE(G15:I15)</f>
        <v>17333.333333333332</v>
      </c>
      <c r="F30" s="148">
        <f t="shared" ref="F30:F35" si="10">STDEV(G15:I15)</f>
        <v>3564.1735835019754</v>
      </c>
      <c r="G30" s="216">
        <f t="shared" si="6"/>
        <v>0.20562539904819091</v>
      </c>
      <c r="H30" s="171">
        <f>'PFAS at t0'!E29/1000</f>
        <v>15.4</v>
      </c>
      <c r="I30" s="234">
        <f t="shared" si="4"/>
        <v>17.333333333333332</v>
      </c>
      <c r="J30" s="234">
        <f t="shared" si="7"/>
        <v>-1.9333333333333318</v>
      </c>
      <c r="K30" s="235">
        <f t="shared" si="8"/>
        <v>-1933.3333333333319</v>
      </c>
      <c r="L30" s="135">
        <f t="shared" ref="L30:L53" si="11">K30/I30</f>
        <v>-111.53846153846146</v>
      </c>
      <c r="M30" s="199" t="e">
        <f t="shared" ref="M30:M53" si="12">LOG(L30)</f>
        <v>#NUM!</v>
      </c>
    </row>
    <row r="31" spans="1:18" x14ac:dyDescent="0.25">
      <c r="A31" s="268"/>
      <c r="B31" s="209">
        <v>10</v>
      </c>
      <c r="C31" s="103" t="s">
        <v>23</v>
      </c>
      <c r="D31" s="205" t="str">
        <f t="shared" ref="D31:D35" si="13">G$3&amp;":"&amp;$C31</f>
        <v>OTS-S50-P10-Day20:PFOA</v>
      </c>
      <c r="E31" s="137">
        <f t="shared" si="9"/>
        <v>9553.3333333333339</v>
      </c>
      <c r="F31" s="149">
        <f t="shared" si="10"/>
        <v>1128.9523166783144</v>
      </c>
      <c r="G31" s="217">
        <f t="shared" si="6"/>
        <v>0.11817365492096801</v>
      </c>
      <c r="H31" s="160">
        <f>'PFAS at t0'!E30/1000</f>
        <v>7.8833333333333329</v>
      </c>
      <c r="I31" s="93">
        <f t="shared" si="4"/>
        <v>9.5533333333333346</v>
      </c>
      <c r="J31" s="93">
        <f t="shared" si="7"/>
        <v>-1.6700000000000017</v>
      </c>
      <c r="K31" s="236">
        <f t="shared" si="8"/>
        <v>-1670.0000000000016</v>
      </c>
      <c r="L31" s="137">
        <f t="shared" si="11"/>
        <v>-174.80809490579219</v>
      </c>
      <c r="M31" s="158" t="e">
        <f t="shared" si="12"/>
        <v>#NUM!</v>
      </c>
    </row>
    <row r="32" spans="1:18" x14ac:dyDescent="0.25">
      <c r="A32" s="268"/>
      <c r="B32" s="209">
        <v>10</v>
      </c>
      <c r="C32" s="103" t="s">
        <v>24</v>
      </c>
      <c r="D32" s="205" t="str">
        <f t="shared" si="13"/>
        <v>OTS-S50-P10-Day20:PFNA</v>
      </c>
      <c r="E32" s="137">
        <f t="shared" si="9"/>
        <v>8336.6666666666661</v>
      </c>
      <c r="F32" s="149">
        <f t="shared" si="10"/>
        <v>2233.3905465308408</v>
      </c>
      <c r="G32" s="217">
        <f t="shared" si="6"/>
        <v>0.26789970570142035</v>
      </c>
      <c r="H32" s="160">
        <f>'PFAS at t0'!E31/1000</f>
        <v>6.81</v>
      </c>
      <c r="I32" s="93">
        <f t="shared" si="4"/>
        <v>8.336666666666666</v>
      </c>
      <c r="J32" s="93">
        <f t="shared" si="7"/>
        <v>-1.5266666666666664</v>
      </c>
      <c r="K32" s="236">
        <f t="shared" si="8"/>
        <v>-1526.6666666666663</v>
      </c>
      <c r="L32" s="137">
        <f t="shared" si="11"/>
        <v>-183.12674930027987</v>
      </c>
      <c r="M32" s="158" t="e">
        <f t="shared" si="12"/>
        <v>#NUM!</v>
      </c>
    </row>
    <row r="33" spans="1:13" x14ac:dyDescent="0.25">
      <c r="A33" s="268"/>
      <c r="B33" s="209">
        <v>10</v>
      </c>
      <c r="C33" s="103" t="s">
        <v>25</v>
      </c>
      <c r="D33" s="205" t="str">
        <f t="shared" si="13"/>
        <v>OTS-S50-P10-Day20:PFBS</v>
      </c>
      <c r="E33" s="137">
        <f t="shared" si="9"/>
        <v>26233.333333333332</v>
      </c>
      <c r="F33" s="149">
        <f t="shared" si="10"/>
        <v>5357.5491909392094</v>
      </c>
      <c r="G33" s="217">
        <f t="shared" si="6"/>
        <v>0.20422677983249846</v>
      </c>
      <c r="H33" s="160">
        <f>'PFAS at t0'!E32/1000</f>
        <v>20.633333333333333</v>
      </c>
      <c r="I33" s="93">
        <f t="shared" si="4"/>
        <v>26.233333333333331</v>
      </c>
      <c r="J33" s="93">
        <f t="shared" si="7"/>
        <v>-5.5999999999999979</v>
      </c>
      <c r="K33" s="236">
        <f t="shared" si="8"/>
        <v>-5599.9999999999982</v>
      </c>
      <c r="L33" s="137">
        <f t="shared" si="11"/>
        <v>-213.4688691232528</v>
      </c>
      <c r="M33" s="158" t="e">
        <f t="shared" si="12"/>
        <v>#NUM!</v>
      </c>
    </row>
    <row r="34" spans="1:13" x14ac:dyDescent="0.25">
      <c r="A34" s="268"/>
      <c r="B34" s="209">
        <v>10</v>
      </c>
      <c r="C34" s="103" t="s">
        <v>26</v>
      </c>
      <c r="D34" s="205" t="str">
        <f t="shared" si="13"/>
        <v>OTS-S50-P10-Day20:PFOS</v>
      </c>
      <c r="E34" s="137">
        <f t="shared" si="9"/>
        <v>10483.333333333334</v>
      </c>
      <c r="F34" s="149">
        <f t="shared" si="10"/>
        <v>2175.8293437982088</v>
      </c>
      <c r="G34" s="217">
        <f t="shared" si="6"/>
        <v>0.20755128875658588</v>
      </c>
      <c r="H34" s="160">
        <f>'PFAS at t0'!E33/1000</f>
        <v>7.6933333333333334</v>
      </c>
      <c r="I34" s="93">
        <f t="shared" si="4"/>
        <v>10.483333333333334</v>
      </c>
      <c r="J34" s="93">
        <f t="shared" si="7"/>
        <v>-2.7900000000000009</v>
      </c>
      <c r="K34" s="236">
        <f t="shared" si="8"/>
        <v>-2790.0000000000005</v>
      </c>
      <c r="L34" s="137">
        <f t="shared" si="11"/>
        <v>-266.13672496025441</v>
      </c>
      <c r="M34" s="158" t="e">
        <f t="shared" si="12"/>
        <v>#NUM!</v>
      </c>
    </row>
    <row r="35" spans="1:13" ht="15.75" thickBot="1" x14ac:dyDescent="0.3">
      <c r="A35" s="268"/>
      <c r="B35" s="210">
        <v>10</v>
      </c>
      <c r="C35" s="104" t="s">
        <v>27</v>
      </c>
      <c r="D35" s="207" t="str">
        <f t="shared" si="13"/>
        <v>OTS-S50-P10-Day20:8:2FTS</v>
      </c>
      <c r="E35" s="139">
        <f t="shared" si="9"/>
        <v>8980</v>
      </c>
      <c r="F35" s="150">
        <f t="shared" si="10"/>
        <v>1850.3242959005861</v>
      </c>
      <c r="G35" s="218">
        <f t="shared" si="6"/>
        <v>0.20604947615819444</v>
      </c>
      <c r="H35" s="161">
        <f>'PFAS at t0'!E34/1000</f>
        <v>7.0633333333333335</v>
      </c>
      <c r="I35" s="8">
        <f t="shared" si="4"/>
        <v>8.98</v>
      </c>
      <c r="J35" s="8">
        <f t="shared" si="7"/>
        <v>-1.916666666666667</v>
      </c>
      <c r="K35" s="237">
        <f t="shared" si="8"/>
        <v>-1916.666666666667</v>
      </c>
      <c r="L35" s="139">
        <f t="shared" si="11"/>
        <v>-213.43726800296957</v>
      </c>
      <c r="M35" s="159" t="e">
        <f t="shared" si="12"/>
        <v>#NUM!</v>
      </c>
    </row>
    <row r="36" spans="1:13" x14ac:dyDescent="0.25">
      <c r="A36" s="268"/>
      <c r="B36" s="208">
        <v>50</v>
      </c>
      <c r="C36" s="163" t="s">
        <v>22</v>
      </c>
      <c r="D36" s="206" t="str">
        <f>J$3&amp;":"&amp;$C36</f>
        <v>OTS-S50-P50-Day20:PFHxA</v>
      </c>
      <c r="E36" s="135">
        <f t="shared" ref="E36:E41" si="14">AVERAGE(J15:L15)</f>
        <v>59000</v>
      </c>
      <c r="F36" s="148">
        <f t="shared" ref="F36:F41" si="15">STDEV(J15:L15)</f>
        <v>5350.7008886686981</v>
      </c>
      <c r="G36" s="216">
        <f t="shared" si="6"/>
        <v>9.0689845570655903E-2</v>
      </c>
      <c r="H36" s="171">
        <f>'PFAS at t0'!E35/1000</f>
        <v>47.5</v>
      </c>
      <c r="I36" s="234">
        <f t="shared" si="4"/>
        <v>59</v>
      </c>
      <c r="J36" s="234">
        <f t="shared" si="7"/>
        <v>-11.5</v>
      </c>
      <c r="K36" s="235">
        <f t="shared" si="8"/>
        <v>-11500</v>
      </c>
      <c r="L36" s="135">
        <f t="shared" si="11"/>
        <v>-194.91525423728814</v>
      </c>
      <c r="M36" s="199" t="e">
        <f t="shared" si="12"/>
        <v>#NUM!</v>
      </c>
    </row>
    <row r="37" spans="1:13" x14ac:dyDescent="0.25">
      <c r="A37" s="268"/>
      <c r="B37" s="209">
        <v>50</v>
      </c>
      <c r="C37" s="103" t="s">
        <v>23</v>
      </c>
      <c r="D37" s="205" t="str">
        <f t="shared" ref="D37:D41" si="16">J$3&amp;":"&amp;$C37</f>
        <v>OTS-S50-P50-Day20:PFOA</v>
      </c>
      <c r="E37" s="137">
        <f t="shared" si="14"/>
        <v>33700</v>
      </c>
      <c r="F37" s="149">
        <f t="shared" si="15"/>
        <v>2251.6660498395404</v>
      </c>
      <c r="G37" s="217">
        <f t="shared" si="6"/>
        <v>6.6815016315713363E-2</v>
      </c>
      <c r="H37" s="160">
        <f>'PFAS at t0'!E36/1000</f>
        <v>26.566666666666666</v>
      </c>
      <c r="I37" s="93">
        <f t="shared" si="4"/>
        <v>33.700000000000003</v>
      </c>
      <c r="J37" s="93">
        <f t="shared" si="7"/>
        <v>-7.1333333333333364</v>
      </c>
      <c r="K37" s="236">
        <f t="shared" si="8"/>
        <v>-7133.3333333333367</v>
      </c>
      <c r="L37" s="137">
        <f t="shared" si="11"/>
        <v>-211.67161226508415</v>
      </c>
      <c r="M37" s="158" t="e">
        <f t="shared" si="12"/>
        <v>#NUM!</v>
      </c>
    </row>
    <row r="38" spans="1:13" x14ac:dyDescent="0.25">
      <c r="A38" s="268"/>
      <c r="B38" s="209">
        <v>50</v>
      </c>
      <c r="C38" s="103" t="s">
        <v>24</v>
      </c>
      <c r="D38" s="205" t="str">
        <f t="shared" si="16"/>
        <v>OTS-S50-P50-Day20:PFNA</v>
      </c>
      <c r="E38" s="137">
        <f t="shared" si="14"/>
        <v>26766.666666666668</v>
      </c>
      <c r="F38" s="149">
        <f t="shared" si="15"/>
        <v>850.49005481153824</v>
      </c>
      <c r="G38" s="217">
        <f t="shared" si="6"/>
        <v>3.1774223716495825E-2</v>
      </c>
      <c r="H38" s="160">
        <f>'PFAS at t0'!E37/1000</f>
        <v>23</v>
      </c>
      <c r="I38" s="93">
        <f t="shared" si="4"/>
        <v>26.766666666666669</v>
      </c>
      <c r="J38" s="93">
        <f t="shared" si="7"/>
        <v>-3.7666666666666693</v>
      </c>
      <c r="K38" s="236">
        <f t="shared" si="8"/>
        <v>-3766.6666666666692</v>
      </c>
      <c r="L38" s="137">
        <f t="shared" si="11"/>
        <v>-140.722291407223</v>
      </c>
      <c r="M38" s="158" t="e">
        <f t="shared" si="12"/>
        <v>#NUM!</v>
      </c>
    </row>
    <row r="39" spans="1:13" x14ac:dyDescent="0.25">
      <c r="A39" s="268"/>
      <c r="B39" s="209">
        <v>50</v>
      </c>
      <c r="C39" s="103" t="s">
        <v>25</v>
      </c>
      <c r="D39" s="205" t="str">
        <f t="shared" si="16"/>
        <v>OTS-S50-P50-Day20:PFBS</v>
      </c>
      <c r="E39" s="137">
        <f t="shared" si="14"/>
        <v>75966.666666666672</v>
      </c>
      <c r="F39" s="149">
        <f t="shared" si="15"/>
        <v>2900.5746557076122</v>
      </c>
      <c r="G39" s="217">
        <f t="shared" si="6"/>
        <v>3.8182202576230083E-2</v>
      </c>
      <c r="H39" s="160">
        <f>'PFAS at t0'!E38/1000</f>
        <v>59.166666666666664</v>
      </c>
      <c r="I39" s="93">
        <f t="shared" si="4"/>
        <v>75.966666666666669</v>
      </c>
      <c r="J39" s="93">
        <f t="shared" si="7"/>
        <v>-16.800000000000004</v>
      </c>
      <c r="K39" s="236">
        <f t="shared" si="8"/>
        <v>-16800.000000000004</v>
      </c>
      <c r="L39" s="137">
        <f t="shared" si="11"/>
        <v>-221.14962702939891</v>
      </c>
      <c r="M39" s="158" t="e">
        <f t="shared" si="12"/>
        <v>#NUM!</v>
      </c>
    </row>
    <row r="40" spans="1:13" x14ac:dyDescent="0.25">
      <c r="A40" s="268"/>
      <c r="B40" s="209">
        <v>50</v>
      </c>
      <c r="C40" s="103" t="s">
        <v>26</v>
      </c>
      <c r="D40" s="205" t="str">
        <f t="shared" si="16"/>
        <v>OTS-S50-P50-Day20:PFOS</v>
      </c>
      <c r="E40" s="137">
        <f t="shared" si="14"/>
        <v>32066.666666666668</v>
      </c>
      <c r="F40" s="149">
        <f t="shared" si="15"/>
        <v>2730.0793639257695</v>
      </c>
      <c r="G40" s="217">
        <f t="shared" si="6"/>
        <v>8.5137610101635217E-2</v>
      </c>
      <c r="H40" s="160">
        <f>'PFAS at t0'!E39/1000</f>
        <v>26.7</v>
      </c>
      <c r="I40" s="93">
        <f t="shared" si="4"/>
        <v>32.06666666666667</v>
      </c>
      <c r="J40" s="93">
        <f t="shared" si="7"/>
        <v>-5.3666666666666707</v>
      </c>
      <c r="K40" s="236">
        <f t="shared" si="8"/>
        <v>-5366.6666666666706</v>
      </c>
      <c r="L40" s="137">
        <f t="shared" si="11"/>
        <v>-167.35966735966747</v>
      </c>
      <c r="M40" s="158" t="e">
        <f t="shared" si="12"/>
        <v>#NUM!</v>
      </c>
    </row>
    <row r="41" spans="1:13" ht="15.75" thickBot="1" x14ac:dyDescent="0.3">
      <c r="A41" s="268"/>
      <c r="B41" s="210">
        <v>50</v>
      </c>
      <c r="C41" s="104" t="s">
        <v>27</v>
      </c>
      <c r="D41" s="207" t="str">
        <f t="shared" si="16"/>
        <v>OTS-S50-P50-Day20:8:2FTS</v>
      </c>
      <c r="E41" s="139">
        <f t="shared" si="14"/>
        <v>35533.333333333336</v>
      </c>
      <c r="F41" s="150">
        <f t="shared" si="15"/>
        <v>6939.9807876775321</v>
      </c>
      <c r="G41" s="218">
        <f t="shared" si="6"/>
        <v>0.19530902779580295</v>
      </c>
      <c r="H41" s="161">
        <f>'PFAS at t0'!E40/1000</f>
        <v>23.2</v>
      </c>
      <c r="I41" s="8">
        <f t="shared" si="4"/>
        <v>35.533333333333339</v>
      </c>
      <c r="J41" s="8">
        <f t="shared" si="7"/>
        <v>-12.333333333333339</v>
      </c>
      <c r="K41" s="237">
        <f t="shared" si="8"/>
        <v>-12333.333333333339</v>
      </c>
      <c r="L41" s="139">
        <f t="shared" si="11"/>
        <v>-347.09193245778624</v>
      </c>
      <c r="M41" s="159" t="e">
        <f t="shared" si="12"/>
        <v>#NUM!</v>
      </c>
    </row>
    <row r="42" spans="1:13" x14ac:dyDescent="0.25">
      <c r="A42" s="268"/>
      <c r="B42" s="208">
        <v>100</v>
      </c>
      <c r="C42" s="163" t="s">
        <v>22</v>
      </c>
      <c r="D42" s="206" t="str">
        <f>M$3&amp;":"&amp;$C42</f>
        <v>OTS-S50-P100-Day20:PFHxA</v>
      </c>
      <c r="E42" s="135">
        <f t="shared" ref="E42:E47" si="17">AVERAGE(M15:O15)</f>
        <v>138666.66666666666</v>
      </c>
      <c r="F42" s="148">
        <f t="shared" ref="F42:F47" si="18">STDEV(M15:O15)</f>
        <v>7094.598884597588</v>
      </c>
      <c r="G42" s="216">
        <f t="shared" si="6"/>
        <v>5.1162972725463378E-2</v>
      </c>
      <c r="H42" s="171">
        <f>'PFAS at t0'!E41/1000</f>
        <v>120</v>
      </c>
      <c r="I42" s="234">
        <f t="shared" si="4"/>
        <v>138.66666666666666</v>
      </c>
      <c r="J42" s="234">
        <f t="shared" si="7"/>
        <v>-18.666666666666657</v>
      </c>
      <c r="K42" s="235">
        <f t="shared" si="8"/>
        <v>-18666.666666666657</v>
      </c>
      <c r="L42" s="135">
        <f t="shared" si="11"/>
        <v>-134.61538461538456</v>
      </c>
      <c r="M42" s="199" t="e">
        <f t="shared" si="12"/>
        <v>#NUM!</v>
      </c>
    </row>
    <row r="43" spans="1:13" x14ac:dyDescent="0.25">
      <c r="A43" s="268"/>
      <c r="B43" s="209">
        <v>100</v>
      </c>
      <c r="C43" s="103" t="s">
        <v>23</v>
      </c>
      <c r="D43" s="205" t="str">
        <f t="shared" ref="D43:D47" si="19">M$3&amp;":"&amp;$C43</f>
        <v>OTS-S50-P100-Day20:PFOA</v>
      </c>
      <c r="E43" s="137">
        <f t="shared" si="17"/>
        <v>76600</v>
      </c>
      <c r="F43" s="149">
        <f t="shared" si="18"/>
        <v>3716.1808352124094</v>
      </c>
      <c r="G43" s="217">
        <f t="shared" si="6"/>
        <v>4.8514110120266442E-2</v>
      </c>
      <c r="H43" s="160">
        <f>'PFAS at t0'!E42/1000</f>
        <v>62.8</v>
      </c>
      <c r="I43" s="93">
        <f t="shared" si="4"/>
        <v>76.599999999999994</v>
      </c>
      <c r="J43" s="93">
        <f t="shared" si="7"/>
        <v>-13.799999999999997</v>
      </c>
      <c r="K43" s="236">
        <f t="shared" si="8"/>
        <v>-13799.999999999998</v>
      </c>
      <c r="L43" s="137">
        <f t="shared" si="11"/>
        <v>-180.15665796344646</v>
      </c>
      <c r="M43" s="158" t="e">
        <f t="shared" si="12"/>
        <v>#NUM!</v>
      </c>
    </row>
    <row r="44" spans="1:13" x14ac:dyDescent="0.25">
      <c r="A44" s="268"/>
      <c r="B44" s="209">
        <v>100</v>
      </c>
      <c r="C44" s="103" t="s">
        <v>24</v>
      </c>
      <c r="D44" s="205" t="str">
        <f t="shared" si="19"/>
        <v>OTS-S50-P100-Day20:PFNA</v>
      </c>
      <c r="E44" s="137">
        <f t="shared" si="17"/>
        <v>62233.333333333336</v>
      </c>
      <c r="F44" s="149">
        <f t="shared" si="18"/>
        <v>4606.8789145508626</v>
      </c>
      <c r="G44" s="217">
        <f t="shared" si="6"/>
        <v>7.4025906500549479E-2</v>
      </c>
      <c r="H44" s="160">
        <f>'PFAS at t0'!E43/1000</f>
        <v>55.2</v>
      </c>
      <c r="I44" s="93">
        <f t="shared" si="4"/>
        <v>62.233333333333334</v>
      </c>
      <c r="J44" s="93">
        <f t="shared" si="7"/>
        <v>-7.0333333333333314</v>
      </c>
      <c r="K44" s="236">
        <f t="shared" si="8"/>
        <v>-7033.3333333333312</v>
      </c>
      <c r="L44" s="137">
        <f t="shared" si="11"/>
        <v>-113.01553294054629</v>
      </c>
      <c r="M44" s="158" t="e">
        <f t="shared" si="12"/>
        <v>#NUM!</v>
      </c>
    </row>
    <row r="45" spans="1:13" x14ac:dyDescent="0.25">
      <c r="A45" s="268"/>
      <c r="B45" s="209">
        <v>100</v>
      </c>
      <c r="C45" s="103" t="s">
        <v>25</v>
      </c>
      <c r="D45" s="205" t="str">
        <f t="shared" si="19"/>
        <v>OTS-S50-P100-Day20:PFBS</v>
      </c>
      <c r="E45" s="137">
        <f t="shared" si="17"/>
        <v>162000</v>
      </c>
      <c r="F45" s="149">
        <f t="shared" si="18"/>
        <v>17691.806012954134</v>
      </c>
      <c r="G45" s="217">
        <f t="shared" si="6"/>
        <v>0.10920867909230947</v>
      </c>
      <c r="H45" s="160">
        <f>'PFAS at t0'!E44/1000</f>
        <v>143</v>
      </c>
      <c r="I45" s="93">
        <f t="shared" si="4"/>
        <v>162</v>
      </c>
      <c r="J45" s="93">
        <f t="shared" si="7"/>
        <v>-19</v>
      </c>
      <c r="K45" s="236">
        <f t="shared" si="8"/>
        <v>-19000</v>
      </c>
      <c r="L45" s="137">
        <f t="shared" si="11"/>
        <v>-117.28395061728395</v>
      </c>
      <c r="M45" s="158" t="e">
        <f t="shared" si="12"/>
        <v>#NUM!</v>
      </c>
    </row>
    <row r="46" spans="1:13" x14ac:dyDescent="0.25">
      <c r="A46" s="268"/>
      <c r="B46" s="209">
        <v>100</v>
      </c>
      <c r="C46" s="103" t="s">
        <v>26</v>
      </c>
      <c r="D46" s="205" t="str">
        <f t="shared" si="19"/>
        <v>OTS-S50-P100-Day20:PFOS</v>
      </c>
      <c r="E46" s="137">
        <f t="shared" si="17"/>
        <v>77900</v>
      </c>
      <c r="F46" s="149">
        <f t="shared" si="18"/>
        <v>1417.7446878757826</v>
      </c>
      <c r="G46" s="217">
        <f t="shared" si="6"/>
        <v>1.8199546699304011E-2</v>
      </c>
      <c r="H46" s="160">
        <f>'PFAS at t0'!E45/1000</f>
        <v>58.8</v>
      </c>
      <c r="I46" s="93">
        <f t="shared" si="4"/>
        <v>77.900000000000006</v>
      </c>
      <c r="J46" s="93">
        <f t="shared" si="7"/>
        <v>-19.100000000000009</v>
      </c>
      <c r="K46" s="236">
        <f t="shared" si="8"/>
        <v>-19100.000000000011</v>
      </c>
      <c r="L46" s="137">
        <f t="shared" si="11"/>
        <v>-245.18613607188715</v>
      </c>
      <c r="M46" s="158" t="e">
        <f t="shared" si="12"/>
        <v>#NUM!</v>
      </c>
    </row>
    <row r="47" spans="1:13" ht="15.75" thickBot="1" x14ac:dyDescent="0.3">
      <c r="A47" s="268"/>
      <c r="B47" s="210">
        <v>100</v>
      </c>
      <c r="C47" s="104" t="s">
        <v>27</v>
      </c>
      <c r="D47" s="207" t="str">
        <f t="shared" si="19"/>
        <v>OTS-S50-P100-Day20:8:2FTS</v>
      </c>
      <c r="E47" s="139">
        <f t="shared" si="17"/>
        <v>98766.666666666672</v>
      </c>
      <c r="F47" s="150">
        <f t="shared" si="18"/>
        <v>16915.771733306581</v>
      </c>
      <c r="G47" s="218">
        <f t="shared" si="6"/>
        <v>0.17127004792413009</v>
      </c>
      <c r="H47" s="161">
        <f>'PFAS at t0'!E46/1000</f>
        <v>47.333333333333336</v>
      </c>
      <c r="I47" s="8">
        <f t="shared" si="4"/>
        <v>98.766666666666666</v>
      </c>
      <c r="J47" s="8">
        <f t="shared" si="7"/>
        <v>-51.43333333333333</v>
      </c>
      <c r="K47" s="237">
        <f t="shared" si="8"/>
        <v>-51433.333333333336</v>
      </c>
      <c r="L47" s="139">
        <f t="shared" si="11"/>
        <v>-520.7559905501181</v>
      </c>
      <c r="M47" s="159" t="e">
        <f t="shared" si="12"/>
        <v>#NUM!</v>
      </c>
    </row>
    <row r="48" spans="1:13" x14ac:dyDescent="0.25">
      <c r="A48" s="268"/>
      <c r="B48" s="208">
        <v>500</v>
      </c>
      <c r="C48" s="163" t="s">
        <v>22</v>
      </c>
      <c r="D48" s="206" t="str">
        <f>P$3&amp;":"&amp;$C48</f>
        <v>OTS-S50-P500-Day20:PFHxA</v>
      </c>
      <c r="E48" s="135">
        <f t="shared" ref="E48:E53" si="20">AVERAGE(P15:R15)</f>
        <v>786000</v>
      </c>
      <c r="F48" s="148">
        <f t="shared" ref="F48:F53" si="21">STDEV(P15:R15)</f>
        <v>17349.351572897471</v>
      </c>
      <c r="G48" s="216">
        <f t="shared" si="6"/>
        <v>2.2072966377732151E-2</v>
      </c>
      <c r="H48" s="160">
        <f>'PFAS at t0'!E47/1000</f>
        <v>711</v>
      </c>
      <c r="I48" s="93">
        <f t="shared" si="4"/>
        <v>786</v>
      </c>
      <c r="J48" s="93">
        <f t="shared" si="7"/>
        <v>-75</v>
      </c>
      <c r="K48" s="236">
        <f t="shared" si="8"/>
        <v>-75000</v>
      </c>
      <c r="L48" s="137">
        <f t="shared" si="11"/>
        <v>-95.419847328244273</v>
      </c>
      <c r="M48" s="158" t="e">
        <f t="shared" si="12"/>
        <v>#NUM!</v>
      </c>
    </row>
    <row r="49" spans="1:42" x14ac:dyDescent="0.25">
      <c r="A49" s="268"/>
      <c r="B49" s="209">
        <v>500</v>
      </c>
      <c r="C49" s="103" t="s">
        <v>23</v>
      </c>
      <c r="D49" s="205" t="str">
        <f t="shared" ref="D49:D53" si="22">P$3&amp;":"&amp;$C49</f>
        <v>OTS-S50-P500-Day20:PFOA</v>
      </c>
      <c r="E49" s="137">
        <f t="shared" si="20"/>
        <v>423000</v>
      </c>
      <c r="F49" s="149">
        <f t="shared" si="21"/>
        <v>14000</v>
      </c>
      <c r="G49" s="217">
        <f t="shared" si="6"/>
        <v>3.309692671394799E-2</v>
      </c>
      <c r="H49" s="160">
        <f>'PFAS at t0'!E48/1000</f>
        <v>467</v>
      </c>
      <c r="I49" s="93">
        <f t="shared" si="4"/>
        <v>423</v>
      </c>
      <c r="J49" s="93">
        <f t="shared" si="7"/>
        <v>44</v>
      </c>
      <c r="K49" s="236">
        <f t="shared" si="8"/>
        <v>44000</v>
      </c>
      <c r="L49" s="137">
        <f t="shared" si="11"/>
        <v>104.01891252955083</v>
      </c>
      <c r="M49" s="158">
        <f t="shared" si="12"/>
        <v>2.0171123091111451</v>
      </c>
    </row>
    <row r="50" spans="1:42" x14ac:dyDescent="0.25">
      <c r="A50" s="268"/>
      <c r="B50" s="209">
        <v>500</v>
      </c>
      <c r="C50" s="103" t="s">
        <v>24</v>
      </c>
      <c r="D50" s="205" t="str">
        <f t="shared" si="22"/>
        <v>OTS-S50-P500-Day20:PFNA</v>
      </c>
      <c r="E50" s="137">
        <f t="shared" si="20"/>
        <v>339000</v>
      </c>
      <c r="F50" s="149">
        <f t="shared" si="21"/>
        <v>25534.29066960741</v>
      </c>
      <c r="G50" s="217">
        <f t="shared" si="6"/>
        <v>7.5322391355774065E-2</v>
      </c>
      <c r="H50" s="160">
        <f>'PFAS at t0'!E49/1000</f>
        <v>373</v>
      </c>
      <c r="I50" s="93">
        <f t="shared" si="4"/>
        <v>339</v>
      </c>
      <c r="J50" s="93">
        <f t="shared" si="7"/>
        <v>34</v>
      </c>
      <c r="K50" s="236">
        <f t="shared" si="8"/>
        <v>34000</v>
      </c>
      <c r="L50" s="137">
        <f t="shared" si="11"/>
        <v>100.29498525073747</v>
      </c>
      <c r="M50" s="158">
        <f t="shared" si="12"/>
        <v>2.0012792188391728</v>
      </c>
    </row>
    <row r="51" spans="1:42" x14ac:dyDescent="0.25">
      <c r="A51" s="268"/>
      <c r="B51" s="209">
        <v>500</v>
      </c>
      <c r="C51" s="103" t="s">
        <v>25</v>
      </c>
      <c r="D51" s="205" t="str">
        <f t="shared" si="22"/>
        <v>OTS-S50-P500-Day20:PFBS</v>
      </c>
      <c r="E51" s="137">
        <f t="shared" si="20"/>
        <v>1011333.3333333334</v>
      </c>
      <c r="F51" s="149">
        <f t="shared" si="21"/>
        <v>137758.24234263899</v>
      </c>
      <c r="G51" s="217">
        <f t="shared" si="6"/>
        <v>0.1362144782557406</v>
      </c>
      <c r="H51" s="160">
        <f>'PFAS at t0'!E50/1000</f>
        <v>867</v>
      </c>
      <c r="I51" s="93">
        <f t="shared" si="4"/>
        <v>1011.3333333333334</v>
      </c>
      <c r="J51" s="93">
        <f t="shared" si="7"/>
        <v>-144.33333333333337</v>
      </c>
      <c r="K51" s="236">
        <f t="shared" si="8"/>
        <v>-144333.33333333337</v>
      </c>
      <c r="L51" s="137">
        <f t="shared" si="11"/>
        <v>-142.71588661832567</v>
      </c>
      <c r="M51" s="158" t="e">
        <f t="shared" si="12"/>
        <v>#NUM!</v>
      </c>
    </row>
    <row r="52" spans="1:42" x14ac:dyDescent="0.25">
      <c r="A52" s="268"/>
      <c r="B52" s="209">
        <v>500</v>
      </c>
      <c r="C52" s="103" t="s">
        <v>26</v>
      </c>
      <c r="D52" s="205" t="str">
        <f t="shared" si="22"/>
        <v>OTS-S50-P500-Day20:PFOS</v>
      </c>
      <c r="E52" s="137">
        <f t="shared" si="20"/>
        <v>438666.66666666669</v>
      </c>
      <c r="F52" s="149">
        <f t="shared" si="21"/>
        <v>50964.039609643711</v>
      </c>
      <c r="G52" s="217">
        <f t="shared" si="6"/>
        <v>0.11617942160253125</v>
      </c>
      <c r="H52" s="160">
        <f>'PFAS at t0'!E51/1000</f>
        <v>400</v>
      </c>
      <c r="I52" s="93">
        <f t="shared" si="4"/>
        <v>438.66666666666669</v>
      </c>
      <c r="J52" s="93">
        <f t="shared" si="7"/>
        <v>-38.666666666666686</v>
      </c>
      <c r="K52" s="236">
        <f t="shared" si="8"/>
        <v>-38666.666666666686</v>
      </c>
      <c r="L52" s="137">
        <f t="shared" si="11"/>
        <v>-88.145896656535001</v>
      </c>
      <c r="M52" s="158" t="e">
        <f t="shared" si="12"/>
        <v>#NUM!</v>
      </c>
    </row>
    <row r="53" spans="1:42" ht="15.75" thickBot="1" x14ac:dyDescent="0.3">
      <c r="A53" s="268"/>
      <c r="B53" s="210">
        <v>500</v>
      </c>
      <c r="C53" s="104" t="s">
        <v>27</v>
      </c>
      <c r="D53" s="207" t="str">
        <f t="shared" si="22"/>
        <v>OTS-S50-P500-Day20:8:2FTS</v>
      </c>
      <c r="E53" s="139">
        <f t="shared" si="20"/>
        <v>461666.66666666669</v>
      </c>
      <c r="F53" s="150">
        <f t="shared" si="21"/>
        <v>17156.145643277028</v>
      </c>
      <c r="G53" s="218">
        <f t="shared" si="6"/>
        <v>3.7161326303127136E-2</v>
      </c>
      <c r="H53" s="161">
        <f>'PFAS at t0'!E52/1000</f>
        <v>454.33333333333331</v>
      </c>
      <c r="I53" s="8">
        <f t="shared" si="4"/>
        <v>461.66666666666669</v>
      </c>
      <c r="J53" s="8">
        <f t="shared" si="7"/>
        <v>-7.3333333333333712</v>
      </c>
      <c r="K53" s="237">
        <f t="shared" si="8"/>
        <v>-7333.3333333333712</v>
      </c>
      <c r="L53" s="139">
        <f t="shared" si="11"/>
        <v>-15.884476534296111</v>
      </c>
      <c r="M53" s="159" t="e">
        <f t="shared" si="12"/>
        <v>#NUM!</v>
      </c>
    </row>
    <row r="56" spans="1:42" ht="21" x14ac:dyDescent="0.35">
      <c r="C56" s="219" t="s">
        <v>1279</v>
      </c>
    </row>
    <row r="57" spans="1:42" ht="21" x14ac:dyDescent="0.35">
      <c r="C57" s="219"/>
    </row>
    <row r="58" spans="1:42" x14ac:dyDescent="0.25">
      <c r="C58" s="262" t="s">
        <v>1303</v>
      </c>
      <c r="D58" s="262"/>
      <c r="E58" s="262"/>
      <c r="F58" s="262"/>
      <c r="G58" s="262"/>
      <c r="I58" s="263" t="s">
        <v>1304</v>
      </c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C58" s="264" t="s">
        <v>1305</v>
      </c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</row>
    <row r="59" spans="1:42" ht="76.5" x14ac:dyDescent="0.35">
      <c r="C59" s="225" t="s">
        <v>1280</v>
      </c>
      <c r="D59" s="225" t="s">
        <v>243</v>
      </c>
      <c r="E59" s="225" t="s">
        <v>1281</v>
      </c>
      <c r="F59" s="225" t="s">
        <v>1286</v>
      </c>
      <c r="G59" s="225" t="s">
        <v>1287</v>
      </c>
      <c r="H59" s="10"/>
      <c r="I59" s="225" t="s">
        <v>1282</v>
      </c>
      <c r="J59" s="225" t="s">
        <v>1283</v>
      </c>
      <c r="K59" s="225" t="s">
        <v>1284</v>
      </c>
      <c r="L59" s="225" t="s">
        <v>1285</v>
      </c>
      <c r="M59" s="101"/>
      <c r="N59" s="101"/>
      <c r="O59" s="101"/>
      <c r="P59" s="101"/>
      <c r="Q59" s="101"/>
      <c r="R59" s="101"/>
      <c r="T59" s="222" t="s">
        <v>1288</v>
      </c>
      <c r="U59" s="222" t="s">
        <v>1289</v>
      </c>
      <c r="V59" s="222" t="s">
        <v>1290</v>
      </c>
      <c r="W59" s="222" t="s">
        <v>1291</v>
      </c>
      <c r="X59" s="230" t="s">
        <v>1292</v>
      </c>
      <c r="Y59" s="230" t="s">
        <v>1293</v>
      </c>
      <c r="Z59" s="223" t="s">
        <v>1294</v>
      </c>
      <c r="AA59" s="224" t="s">
        <v>1295</v>
      </c>
      <c r="AC59" s="225" t="s">
        <v>1296</v>
      </c>
      <c r="AD59" s="225" t="s">
        <v>1297</v>
      </c>
      <c r="AE59" s="226" t="s">
        <v>1298</v>
      </c>
      <c r="AF59" s="223" t="s">
        <v>1299</v>
      </c>
      <c r="AG59" s="223" t="s">
        <v>1300</v>
      </c>
      <c r="AH59" s="223" t="s">
        <v>1301</v>
      </c>
    </row>
    <row r="60" spans="1:42" x14ac:dyDescent="0.25">
      <c r="C60" s="33" t="str">
        <f>D4</f>
        <v>OTS</v>
      </c>
      <c r="D60" s="33" t="str">
        <f>C24</f>
        <v>PFHxA</v>
      </c>
      <c r="E60" s="33">
        <f>B30</f>
        <v>10</v>
      </c>
      <c r="F60" s="220">
        <f>I30</f>
        <v>17.333333333333332</v>
      </c>
      <c r="G60" s="220">
        <f>K30</f>
        <v>-1933.3333333333319</v>
      </c>
      <c r="I60" s="220">
        <f>SLOPE(G60:G63,F60:F63)</f>
        <v>-90.822875776199027</v>
      </c>
      <c r="J60" s="221" t="e">
        <f>LOG(I60)</f>
        <v>#NUM!</v>
      </c>
      <c r="K60" s="33">
        <f>V60/L60*Y60</f>
        <v>-3.5091422094648804E-10</v>
      </c>
      <c r="L60" s="33">
        <f>1/W60*X60</f>
        <v>398978741155.82361</v>
      </c>
      <c r="T60" s="204">
        <f>1/F60</f>
        <v>5.7692307692307696E-2</v>
      </c>
      <c r="U60" s="204">
        <f>1/G60</f>
        <v>-5.1724137931034517E-4</v>
      </c>
      <c r="V60" s="204">
        <f>1/(SLOPE(U60:U63,T60:T63))</f>
        <v>-109.26703702467105</v>
      </c>
      <c r="W60" s="204">
        <f>INTERCEPT(U60:U63,T60:T63)</f>
        <v>2.2412669167267931E-5</v>
      </c>
      <c r="X60" s="229">
        <v>8942178.5302984994</v>
      </c>
      <c r="Y60" s="229">
        <v>1.2813316617645132</v>
      </c>
      <c r="Z60" s="227">
        <f>L60*(K60*F60/(1+K60*F60))</f>
        <v>-2426.7934596273794</v>
      </c>
      <c r="AA60" s="227">
        <f>(G60-Z60)^2</f>
        <v>243502.89624213736</v>
      </c>
      <c r="AC60" s="33" t="e">
        <f>INTERCEPT(AG60:AG63,AF60:AF63)</f>
        <v>#NUM!</v>
      </c>
      <c r="AD60" s="33" t="e">
        <f>10^AC60</f>
        <v>#NUM!</v>
      </c>
      <c r="AE60" s="34" t="e">
        <f>SLOPE(AG60:AG63,AF60:AF63)</f>
        <v>#NUM!</v>
      </c>
      <c r="AF60" s="204">
        <f t="shared" ref="AF60:AG63" si="23">LOG(F60)</f>
        <v>1.2388820889151366</v>
      </c>
      <c r="AG60" s="204" t="e">
        <f t="shared" si="23"/>
        <v>#NUM!</v>
      </c>
      <c r="AH60" s="204" t="e">
        <f>AD60*F60^AE60</f>
        <v>#NUM!</v>
      </c>
    </row>
    <row r="61" spans="1:42" x14ac:dyDescent="0.25">
      <c r="C61" s="33" t="str">
        <f>C60</f>
        <v>OTS</v>
      </c>
      <c r="D61" s="33" t="str">
        <f>D60</f>
        <v>PFHxA</v>
      </c>
      <c r="E61" s="33">
        <f>B36</f>
        <v>50</v>
      </c>
      <c r="F61" s="220">
        <f>I36</f>
        <v>59</v>
      </c>
      <c r="G61" s="220">
        <f>K36</f>
        <v>-11500</v>
      </c>
      <c r="T61" s="204">
        <f t="shared" ref="T61:U63" si="24">1/F61</f>
        <v>1.6949152542372881E-2</v>
      </c>
      <c r="U61" s="204">
        <f t="shared" si="24"/>
        <v>-8.6956521739130441E-5</v>
      </c>
      <c r="V61" s="200"/>
      <c r="W61" s="200"/>
      <c r="X61" s="200"/>
      <c r="Y61" s="200"/>
      <c r="Z61" s="227">
        <f>L60*(K60*F61/(1+K60*F61))</f>
        <v>-8260.4317045109474</v>
      </c>
      <c r="AA61" s="227">
        <f>(G61-Z61)^2</f>
        <v>10494802.741137845</v>
      </c>
      <c r="AF61" s="204">
        <f t="shared" si="23"/>
        <v>1.7708520116421442</v>
      </c>
      <c r="AG61" s="204" t="e">
        <f t="shared" si="23"/>
        <v>#NUM!</v>
      </c>
      <c r="AH61" s="204" t="e">
        <f>AD60*F61^AE60</f>
        <v>#NUM!</v>
      </c>
    </row>
    <row r="62" spans="1:42" x14ac:dyDescent="0.25">
      <c r="C62" s="33" t="str">
        <f t="shared" ref="C62:D63" si="25">C61</f>
        <v>OTS</v>
      </c>
      <c r="D62" s="33" t="str">
        <f t="shared" si="25"/>
        <v>PFHxA</v>
      </c>
      <c r="E62" s="33">
        <f>B42</f>
        <v>100</v>
      </c>
      <c r="F62" s="220">
        <f>I42</f>
        <v>138.66666666666666</v>
      </c>
      <c r="G62" s="220">
        <f>K42</f>
        <v>-18666.666666666657</v>
      </c>
      <c r="T62" s="204">
        <f t="shared" si="24"/>
        <v>7.2115384615384619E-3</v>
      </c>
      <c r="U62" s="204">
        <f t="shared" si="24"/>
        <v>-5.3571428571428603E-5</v>
      </c>
      <c r="V62" s="200"/>
      <c r="W62" s="200"/>
      <c r="X62" s="200"/>
      <c r="Y62" s="200"/>
      <c r="Z62" s="227">
        <f>L60*(K60*F62/(1+K60*F62))</f>
        <v>-19414.348503635254</v>
      </c>
      <c r="AA62" s="227">
        <f>(G62-Z62)^2</f>
        <v>559028.12933273579</v>
      </c>
      <c r="AF62" s="204">
        <f t="shared" si="23"/>
        <v>2.1419720759070802</v>
      </c>
      <c r="AG62" s="204" t="e">
        <f t="shared" si="23"/>
        <v>#NUM!</v>
      </c>
      <c r="AH62" s="204" t="e">
        <f>AD60*F62^AE60</f>
        <v>#NUM!</v>
      </c>
    </row>
    <row r="63" spans="1:42" ht="15.75" thickBot="1" x14ac:dyDescent="0.3">
      <c r="C63" s="33" t="str">
        <f t="shared" si="25"/>
        <v>OTS</v>
      </c>
      <c r="D63" s="33" t="str">
        <f t="shared" si="25"/>
        <v>PFHxA</v>
      </c>
      <c r="E63" s="33">
        <f>B48</f>
        <v>500</v>
      </c>
      <c r="F63" s="220">
        <f>I48</f>
        <v>786</v>
      </c>
      <c r="G63" s="220">
        <f>K48</f>
        <v>-75000</v>
      </c>
      <c r="T63" s="204">
        <f t="shared" si="24"/>
        <v>1.2722646310432571E-3</v>
      </c>
      <c r="U63" s="204">
        <f t="shared" si="24"/>
        <v>-1.3333333333333333E-5</v>
      </c>
      <c r="V63" s="200"/>
      <c r="W63" s="200"/>
      <c r="X63" s="200"/>
      <c r="Y63" s="200"/>
      <c r="Z63" s="227">
        <f>L60*(K60*F63/(1+K60*F63))</f>
        <v>-110045.7792564187</v>
      </c>
      <c r="AA63" s="232">
        <f>(G63-Z63)^2</f>
        <v>1228206643.6896269</v>
      </c>
      <c r="AF63" s="204">
        <f t="shared" si="23"/>
        <v>2.8954225460394079</v>
      </c>
      <c r="AG63" s="204" t="e">
        <f t="shared" si="23"/>
        <v>#NUM!</v>
      </c>
      <c r="AH63" s="204" t="e">
        <f>AD60*F63^AE60</f>
        <v>#NUM!</v>
      </c>
    </row>
    <row r="64" spans="1:42" ht="15.75" thickBot="1" x14ac:dyDescent="0.3">
      <c r="T64" s="200"/>
      <c r="U64" s="200"/>
      <c r="V64" s="200"/>
      <c r="W64" s="200"/>
      <c r="X64" s="200"/>
      <c r="Y64" s="200"/>
      <c r="Z64" s="231" t="s">
        <v>1302</v>
      </c>
      <c r="AA64" s="233">
        <f>SUM(AA60:AA63)</f>
        <v>1239503977.4563396</v>
      </c>
      <c r="AF64" s="200"/>
      <c r="AG64" s="200"/>
      <c r="AH64" s="200"/>
    </row>
    <row r="65" spans="3:42" x14ac:dyDescent="0.25">
      <c r="T65" s="200"/>
      <c r="U65" s="200"/>
      <c r="V65" s="200"/>
      <c r="W65" s="200"/>
      <c r="X65" s="200"/>
      <c r="Y65" s="200"/>
      <c r="Z65" s="200"/>
      <c r="AA65" s="228"/>
      <c r="AF65" s="200"/>
      <c r="AG65" s="200"/>
      <c r="AH65" s="200"/>
    </row>
    <row r="66" spans="3:42" x14ac:dyDescent="0.25">
      <c r="T66" s="200"/>
      <c r="U66" s="200"/>
      <c r="V66" s="200"/>
      <c r="W66" s="200"/>
      <c r="X66" s="200"/>
      <c r="Y66" s="200"/>
      <c r="AF66" s="200"/>
      <c r="AG66" s="200"/>
      <c r="AH66" s="200"/>
    </row>
    <row r="67" spans="3:42" x14ac:dyDescent="0.25">
      <c r="AF67" s="200"/>
      <c r="AG67" s="200"/>
      <c r="AH67" s="200"/>
    </row>
    <row r="68" spans="3:42" x14ac:dyDescent="0.25">
      <c r="AF68" s="200"/>
      <c r="AG68" s="200"/>
      <c r="AH68" s="200"/>
    </row>
    <row r="71" spans="3:42" x14ac:dyDescent="0.25">
      <c r="C71" s="262" t="s">
        <v>1303</v>
      </c>
      <c r="D71" s="262"/>
      <c r="E71" s="262"/>
      <c r="F71" s="262"/>
      <c r="G71" s="262"/>
      <c r="I71" s="263" t="s">
        <v>1304</v>
      </c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C71" s="264" t="s">
        <v>1305</v>
      </c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</row>
    <row r="72" spans="3:42" ht="76.5" x14ac:dyDescent="0.35">
      <c r="C72" s="225" t="s">
        <v>1280</v>
      </c>
      <c r="D72" s="225" t="s">
        <v>243</v>
      </c>
      <c r="E72" s="225" t="s">
        <v>1281</v>
      </c>
      <c r="F72" s="225" t="s">
        <v>1286</v>
      </c>
      <c r="G72" s="225" t="s">
        <v>1287</v>
      </c>
      <c r="H72" s="10"/>
      <c r="I72" s="225" t="s">
        <v>1282</v>
      </c>
      <c r="J72" s="225" t="s">
        <v>1283</v>
      </c>
      <c r="K72" s="225" t="s">
        <v>1284</v>
      </c>
      <c r="L72" s="225" t="s">
        <v>1285</v>
      </c>
      <c r="M72" s="101"/>
      <c r="N72" s="101"/>
      <c r="O72" s="101"/>
      <c r="P72" s="101"/>
      <c r="Q72" s="101"/>
      <c r="R72" s="101"/>
      <c r="T72" s="222" t="s">
        <v>1288</v>
      </c>
      <c r="U72" s="222" t="s">
        <v>1289</v>
      </c>
      <c r="V72" s="222" t="s">
        <v>1290</v>
      </c>
      <c r="W72" s="222" t="s">
        <v>1291</v>
      </c>
      <c r="X72" s="230" t="s">
        <v>1292</v>
      </c>
      <c r="Y72" s="230" t="s">
        <v>1293</v>
      </c>
      <c r="Z72" s="223" t="s">
        <v>1294</v>
      </c>
      <c r="AA72" s="224" t="s">
        <v>1295</v>
      </c>
      <c r="AC72" s="225" t="s">
        <v>1296</v>
      </c>
      <c r="AD72" s="225" t="s">
        <v>1297</v>
      </c>
      <c r="AE72" s="226" t="s">
        <v>1298</v>
      </c>
      <c r="AF72" s="223" t="s">
        <v>1299</v>
      </c>
      <c r="AG72" s="223" t="s">
        <v>1300</v>
      </c>
      <c r="AH72" s="223" t="s">
        <v>1301</v>
      </c>
    </row>
    <row r="73" spans="3:42" x14ac:dyDescent="0.25">
      <c r="C73" s="33" t="str">
        <f>C60</f>
        <v>OTS</v>
      </c>
      <c r="D73" s="33" t="str">
        <f>C25</f>
        <v>PFOA</v>
      </c>
      <c r="E73" s="33">
        <f>E60</f>
        <v>10</v>
      </c>
      <c r="F73" s="220">
        <f>I31</f>
        <v>9.5533333333333346</v>
      </c>
      <c r="G73" s="220">
        <f>K31</f>
        <v>-1670.0000000000016</v>
      </c>
      <c r="I73" s="220">
        <f>SLOPE(G73:G76,F73:F76)</f>
        <v>128.1230188614656</v>
      </c>
      <c r="J73" s="221">
        <f>LOG(I73)</f>
        <v>2.1076271630500898</v>
      </c>
      <c r="K73" s="33">
        <f>V73/L73*Y73</f>
        <v>-7.0806436045255094E-10</v>
      </c>
      <c r="L73" s="33">
        <f>1/W73*X73</f>
        <v>342631302436.3006</v>
      </c>
      <c r="T73" s="204">
        <f>1/F73</f>
        <v>0.10467550593161198</v>
      </c>
      <c r="U73" s="204">
        <f>1/G73</f>
        <v>-5.9880239520958029E-4</v>
      </c>
      <c r="V73" s="204">
        <f>1/(SLOPE(U73:U76,T73:T76))</f>
        <v>-167.69078672913398</v>
      </c>
      <c r="W73" s="204">
        <f>INTERCEPT(U73:U76,T73:T76)</f>
        <v>2.6098544612016678E-5</v>
      </c>
      <c r="X73" s="229">
        <v>8942178.3321071696</v>
      </c>
      <c r="Y73" s="229">
        <v>1.4467402697707927</v>
      </c>
      <c r="Z73" s="227">
        <f>L73*(K73*F73/(1+K73*F73))</f>
        <v>-2317.6865830498778</v>
      </c>
      <c r="AA73" s="227">
        <f>(G73-Z73)^2</f>
        <v>419497.90986282413</v>
      </c>
      <c r="AC73" s="33" t="e">
        <f>INTERCEPT(AG73:AG76,AF73:AF76)</f>
        <v>#NUM!</v>
      </c>
      <c r="AD73" s="33" t="e">
        <f>10^AC73</f>
        <v>#NUM!</v>
      </c>
      <c r="AE73" s="34" t="e">
        <f>SLOPE(AG73:AG76,AF73:AF76)</f>
        <v>#NUM!</v>
      </c>
      <c r="AF73" s="204">
        <f t="shared" ref="AF73:AG76" si="26">LOG(F73)</f>
        <v>0.98015493134166332</v>
      </c>
      <c r="AG73" s="204" t="e">
        <f t="shared" si="26"/>
        <v>#NUM!</v>
      </c>
      <c r="AH73" s="204" t="e">
        <f>AD73*F73^AE73</f>
        <v>#NUM!</v>
      </c>
    </row>
    <row r="74" spans="3:42" x14ac:dyDescent="0.25">
      <c r="C74" s="33" t="str">
        <f>C73</f>
        <v>OTS</v>
      </c>
      <c r="D74" s="33" t="str">
        <f>D73</f>
        <v>PFOA</v>
      </c>
      <c r="E74" s="33">
        <f t="shared" ref="E74:E76" si="27">E61</f>
        <v>50</v>
      </c>
      <c r="F74" s="220">
        <f>I37</f>
        <v>33.700000000000003</v>
      </c>
      <c r="G74" s="220">
        <f>K37</f>
        <v>-7133.3333333333367</v>
      </c>
      <c r="T74" s="204">
        <f t="shared" ref="T74:U76" si="28">1/F74</f>
        <v>2.9673590504451036E-2</v>
      </c>
      <c r="U74" s="204">
        <f t="shared" si="28"/>
        <v>-1.4018691588785041E-4</v>
      </c>
      <c r="V74" s="200"/>
      <c r="W74" s="200"/>
      <c r="X74" s="200"/>
      <c r="Y74" s="200"/>
      <c r="Z74" s="227">
        <f>L73*(K73*F74/(1+K73*F74))</f>
        <v>-8175.7891679194645</v>
      </c>
      <c r="AA74" s="227">
        <f>(G74-Z74)^2</f>
        <v>1086714.1670626602</v>
      </c>
      <c r="AF74" s="204">
        <f t="shared" si="26"/>
        <v>1.5276299008713388</v>
      </c>
      <c r="AG74" s="204" t="e">
        <f t="shared" si="26"/>
        <v>#NUM!</v>
      </c>
      <c r="AH74" s="204" t="e">
        <f>AD73*F74^AE73</f>
        <v>#NUM!</v>
      </c>
    </row>
    <row r="75" spans="3:42" x14ac:dyDescent="0.25">
      <c r="C75" s="33" t="str">
        <f t="shared" ref="C75:D76" si="29">C74</f>
        <v>OTS</v>
      </c>
      <c r="D75" s="33" t="str">
        <f t="shared" si="29"/>
        <v>PFOA</v>
      </c>
      <c r="E75" s="33">
        <f t="shared" si="27"/>
        <v>100</v>
      </c>
      <c r="F75" s="220">
        <f>I43</f>
        <v>76.599999999999994</v>
      </c>
      <c r="G75" s="220">
        <f>K43</f>
        <v>-13799.999999999998</v>
      </c>
      <c r="T75" s="204">
        <f t="shared" si="28"/>
        <v>1.3054830287206267E-2</v>
      </c>
      <c r="U75" s="204">
        <f t="shared" si="28"/>
        <v>-7.2463768115942041E-5</v>
      </c>
      <c r="V75" s="200"/>
      <c r="W75" s="200"/>
      <c r="X75" s="200"/>
      <c r="Y75" s="200"/>
      <c r="Z75" s="227">
        <f>L73*(K73*F75/(1+K73*F75))</f>
        <v>-18583.545082672015</v>
      </c>
      <c r="AA75" s="227">
        <f>(G75-Z75)^2</f>
        <v>22882303.557955634</v>
      </c>
      <c r="AF75" s="204">
        <f t="shared" si="26"/>
        <v>1.8842287696326039</v>
      </c>
      <c r="AG75" s="204" t="e">
        <f t="shared" si="26"/>
        <v>#NUM!</v>
      </c>
      <c r="AH75" s="204" t="e">
        <f>AD73*F75^AE73</f>
        <v>#NUM!</v>
      </c>
    </row>
    <row r="76" spans="3:42" ht="15.75" thickBot="1" x14ac:dyDescent="0.3">
      <c r="C76" s="33" t="str">
        <f t="shared" si="29"/>
        <v>OTS</v>
      </c>
      <c r="D76" s="33" t="str">
        <f t="shared" si="29"/>
        <v>PFOA</v>
      </c>
      <c r="E76" s="33">
        <f t="shared" si="27"/>
        <v>500</v>
      </c>
      <c r="F76" s="220">
        <f>I49</f>
        <v>423</v>
      </c>
      <c r="G76" s="220">
        <f>K49</f>
        <v>44000</v>
      </c>
      <c r="T76" s="204">
        <f t="shared" si="28"/>
        <v>2.3640661938534278E-3</v>
      </c>
      <c r="U76" s="204">
        <f t="shared" si="28"/>
        <v>2.2727272727272726E-5</v>
      </c>
      <c r="V76" s="200"/>
      <c r="W76" s="200"/>
      <c r="X76" s="200"/>
      <c r="Y76" s="200"/>
      <c r="Z76" s="227">
        <f>L73*(K73*F76/(1+K73*F76))</f>
        <v>-102621.95167136333</v>
      </c>
      <c r="AA76" s="232">
        <f>(G76-Z76)^2</f>
        <v>21497996711.919601</v>
      </c>
      <c r="AF76" s="204">
        <f t="shared" si="26"/>
        <v>2.6263403673750423</v>
      </c>
      <c r="AG76" s="204">
        <f t="shared" si="26"/>
        <v>4.6434526764861879</v>
      </c>
      <c r="AH76" s="204" t="e">
        <f>AD73*F76^AE73</f>
        <v>#NUM!</v>
      </c>
    </row>
    <row r="77" spans="3:42" ht="15.75" thickBot="1" x14ac:dyDescent="0.3">
      <c r="T77" s="200"/>
      <c r="U77" s="200"/>
      <c r="V77" s="200"/>
      <c r="W77" s="200"/>
      <c r="X77" s="200"/>
      <c r="Y77" s="200"/>
      <c r="Z77" s="231" t="s">
        <v>1302</v>
      </c>
      <c r="AA77" s="233">
        <f>SUM(AA73:AA76)</f>
        <v>21522385227.554482</v>
      </c>
      <c r="AF77" s="200"/>
      <c r="AG77" s="200"/>
      <c r="AH77" s="200"/>
    </row>
    <row r="78" spans="3:42" x14ac:dyDescent="0.25">
      <c r="T78" s="200"/>
      <c r="U78" s="200"/>
      <c r="V78" s="200"/>
      <c r="W78" s="200"/>
      <c r="X78" s="200"/>
      <c r="Y78" s="200"/>
      <c r="Z78" s="200"/>
      <c r="AA78" s="228"/>
      <c r="AF78" s="200"/>
      <c r="AG78" s="200"/>
      <c r="AH78" s="200"/>
    </row>
    <row r="79" spans="3:42" x14ac:dyDescent="0.25">
      <c r="T79" s="200"/>
      <c r="U79" s="200"/>
      <c r="V79" s="200"/>
      <c r="W79" s="200"/>
      <c r="X79" s="200"/>
      <c r="Y79" s="200"/>
      <c r="AF79" s="200"/>
      <c r="AG79" s="200"/>
      <c r="AH79" s="200"/>
    </row>
    <row r="80" spans="3:42" x14ac:dyDescent="0.25">
      <c r="AF80" s="200"/>
      <c r="AG80" s="200"/>
      <c r="AH80" s="200"/>
    </row>
    <row r="81" spans="3:42" x14ac:dyDescent="0.25">
      <c r="AF81" s="200"/>
      <c r="AG81" s="200"/>
      <c r="AH81" s="200"/>
    </row>
    <row r="84" spans="3:42" x14ac:dyDescent="0.25">
      <c r="C84" s="262" t="s">
        <v>1303</v>
      </c>
      <c r="D84" s="262"/>
      <c r="E84" s="262"/>
      <c r="F84" s="262"/>
      <c r="G84" s="262"/>
      <c r="I84" s="263" t="s">
        <v>1304</v>
      </c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C84" s="264" t="s">
        <v>1305</v>
      </c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  <c r="AN84" s="264"/>
      <c r="AO84" s="264"/>
      <c r="AP84" s="264"/>
    </row>
    <row r="85" spans="3:42" ht="76.5" x14ac:dyDescent="0.35">
      <c r="C85" s="225" t="s">
        <v>1280</v>
      </c>
      <c r="D85" s="225" t="s">
        <v>243</v>
      </c>
      <c r="E85" s="225" t="s">
        <v>1281</v>
      </c>
      <c r="F85" s="225" t="s">
        <v>1286</v>
      </c>
      <c r="G85" s="225" t="s">
        <v>1287</v>
      </c>
      <c r="H85" s="10"/>
      <c r="I85" s="225" t="s">
        <v>1282</v>
      </c>
      <c r="J85" s="225" t="s">
        <v>1283</v>
      </c>
      <c r="K85" s="225" t="s">
        <v>1284</v>
      </c>
      <c r="L85" s="225" t="s">
        <v>1285</v>
      </c>
      <c r="M85" s="101"/>
      <c r="N85" s="101"/>
      <c r="O85" s="101"/>
      <c r="P85" s="101"/>
      <c r="Q85" s="101"/>
      <c r="R85" s="101"/>
      <c r="T85" s="222" t="s">
        <v>1288</v>
      </c>
      <c r="U85" s="222" t="s">
        <v>1289</v>
      </c>
      <c r="V85" s="222" t="s">
        <v>1290</v>
      </c>
      <c r="W85" s="222" t="s">
        <v>1291</v>
      </c>
      <c r="X85" s="230" t="s">
        <v>1292</v>
      </c>
      <c r="Y85" s="230" t="s">
        <v>1293</v>
      </c>
      <c r="Z85" s="223" t="s">
        <v>1294</v>
      </c>
      <c r="AA85" s="224" t="s">
        <v>1295</v>
      </c>
      <c r="AC85" s="225" t="s">
        <v>1296</v>
      </c>
      <c r="AD85" s="225" t="s">
        <v>1297</v>
      </c>
      <c r="AE85" s="226" t="s">
        <v>1298</v>
      </c>
      <c r="AF85" s="223" t="s">
        <v>1299</v>
      </c>
      <c r="AG85" s="223" t="s">
        <v>1300</v>
      </c>
      <c r="AH85" s="223" t="s">
        <v>1301</v>
      </c>
    </row>
    <row r="86" spans="3:42" x14ac:dyDescent="0.25">
      <c r="C86" s="33" t="str">
        <f>C73</f>
        <v>OTS</v>
      </c>
      <c r="D86" s="33" t="str">
        <f>C26</f>
        <v>PFNA</v>
      </c>
      <c r="E86" s="33">
        <f>E73</f>
        <v>10</v>
      </c>
      <c r="F86" s="220">
        <f>I32</f>
        <v>8.336666666666666</v>
      </c>
      <c r="G86" s="220">
        <f>K32</f>
        <v>-1526.6666666666663</v>
      </c>
      <c r="I86" s="220">
        <f>SLOPE(G86:G89,F86:F89)</f>
        <v>119.61968304238631</v>
      </c>
      <c r="J86" s="221">
        <f>LOG(I86)</f>
        <v>2.077802647322661</v>
      </c>
      <c r="K86" s="33">
        <f>V86/L86*Y86</f>
        <v>4.7633259212233329E-10</v>
      </c>
      <c r="L86" s="33">
        <f>1/W86*X86</f>
        <v>-498222073975.66486</v>
      </c>
      <c r="T86" s="204">
        <f>1/F86</f>
        <v>0.11995201919232308</v>
      </c>
      <c r="U86" s="204">
        <f>1/G86</f>
        <v>-6.5502183406113558E-4</v>
      </c>
      <c r="V86" s="204">
        <f>1/(SLOPE(U86:U89,T86:T89))</f>
        <v>-183.39389810487918</v>
      </c>
      <c r="W86" s="204">
        <f>INTERCEPT(U86:U89,T86:T89)</f>
        <v>-1.7948178101960397E-5</v>
      </c>
      <c r="X86" s="229">
        <v>8942178.5180433206</v>
      </c>
      <c r="Y86" s="229">
        <v>1.2940420286703065</v>
      </c>
      <c r="Z86" s="227">
        <f>L86*(K86*F86/(1+K86*F86))</f>
        <v>-1978.4528230949547</v>
      </c>
      <c r="AA86" s="227">
        <f>(G86-Z86)^2</f>
        <v>204110.73114024592</v>
      </c>
      <c r="AC86" s="33" t="e">
        <f>INTERCEPT(AG86:AG89,AF86:AF89)</f>
        <v>#NUM!</v>
      </c>
      <c r="AD86" s="33" t="e">
        <f>10^AC86</f>
        <v>#NUM!</v>
      </c>
      <c r="AE86" s="34" t="e">
        <f>SLOPE(AG86:AG89,AF86:AF89)</f>
        <v>#NUM!</v>
      </c>
      <c r="AF86" s="204">
        <f t="shared" ref="AF86:AG89" si="30">LOG(F86)</f>
        <v>0.9209924370108401</v>
      </c>
      <c r="AG86" s="204" t="e">
        <f t="shared" si="30"/>
        <v>#NUM!</v>
      </c>
      <c r="AH86" s="204" t="e">
        <f>AD86*F86^AE86</f>
        <v>#NUM!</v>
      </c>
    </row>
    <row r="87" spans="3:42" x14ac:dyDescent="0.25">
      <c r="C87" s="33" t="str">
        <f>C86</f>
        <v>OTS</v>
      </c>
      <c r="D87" s="33" t="str">
        <f>D86</f>
        <v>PFNA</v>
      </c>
      <c r="E87" s="33">
        <f t="shared" ref="E87:E89" si="31">E74</f>
        <v>50</v>
      </c>
      <c r="F87" s="220">
        <f>I38</f>
        <v>26.766666666666669</v>
      </c>
      <c r="G87" s="220">
        <f>K38</f>
        <v>-3766.6666666666692</v>
      </c>
      <c r="T87" s="204">
        <f t="shared" ref="T87:U89" si="32">1/F87</f>
        <v>3.7359900373599E-2</v>
      </c>
      <c r="U87" s="204">
        <f t="shared" si="32"/>
        <v>-2.6548672566371662E-4</v>
      </c>
      <c r="V87" s="200"/>
      <c r="W87" s="200"/>
      <c r="X87" s="200"/>
      <c r="Y87" s="200"/>
      <c r="Z87" s="227">
        <f>L86*(K86*F87/(1+K86*F87))</f>
        <v>-6352.249512188625</v>
      </c>
      <c r="AA87" s="227">
        <f>(G87-Z87)^2</f>
        <v>6685238.6510574138</v>
      </c>
      <c r="AF87" s="204">
        <f t="shared" si="30"/>
        <v>1.4275942905590187</v>
      </c>
      <c r="AG87" s="204" t="e">
        <f t="shared" si="30"/>
        <v>#NUM!</v>
      </c>
      <c r="AH87" s="204" t="e">
        <f>AD86*F87^AE86</f>
        <v>#NUM!</v>
      </c>
    </row>
    <row r="88" spans="3:42" x14ac:dyDescent="0.25">
      <c r="C88" s="33" t="str">
        <f t="shared" ref="C88:D89" si="33">C87</f>
        <v>OTS</v>
      </c>
      <c r="D88" s="33" t="str">
        <f t="shared" si="33"/>
        <v>PFNA</v>
      </c>
      <c r="E88" s="33">
        <f t="shared" si="31"/>
        <v>100</v>
      </c>
      <c r="F88" s="220">
        <f>I44</f>
        <v>62.233333333333334</v>
      </c>
      <c r="G88" s="220">
        <f>K44</f>
        <v>-7033.3333333333312</v>
      </c>
      <c r="T88" s="204">
        <f t="shared" si="32"/>
        <v>1.6068559185859668E-2</v>
      </c>
      <c r="U88" s="204">
        <f t="shared" si="32"/>
        <v>-1.4218009478672989E-4</v>
      </c>
      <c r="V88" s="200"/>
      <c r="W88" s="200"/>
      <c r="X88" s="200"/>
      <c r="Y88" s="200"/>
      <c r="Z88" s="227">
        <f>L86*(K86*F88/(1+K86*F88))</f>
        <v>-14769.177632503215</v>
      </c>
      <c r="AA88" s="227">
        <f>(G88-Z88)^2</f>
        <v>59843287.020999193</v>
      </c>
      <c r="AF88" s="204">
        <f t="shared" si="30"/>
        <v>1.7940230632294158</v>
      </c>
      <c r="AG88" s="204" t="e">
        <f t="shared" si="30"/>
        <v>#NUM!</v>
      </c>
      <c r="AH88" s="204" t="e">
        <f>AD86*F88^AE86</f>
        <v>#NUM!</v>
      </c>
    </row>
    <row r="89" spans="3:42" ht="15.75" thickBot="1" x14ac:dyDescent="0.3">
      <c r="C89" s="33" t="str">
        <f t="shared" si="33"/>
        <v>OTS</v>
      </c>
      <c r="D89" s="33" t="str">
        <f t="shared" si="33"/>
        <v>PFNA</v>
      </c>
      <c r="E89" s="33">
        <f t="shared" si="31"/>
        <v>500</v>
      </c>
      <c r="F89" s="220">
        <f>I50</f>
        <v>339</v>
      </c>
      <c r="G89" s="220">
        <f>K50</f>
        <v>34000</v>
      </c>
      <c r="T89" s="204">
        <f t="shared" si="32"/>
        <v>2.9498525073746312E-3</v>
      </c>
      <c r="U89" s="204">
        <f t="shared" si="32"/>
        <v>2.9411764705882354E-5</v>
      </c>
      <c r="V89" s="200"/>
      <c r="W89" s="200"/>
      <c r="X89" s="200"/>
      <c r="Y89" s="200"/>
      <c r="Z89" s="227">
        <f>L86*(K86*F89/(1+K86*F89))</f>
        <v>-80451.267659835212</v>
      </c>
      <c r="AA89" s="232">
        <f>(G89-Z89)^2</f>
        <v>13099092668.943241</v>
      </c>
      <c r="AF89" s="204">
        <f t="shared" si="30"/>
        <v>2.5301996982030821</v>
      </c>
      <c r="AG89" s="204">
        <f t="shared" si="30"/>
        <v>4.5314789170422554</v>
      </c>
      <c r="AH89" s="204" t="e">
        <f>AD86*F89^AE86</f>
        <v>#NUM!</v>
      </c>
    </row>
    <row r="90" spans="3:42" ht="15.75" thickBot="1" x14ac:dyDescent="0.3">
      <c r="T90" s="200"/>
      <c r="U90" s="200"/>
      <c r="V90" s="200"/>
      <c r="W90" s="200"/>
      <c r="X90" s="200"/>
      <c r="Y90" s="200"/>
      <c r="Z90" s="231" t="s">
        <v>1302</v>
      </c>
      <c r="AA90" s="233">
        <f>SUM(AA86:AA89)</f>
        <v>13165825305.346437</v>
      </c>
      <c r="AF90" s="200"/>
      <c r="AG90" s="200"/>
      <c r="AH90" s="200"/>
    </row>
    <row r="91" spans="3:42" x14ac:dyDescent="0.25">
      <c r="T91" s="200"/>
      <c r="U91" s="200"/>
      <c r="V91" s="200"/>
      <c r="W91" s="200"/>
      <c r="X91" s="200"/>
      <c r="Y91" s="200"/>
      <c r="Z91" s="200"/>
      <c r="AA91" s="228"/>
      <c r="AF91" s="200"/>
      <c r="AG91" s="200"/>
      <c r="AH91" s="200"/>
    </row>
    <row r="92" spans="3:42" x14ac:dyDescent="0.25">
      <c r="T92" s="200"/>
      <c r="U92" s="200"/>
      <c r="V92" s="200"/>
      <c r="W92" s="200"/>
      <c r="X92" s="200"/>
      <c r="Y92" s="200"/>
      <c r="AF92" s="200"/>
      <c r="AG92" s="200"/>
      <c r="AH92" s="200"/>
    </row>
    <row r="93" spans="3:42" x14ac:dyDescent="0.25">
      <c r="AF93" s="200"/>
      <c r="AG93" s="200"/>
      <c r="AH93" s="200"/>
    </row>
    <row r="94" spans="3:42" x14ac:dyDescent="0.25">
      <c r="AF94" s="200"/>
      <c r="AG94" s="200"/>
      <c r="AH94" s="200"/>
    </row>
    <row r="97" spans="3:42" x14ac:dyDescent="0.25">
      <c r="C97" s="262" t="s">
        <v>1303</v>
      </c>
      <c r="D97" s="262"/>
      <c r="E97" s="262"/>
      <c r="F97" s="262"/>
      <c r="G97" s="262"/>
      <c r="I97" s="263" t="s">
        <v>1304</v>
      </c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C97" s="264" t="s">
        <v>1305</v>
      </c>
      <c r="AD97" s="264"/>
      <c r="AE97" s="264"/>
      <c r="AF97" s="264"/>
      <c r="AG97" s="264"/>
      <c r="AH97" s="264"/>
      <c r="AI97" s="264"/>
      <c r="AJ97" s="264"/>
      <c r="AK97" s="264"/>
      <c r="AL97" s="264"/>
      <c r="AM97" s="264"/>
      <c r="AN97" s="264"/>
      <c r="AO97" s="264"/>
      <c r="AP97" s="264"/>
    </row>
    <row r="98" spans="3:42" ht="76.5" x14ac:dyDescent="0.35">
      <c r="C98" s="225" t="s">
        <v>1280</v>
      </c>
      <c r="D98" s="225" t="s">
        <v>243</v>
      </c>
      <c r="E98" s="225" t="s">
        <v>1281</v>
      </c>
      <c r="F98" s="225" t="s">
        <v>1286</v>
      </c>
      <c r="G98" s="225" t="s">
        <v>1287</v>
      </c>
      <c r="H98" s="10"/>
      <c r="I98" s="225" t="s">
        <v>1282</v>
      </c>
      <c r="J98" s="225" t="s">
        <v>1283</v>
      </c>
      <c r="K98" s="225" t="s">
        <v>1284</v>
      </c>
      <c r="L98" s="225" t="s">
        <v>1285</v>
      </c>
      <c r="M98" s="101"/>
      <c r="N98" s="101"/>
      <c r="O98" s="101"/>
      <c r="P98" s="101"/>
      <c r="Q98" s="101"/>
      <c r="R98" s="101"/>
      <c r="T98" s="222" t="s">
        <v>1288</v>
      </c>
      <c r="U98" s="222" t="s">
        <v>1289</v>
      </c>
      <c r="V98" s="222" t="s">
        <v>1290</v>
      </c>
      <c r="W98" s="222" t="s">
        <v>1291</v>
      </c>
      <c r="X98" s="230" t="s">
        <v>1292</v>
      </c>
      <c r="Y98" s="230" t="s">
        <v>1293</v>
      </c>
      <c r="Z98" s="223" t="s">
        <v>1294</v>
      </c>
      <c r="AA98" s="224" t="s">
        <v>1295</v>
      </c>
      <c r="AC98" s="225" t="s">
        <v>1296</v>
      </c>
      <c r="AD98" s="225" t="s">
        <v>1297</v>
      </c>
      <c r="AE98" s="226" t="s">
        <v>1298</v>
      </c>
      <c r="AF98" s="223" t="s">
        <v>1299</v>
      </c>
      <c r="AG98" s="223" t="s">
        <v>1300</v>
      </c>
      <c r="AH98" s="223" t="s">
        <v>1301</v>
      </c>
    </row>
    <row r="99" spans="3:42" x14ac:dyDescent="0.25">
      <c r="C99" s="33" t="str">
        <f>C86</f>
        <v>OTS</v>
      </c>
      <c r="D99" s="33" t="str">
        <f>C27</f>
        <v>PFBS</v>
      </c>
      <c r="E99" s="33">
        <f>E86</f>
        <v>10</v>
      </c>
      <c r="F99" s="220">
        <f>I33</f>
        <v>26.233333333333331</v>
      </c>
      <c r="G99" s="220">
        <f>K33</f>
        <v>-5599.9999999999982</v>
      </c>
      <c r="I99" s="220">
        <f>SLOPE(G99:G102,F99:F102)</f>
        <v>-140.6438911614016</v>
      </c>
      <c r="J99" s="221" t="e">
        <f>LOG(I99)</f>
        <v>#NUM!</v>
      </c>
      <c r="K99" s="33">
        <f>V99/L99*Y99</f>
        <v>3.3350129896444281E-10</v>
      </c>
      <c r="L99" s="33">
        <f>1/W99*X99</f>
        <v>-887313630295.11951</v>
      </c>
      <c r="T99" s="204">
        <f>1/F99</f>
        <v>3.8119440914866583E-2</v>
      </c>
      <c r="U99" s="204">
        <f>1/G99</f>
        <v>-1.7857142857142863E-4</v>
      </c>
      <c r="V99" s="204">
        <f>1/(SLOPE(U99:U102,T99:T102))</f>
        <v>-227.10747648561383</v>
      </c>
      <c r="W99" s="204">
        <f>INTERCEPT(U99:U102,T99:T102)</f>
        <v>-1.0077810346963609E-5</v>
      </c>
      <c r="X99" s="229">
        <v>8942178.484389998</v>
      </c>
      <c r="Y99" s="229">
        <v>1.3029965057580253</v>
      </c>
      <c r="Z99" s="227">
        <f>L99*(K99*F99/(1+K99*F99))</f>
        <v>-7762.9744456169801</v>
      </c>
      <c r="AA99" s="227">
        <f>(G99-Z99)^2</f>
        <v>4678458.4523920901</v>
      </c>
      <c r="AC99" s="33" t="e">
        <f>INTERCEPT(AG99:AG102,AF99:AF102)</f>
        <v>#NUM!</v>
      </c>
      <c r="AD99" s="33" t="e">
        <f>10^AC99</f>
        <v>#NUM!</v>
      </c>
      <c r="AE99" s="34" t="e">
        <f>SLOPE(AG99:AG102,AF99:AF102)</f>
        <v>#NUM!</v>
      </c>
      <c r="AF99" s="204">
        <f t="shared" ref="AF99:AG102" si="34">LOG(F99)</f>
        <v>1.4188534776394022</v>
      </c>
      <c r="AG99" s="204" t="e">
        <f t="shared" si="34"/>
        <v>#NUM!</v>
      </c>
      <c r="AH99" s="204" t="e">
        <f>AD99*F99^AE99</f>
        <v>#NUM!</v>
      </c>
    </row>
    <row r="100" spans="3:42" x14ac:dyDescent="0.25">
      <c r="C100" s="33" t="str">
        <f>C99</f>
        <v>OTS</v>
      </c>
      <c r="D100" s="33" t="str">
        <f>D99</f>
        <v>PFBS</v>
      </c>
      <c r="E100" s="33">
        <f t="shared" ref="E100:E102" si="35">E87</f>
        <v>50</v>
      </c>
      <c r="F100" s="220">
        <f>I39</f>
        <v>75.966666666666669</v>
      </c>
      <c r="G100" s="220">
        <f>K39</f>
        <v>-16800.000000000004</v>
      </c>
      <c r="T100" s="204">
        <f t="shared" ref="T100:U102" si="36">1/F100</f>
        <v>1.3163668275559455E-2</v>
      </c>
      <c r="U100" s="204">
        <f t="shared" si="36"/>
        <v>-5.952380952380951E-5</v>
      </c>
      <c r="V100" s="200"/>
      <c r="W100" s="200"/>
      <c r="X100" s="200"/>
      <c r="Y100" s="200"/>
      <c r="Z100" s="227">
        <f>L99*(K99*F100/(1+K99*F100))</f>
        <v>-22480.074292404421</v>
      </c>
      <c r="AA100" s="227">
        <f>(G100-Z100)^2</f>
        <v>32263243.967233539</v>
      </c>
      <c r="AF100" s="204">
        <f t="shared" si="34"/>
        <v>1.8806230704607132</v>
      </c>
      <c r="AG100" s="204" t="e">
        <f t="shared" si="34"/>
        <v>#NUM!</v>
      </c>
      <c r="AH100" s="204" t="e">
        <f>AD99*F100^AE99</f>
        <v>#NUM!</v>
      </c>
    </row>
    <row r="101" spans="3:42" x14ac:dyDescent="0.25">
      <c r="C101" s="33" t="str">
        <f t="shared" ref="C101:D102" si="37">C100</f>
        <v>OTS</v>
      </c>
      <c r="D101" s="33" t="str">
        <f t="shared" si="37"/>
        <v>PFBS</v>
      </c>
      <c r="E101" s="33">
        <f t="shared" si="35"/>
        <v>100</v>
      </c>
      <c r="F101" s="220">
        <f>I45</f>
        <v>162</v>
      </c>
      <c r="G101" s="220">
        <f>K45</f>
        <v>-19000</v>
      </c>
      <c r="T101" s="204">
        <f t="shared" si="36"/>
        <v>6.1728395061728392E-3</v>
      </c>
      <c r="U101" s="204">
        <f t="shared" si="36"/>
        <v>-5.2631578947368424E-5</v>
      </c>
      <c r="V101" s="200"/>
      <c r="W101" s="200"/>
      <c r="X101" s="200"/>
      <c r="Y101" s="200"/>
      <c r="Z101" s="227">
        <f>L99*(K99*F101/(1+K99*F101))</f>
        <v>-47939.077633334353</v>
      </c>
      <c r="AA101" s="227">
        <f>(G101-Z101)^2</f>
        <v>837470214.26815259</v>
      </c>
      <c r="AF101" s="204">
        <f t="shared" si="34"/>
        <v>2.2095150145426308</v>
      </c>
      <c r="AG101" s="204" t="e">
        <f t="shared" si="34"/>
        <v>#NUM!</v>
      </c>
      <c r="AH101" s="204" t="e">
        <f>AD99*F101^AE99</f>
        <v>#NUM!</v>
      </c>
    </row>
    <row r="102" spans="3:42" ht="15.75" thickBot="1" x14ac:dyDescent="0.3">
      <c r="C102" s="33" t="str">
        <f t="shared" si="37"/>
        <v>OTS</v>
      </c>
      <c r="D102" s="33" t="str">
        <f t="shared" si="37"/>
        <v>PFBS</v>
      </c>
      <c r="E102" s="33">
        <f t="shared" si="35"/>
        <v>500</v>
      </c>
      <c r="F102" s="220">
        <f>I51</f>
        <v>1011.3333333333334</v>
      </c>
      <c r="G102" s="220">
        <f>K51</f>
        <v>-144333.33333333337</v>
      </c>
      <c r="T102" s="204">
        <f t="shared" si="36"/>
        <v>9.8879367172050102E-4</v>
      </c>
      <c r="U102" s="204">
        <f t="shared" si="36"/>
        <v>-6.9284064665127005E-6</v>
      </c>
      <c r="V102" s="200"/>
      <c r="W102" s="200"/>
      <c r="X102" s="200"/>
      <c r="Y102" s="200"/>
      <c r="Z102" s="227">
        <f>L99*(K99*F102/(1+K99*F102))</f>
        <v>-299273.9101668591</v>
      </c>
      <c r="AA102" s="232">
        <f>(G102-Z102)^2</f>
        <v>24006582349.505692</v>
      </c>
      <c r="AF102" s="204">
        <f t="shared" si="34"/>
        <v>3.0048943217310491</v>
      </c>
      <c r="AG102" s="204" t="e">
        <f t="shared" si="34"/>
        <v>#NUM!</v>
      </c>
      <c r="AH102" s="204" t="e">
        <f>AD99*F102^AE99</f>
        <v>#NUM!</v>
      </c>
    </row>
    <row r="103" spans="3:42" ht="15.75" thickBot="1" x14ac:dyDescent="0.3">
      <c r="T103" s="200"/>
      <c r="U103" s="200"/>
      <c r="V103" s="200"/>
      <c r="W103" s="200"/>
      <c r="X103" s="200"/>
      <c r="Y103" s="200"/>
      <c r="Z103" s="231" t="s">
        <v>1302</v>
      </c>
      <c r="AA103" s="233">
        <f>SUM(AA99:AA102)</f>
        <v>24880994266.19347</v>
      </c>
      <c r="AF103" s="200"/>
      <c r="AG103" s="200"/>
      <c r="AH103" s="200"/>
    </row>
    <row r="104" spans="3:42" x14ac:dyDescent="0.25">
      <c r="T104" s="200"/>
      <c r="U104" s="200"/>
      <c r="V104" s="200"/>
      <c r="W104" s="200"/>
      <c r="X104" s="200"/>
      <c r="Y104" s="200"/>
      <c r="Z104" s="200"/>
      <c r="AA104" s="228"/>
      <c r="AF104" s="200"/>
      <c r="AG104" s="200"/>
      <c r="AH104" s="200"/>
    </row>
    <row r="105" spans="3:42" x14ac:dyDescent="0.25">
      <c r="T105" s="200"/>
      <c r="U105" s="200"/>
      <c r="V105" s="200"/>
      <c r="W105" s="200"/>
      <c r="X105" s="200"/>
      <c r="Y105" s="200"/>
      <c r="AF105" s="200"/>
      <c r="AG105" s="200"/>
      <c r="AH105" s="200"/>
    </row>
    <row r="106" spans="3:42" x14ac:dyDescent="0.25">
      <c r="AF106" s="200"/>
      <c r="AG106" s="200"/>
      <c r="AH106" s="200"/>
    </row>
    <row r="107" spans="3:42" x14ac:dyDescent="0.25">
      <c r="AF107" s="200"/>
      <c r="AG107" s="200"/>
      <c r="AH107" s="200"/>
    </row>
    <row r="110" spans="3:42" x14ac:dyDescent="0.25">
      <c r="C110" s="262" t="s">
        <v>1303</v>
      </c>
      <c r="D110" s="262"/>
      <c r="E110" s="262"/>
      <c r="F110" s="262"/>
      <c r="G110" s="262"/>
      <c r="I110" s="263" t="s">
        <v>1304</v>
      </c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63"/>
      <c r="AA110" s="263"/>
      <c r="AC110" s="264" t="s">
        <v>1305</v>
      </c>
      <c r="AD110" s="264"/>
      <c r="AE110" s="264"/>
      <c r="AF110" s="264"/>
      <c r="AG110" s="264"/>
      <c r="AH110" s="264"/>
      <c r="AI110" s="264"/>
      <c r="AJ110" s="264"/>
      <c r="AK110" s="264"/>
      <c r="AL110" s="264"/>
      <c r="AM110" s="264"/>
      <c r="AN110" s="264"/>
      <c r="AO110" s="264"/>
      <c r="AP110" s="264"/>
    </row>
    <row r="111" spans="3:42" ht="76.5" x14ac:dyDescent="0.35">
      <c r="C111" s="225" t="s">
        <v>1280</v>
      </c>
      <c r="D111" s="225" t="s">
        <v>243</v>
      </c>
      <c r="E111" s="225" t="s">
        <v>1281</v>
      </c>
      <c r="F111" s="225" t="s">
        <v>1286</v>
      </c>
      <c r="G111" s="225" t="s">
        <v>1287</v>
      </c>
      <c r="H111" s="10"/>
      <c r="I111" s="225" t="s">
        <v>1282</v>
      </c>
      <c r="J111" s="225" t="s">
        <v>1283</v>
      </c>
      <c r="K111" s="225" t="s">
        <v>1284</v>
      </c>
      <c r="L111" s="225" t="s">
        <v>1285</v>
      </c>
      <c r="M111" s="101"/>
      <c r="N111" s="101"/>
      <c r="O111" s="101"/>
      <c r="P111" s="101"/>
      <c r="Q111" s="101"/>
      <c r="R111" s="101"/>
      <c r="T111" s="222" t="s">
        <v>1288</v>
      </c>
      <c r="U111" s="222" t="s">
        <v>1289</v>
      </c>
      <c r="V111" s="222" t="s">
        <v>1290</v>
      </c>
      <c r="W111" s="222" t="s">
        <v>1291</v>
      </c>
      <c r="X111" s="230" t="s">
        <v>1292</v>
      </c>
      <c r="Y111" s="230" t="s">
        <v>1293</v>
      </c>
      <c r="Z111" s="223" t="s">
        <v>1294</v>
      </c>
      <c r="AA111" s="224" t="s">
        <v>1295</v>
      </c>
      <c r="AC111" s="225" t="s">
        <v>1296</v>
      </c>
      <c r="AD111" s="225" t="s">
        <v>1297</v>
      </c>
      <c r="AE111" s="226" t="s">
        <v>1298</v>
      </c>
      <c r="AF111" s="223" t="s">
        <v>1299</v>
      </c>
      <c r="AG111" s="223" t="s">
        <v>1300</v>
      </c>
      <c r="AH111" s="223" t="s">
        <v>1301</v>
      </c>
    </row>
    <row r="112" spans="3:42" x14ac:dyDescent="0.25">
      <c r="C112" s="33" t="str">
        <f>C99</f>
        <v>OTS</v>
      </c>
      <c r="D112" s="33" t="str">
        <f>C28</f>
        <v>PFOS</v>
      </c>
      <c r="E112" s="33">
        <f>E99</f>
        <v>10</v>
      </c>
      <c r="F112" s="220">
        <f>I34</f>
        <v>10.483333333333334</v>
      </c>
      <c r="G112" s="220">
        <f>K34</f>
        <v>-2790.0000000000005</v>
      </c>
      <c r="I112" s="220">
        <f>SLOPE(G112:G115,F112:F115)</f>
        <v>-77.676413338461742</v>
      </c>
      <c r="J112" s="221" t="e">
        <f>LOG(I112)</f>
        <v>#NUM!</v>
      </c>
      <c r="K112" s="33">
        <f>V112/L112*Y112</f>
        <v>1.0156766623585431E-9</v>
      </c>
      <c r="L112" s="33">
        <f>1/W112*X112</f>
        <v>-306747535775.85394</v>
      </c>
      <c r="T112" s="204">
        <f>1/F112</f>
        <v>9.538950715421303E-2</v>
      </c>
      <c r="U112" s="204">
        <f>1/G112</f>
        <v>-3.584229390681003E-4</v>
      </c>
      <c r="V112" s="204">
        <f>1/(SLOPE(U112:U115,T112:T115))</f>
        <v>-279.81737679838352</v>
      </c>
      <c r="W112" s="204">
        <f>INTERCEPT(U112:U115,T112:T115)</f>
        <v>-2.915159121535962E-5</v>
      </c>
      <c r="X112" s="229">
        <v>8942178.7692565955</v>
      </c>
      <c r="Y112" s="229">
        <v>1.1134273249513467</v>
      </c>
      <c r="Z112" s="227">
        <f>L112*(K112*F112/(1+K112*F112))</f>
        <v>-3266.1486498980807</v>
      </c>
      <c r="AA112" s="227">
        <f>(G112-Z112)^2</f>
        <v>226717.53679976464</v>
      </c>
      <c r="AC112" s="33" t="e">
        <f>INTERCEPT(AG112:AG115,AF112:AF115)</f>
        <v>#NUM!</v>
      </c>
      <c r="AD112" s="33" t="e">
        <f>10^AC112</f>
        <v>#NUM!</v>
      </c>
      <c r="AE112" s="34" t="e">
        <f>SLOPE(AG112:AG115,AF112:AF115)</f>
        <v>#NUM!</v>
      </c>
      <c r="AF112" s="204">
        <f t="shared" ref="AF112:AG115" si="38">LOG(F112)</f>
        <v>1.0204993950616252</v>
      </c>
      <c r="AG112" s="204" t="e">
        <f t="shared" si="38"/>
        <v>#NUM!</v>
      </c>
      <c r="AH112" s="204" t="e">
        <f>AD112*F112^AE112</f>
        <v>#NUM!</v>
      </c>
    </row>
    <row r="113" spans="3:42" x14ac:dyDescent="0.25">
      <c r="C113" s="33" t="str">
        <f>C112</f>
        <v>OTS</v>
      </c>
      <c r="D113" s="33" t="str">
        <f>D112</f>
        <v>PFOS</v>
      </c>
      <c r="E113" s="33">
        <f t="shared" ref="E113:E115" si="39">E100</f>
        <v>50</v>
      </c>
      <c r="F113" s="220">
        <f>I40</f>
        <v>32.06666666666667</v>
      </c>
      <c r="G113" s="220">
        <f>K40</f>
        <v>-5366.6666666666706</v>
      </c>
      <c r="T113" s="204">
        <f t="shared" ref="T113:U115" si="40">1/F113</f>
        <v>3.1185031185031183E-2</v>
      </c>
      <c r="U113" s="204">
        <f t="shared" si="40"/>
        <v>-1.8633540372670795E-4</v>
      </c>
      <c r="V113" s="200"/>
      <c r="W113" s="200"/>
      <c r="X113" s="200"/>
      <c r="Y113" s="200"/>
      <c r="Z113" s="227">
        <f>L112*(K112*F113/(1+K112*F113))</f>
        <v>-9990.572121854515</v>
      </c>
      <c r="AA113" s="227">
        <f>(G113-Z113)^2</f>
        <v>21380501.658515908</v>
      </c>
      <c r="AF113" s="204">
        <f t="shared" si="38"/>
        <v>1.5060538173181506</v>
      </c>
      <c r="AG113" s="204" t="e">
        <f t="shared" si="38"/>
        <v>#NUM!</v>
      </c>
      <c r="AH113" s="204" t="e">
        <f>AD112*F113^AE112</f>
        <v>#NUM!</v>
      </c>
    </row>
    <row r="114" spans="3:42" x14ac:dyDescent="0.25">
      <c r="C114" s="33" t="str">
        <f t="shared" ref="C114:D115" si="41">C113</f>
        <v>OTS</v>
      </c>
      <c r="D114" s="33" t="str">
        <f t="shared" si="41"/>
        <v>PFOS</v>
      </c>
      <c r="E114" s="33">
        <f t="shared" si="39"/>
        <v>100</v>
      </c>
      <c r="F114" s="220">
        <f>I46</f>
        <v>77.900000000000006</v>
      </c>
      <c r="G114" s="220">
        <f>K46</f>
        <v>-19100.000000000011</v>
      </c>
      <c r="T114" s="204">
        <f t="shared" si="40"/>
        <v>1.2836970474967907E-2</v>
      </c>
      <c r="U114" s="204">
        <f t="shared" si="40"/>
        <v>-5.2356020942408348E-5</v>
      </c>
      <c r="V114" s="200"/>
      <c r="W114" s="200"/>
      <c r="X114" s="200"/>
      <c r="Y114" s="200"/>
      <c r="Z114" s="227">
        <f>L112*(K112*F114/(1+K112*F114))</f>
        <v>-24270.234887612369</v>
      </c>
      <c r="AA114" s="227">
        <f>(G114-Z114)^2</f>
        <v>26731328.79308397</v>
      </c>
      <c r="AF114" s="204">
        <f t="shared" si="38"/>
        <v>1.8915374576725645</v>
      </c>
      <c r="AG114" s="204" t="e">
        <f t="shared" si="38"/>
        <v>#NUM!</v>
      </c>
      <c r="AH114" s="204" t="e">
        <f>AD112*F114^AE112</f>
        <v>#NUM!</v>
      </c>
    </row>
    <row r="115" spans="3:42" ht="15.75" thickBot="1" x14ac:dyDescent="0.3">
      <c r="C115" s="33" t="str">
        <f t="shared" si="41"/>
        <v>OTS</v>
      </c>
      <c r="D115" s="33" t="str">
        <f t="shared" si="41"/>
        <v>PFOS</v>
      </c>
      <c r="E115" s="33">
        <f t="shared" si="39"/>
        <v>500</v>
      </c>
      <c r="F115" s="220">
        <f>I52</f>
        <v>438.66666666666669</v>
      </c>
      <c r="G115" s="220">
        <f>K52</f>
        <v>-38666.666666666686</v>
      </c>
      <c r="T115" s="204">
        <f t="shared" si="40"/>
        <v>2.2796352583586625E-3</v>
      </c>
      <c r="U115" s="204">
        <f t="shared" si="40"/>
        <v>-2.5862068965517227E-5</v>
      </c>
      <c r="V115" s="200"/>
      <c r="W115" s="200"/>
      <c r="X115" s="200"/>
      <c r="Y115" s="200"/>
      <c r="Z115" s="227">
        <f>L112*(K112*F115/(1+K112*F115))</f>
        <v>-136669.30855246575</v>
      </c>
      <c r="AA115" s="232">
        <f>(G115-Z115)^2</f>
        <v>9604517816.5961781</v>
      </c>
      <c r="AF115" s="204">
        <f t="shared" si="38"/>
        <v>2.6421346345582744</v>
      </c>
      <c r="AG115" s="204" t="e">
        <f t="shared" si="38"/>
        <v>#NUM!</v>
      </c>
      <c r="AH115" s="204" t="e">
        <f>AD112*F115^AE112</f>
        <v>#NUM!</v>
      </c>
    </row>
    <row r="116" spans="3:42" ht="15.75" thickBot="1" x14ac:dyDescent="0.3">
      <c r="T116" s="200"/>
      <c r="U116" s="200"/>
      <c r="V116" s="200"/>
      <c r="W116" s="200"/>
      <c r="X116" s="200"/>
      <c r="Y116" s="200"/>
      <c r="Z116" s="231" t="s">
        <v>1302</v>
      </c>
      <c r="AA116" s="233">
        <f>SUM(AA112:AA115)</f>
        <v>9652856364.5845776</v>
      </c>
      <c r="AF116" s="200"/>
      <c r="AG116" s="200"/>
      <c r="AH116" s="200"/>
    </row>
    <row r="117" spans="3:42" x14ac:dyDescent="0.25">
      <c r="T117" s="200"/>
      <c r="U117" s="200"/>
      <c r="V117" s="200"/>
      <c r="W117" s="200"/>
      <c r="X117" s="200"/>
      <c r="Y117" s="200"/>
      <c r="Z117" s="200"/>
      <c r="AA117" s="228"/>
      <c r="AF117" s="200"/>
      <c r="AG117" s="200"/>
      <c r="AH117" s="200"/>
    </row>
    <row r="118" spans="3:42" x14ac:dyDescent="0.25">
      <c r="T118" s="200"/>
      <c r="U118" s="200"/>
      <c r="V118" s="200"/>
      <c r="W118" s="200"/>
      <c r="X118" s="200"/>
      <c r="Y118" s="200"/>
      <c r="AF118" s="200"/>
      <c r="AG118" s="200"/>
      <c r="AH118" s="200"/>
    </row>
    <row r="119" spans="3:42" x14ac:dyDescent="0.25">
      <c r="AF119" s="200"/>
      <c r="AG119" s="200"/>
      <c r="AH119" s="200"/>
    </row>
    <row r="120" spans="3:42" x14ac:dyDescent="0.25">
      <c r="AF120" s="200"/>
      <c r="AG120" s="200"/>
      <c r="AH120" s="200"/>
    </row>
    <row r="123" spans="3:42" x14ac:dyDescent="0.25">
      <c r="C123" s="262" t="s">
        <v>1303</v>
      </c>
      <c r="D123" s="262"/>
      <c r="E123" s="262"/>
      <c r="F123" s="262"/>
      <c r="G123" s="262"/>
      <c r="I123" s="263" t="s">
        <v>1304</v>
      </c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  <c r="AC123" s="264" t="s">
        <v>1305</v>
      </c>
      <c r="AD123" s="264"/>
      <c r="AE123" s="264"/>
      <c r="AF123" s="264"/>
      <c r="AG123" s="264"/>
      <c r="AH123" s="264"/>
      <c r="AI123" s="264"/>
      <c r="AJ123" s="264"/>
      <c r="AK123" s="264"/>
      <c r="AL123" s="264"/>
      <c r="AM123" s="264"/>
      <c r="AN123" s="264"/>
      <c r="AO123" s="264"/>
      <c r="AP123" s="264"/>
    </row>
    <row r="124" spans="3:42" ht="76.5" x14ac:dyDescent="0.35">
      <c r="C124" s="225" t="s">
        <v>1280</v>
      </c>
      <c r="D124" s="225" t="s">
        <v>243</v>
      </c>
      <c r="E124" s="225" t="s">
        <v>1281</v>
      </c>
      <c r="F124" s="225" t="s">
        <v>1286</v>
      </c>
      <c r="G124" s="225" t="s">
        <v>1287</v>
      </c>
      <c r="H124" s="10"/>
      <c r="I124" s="225" t="s">
        <v>1282</v>
      </c>
      <c r="J124" s="225" t="s">
        <v>1283</v>
      </c>
      <c r="K124" s="225" t="s">
        <v>1284</v>
      </c>
      <c r="L124" s="225" t="s">
        <v>1285</v>
      </c>
      <c r="M124" s="101"/>
      <c r="N124" s="101"/>
      <c r="O124" s="101"/>
      <c r="P124" s="101"/>
      <c r="Q124" s="101"/>
      <c r="R124" s="101"/>
      <c r="T124" s="222" t="s">
        <v>1288</v>
      </c>
      <c r="U124" s="222" t="s">
        <v>1289</v>
      </c>
      <c r="V124" s="222" t="s">
        <v>1290</v>
      </c>
      <c r="W124" s="222" t="s">
        <v>1291</v>
      </c>
      <c r="X124" s="230" t="s">
        <v>1292</v>
      </c>
      <c r="Y124" s="230" t="s">
        <v>1293</v>
      </c>
      <c r="Z124" s="223" t="s">
        <v>1294</v>
      </c>
      <c r="AA124" s="224" t="s">
        <v>1295</v>
      </c>
      <c r="AC124" s="225" t="s">
        <v>1296</v>
      </c>
      <c r="AD124" s="225" t="s">
        <v>1297</v>
      </c>
      <c r="AE124" s="226" t="s">
        <v>1298</v>
      </c>
      <c r="AF124" s="223" t="s">
        <v>1299</v>
      </c>
      <c r="AG124" s="223" t="s">
        <v>1300</v>
      </c>
      <c r="AH124" s="223" t="s">
        <v>1301</v>
      </c>
    </row>
    <row r="125" spans="3:42" x14ac:dyDescent="0.25">
      <c r="C125" s="33" t="str">
        <f>C112</f>
        <v>OTS</v>
      </c>
      <c r="D125" s="33" t="str">
        <f>C29</f>
        <v>8:2FTS</v>
      </c>
      <c r="E125" s="33">
        <f>E112</f>
        <v>10</v>
      </c>
      <c r="F125" s="220">
        <f>I35</f>
        <v>8.98</v>
      </c>
      <c r="G125" s="220">
        <f>K35</f>
        <v>-1916.666666666667</v>
      </c>
      <c r="I125" s="220">
        <f>SLOPE(G125:G128,F125:F128)</f>
        <v>15.984790439876333</v>
      </c>
      <c r="J125" s="221">
        <f>LOG(I125)</f>
        <v>1.203706947057384</v>
      </c>
      <c r="K125" s="33">
        <f>V125/L125*Y125</f>
        <v>1.185323704098263E-9</v>
      </c>
      <c r="L125" s="33">
        <f>1/W125*X125</f>
        <v>-317476877036.14148</v>
      </c>
      <c r="T125" s="204">
        <f>1/F125</f>
        <v>0.11135857461024498</v>
      </c>
      <c r="U125" s="204">
        <f>1/G125</f>
        <v>-5.2173913043478256E-4</v>
      </c>
      <c r="V125" s="204">
        <f>1/(SLOPE(U125:U128,T125:T128))</f>
        <v>-234.98651137418986</v>
      </c>
      <c r="W125" s="204">
        <f>INTERCEPT(U125:U128,T125:T128)</f>
        <v>-2.8166394004288195E-5</v>
      </c>
      <c r="X125" s="229">
        <v>8942178.8058509156</v>
      </c>
      <c r="Y125" s="229">
        <v>1.6014232717161863</v>
      </c>
      <c r="Z125" s="227">
        <f>L125*(K125*F125/(1+K125*F125))</f>
        <v>-3379.2895173593147</v>
      </c>
      <c r="AA125" s="227">
        <f>(G125-Z125)^2</f>
        <v>2139265.6033682874</v>
      </c>
      <c r="AC125" s="33" t="e">
        <f>INTERCEPT(AG125:AG128,AF125:AF128)</f>
        <v>#NUM!</v>
      </c>
      <c r="AD125" s="33" t="e">
        <f>10^AC125</f>
        <v>#NUM!</v>
      </c>
      <c r="AE125" s="34" t="e">
        <f>SLOPE(AG125:AG128,AF125:AF128)</f>
        <v>#NUM!</v>
      </c>
      <c r="AF125" s="204">
        <f t="shared" ref="AF125:AG128" si="42">LOG(F125)</f>
        <v>0.95327633666730438</v>
      </c>
      <c r="AG125" s="204" t="e">
        <f t="shared" si="42"/>
        <v>#NUM!</v>
      </c>
      <c r="AH125" s="204" t="e">
        <f>AD125*F125^AE125</f>
        <v>#NUM!</v>
      </c>
    </row>
    <row r="126" spans="3:42" x14ac:dyDescent="0.25">
      <c r="C126" s="33" t="str">
        <f>C125</f>
        <v>OTS</v>
      </c>
      <c r="D126" s="33" t="str">
        <f>D125</f>
        <v>8:2FTS</v>
      </c>
      <c r="E126" s="33">
        <f t="shared" ref="E126:E128" si="43">E113</f>
        <v>50</v>
      </c>
      <c r="F126" s="220">
        <f>I41</f>
        <v>35.533333333333339</v>
      </c>
      <c r="G126" s="220">
        <f>K41</f>
        <v>-12333.333333333339</v>
      </c>
      <c r="T126" s="204">
        <f t="shared" ref="T126:U128" si="44">1/F126</f>
        <v>2.814258911819887E-2</v>
      </c>
      <c r="U126" s="204">
        <f t="shared" si="44"/>
        <v>-8.1081081081081036E-5</v>
      </c>
      <c r="V126" s="200"/>
      <c r="W126" s="200"/>
      <c r="X126" s="200"/>
      <c r="Y126" s="200"/>
      <c r="Z126" s="227">
        <f>L125*(K125*F126/(1+K125*F126))</f>
        <v>-13371.650007885924</v>
      </c>
      <c r="AA126" s="227">
        <f>(G126-Z126)^2</f>
        <v>1078101.5166539387</v>
      </c>
      <c r="AF126" s="204">
        <f t="shared" si="42"/>
        <v>1.550635949970891</v>
      </c>
      <c r="AG126" s="204" t="e">
        <f t="shared" si="42"/>
        <v>#NUM!</v>
      </c>
      <c r="AH126" s="204" t="e">
        <f>AD125*F126^AE125</f>
        <v>#NUM!</v>
      </c>
    </row>
    <row r="127" spans="3:42" x14ac:dyDescent="0.25">
      <c r="C127" s="33" t="str">
        <f t="shared" ref="C127:D128" si="45">C126</f>
        <v>OTS</v>
      </c>
      <c r="D127" s="33" t="str">
        <f t="shared" si="45"/>
        <v>8:2FTS</v>
      </c>
      <c r="E127" s="33">
        <f t="shared" si="43"/>
        <v>100</v>
      </c>
      <c r="F127" s="220">
        <f>I47</f>
        <v>98.766666666666666</v>
      </c>
      <c r="G127" s="220">
        <f>K47</f>
        <v>-51433.333333333336</v>
      </c>
      <c r="T127" s="204">
        <f t="shared" si="44"/>
        <v>1.0124873439082012E-2</v>
      </c>
      <c r="U127" s="204">
        <f t="shared" si="44"/>
        <v>-1.9442644199611147E-5</v>
      </c>
      <c r="V127" s="200"/>
      <c r="W127" s="200"/>
      <c r="X127" s="200"/>
      <c r="Y127" s="200"/>
      <c r="Z127" s="227">
        <f>L125*(K125*F127/(1+K125*F127))</f>
        <v>-37167.163230538856</v>
      </c>
      <c r="AA127" s="227">
        <f>(G127-Z127)^2</f>
        <v>203523609.40186706</v>
      </c>
      <c r="AF127" s="204">
        <f t="shared" si="42"/>
        <v>1.9946103967603888</v>
      </c>
      <c r="AG127" s="204" t="e">
        <f t="shared" si="42"/>
        <v>#NUM!</v>
      </c>
      <c r="AH127" s="204" t="e">
        <f>AD125*F127^AE125</f>
        <v>#NUM!</v>
      </c>
    </row>
    <row r="128" spans="3:42" ht="15.75" thickBot="1" x14ac:dyDescent="0.3">
      <c r="C128" s="33" t="str">
        <f t="shared" si="45"/>
        <v>OTS</v>
      </c>
      <c r="D128" s="33" t="str">
        <f t="shared" si="45"/>
        <v>8:2FTS</v>
      </c>
      <c r="E128" s="33">
        <f t="shared" si="43"/>
        <v>500</v>
      </c>
      <c r="F128" s="220">
        <f>I53</f>
        <v>461.66666666666669</v>
      </c>
      <c r="G128" s="220">
        <f>K53</f>
        <v>-7333.3333333333712</v>
      </c>
      <c r="T128" s="204">
        <f t="shared" si="44"/>
        <v>2.1660649819494585E-3</v>
      </c>
      <c r="U128" s="204">
        <f t="shared" si="44"/>
        <v>-1.3636363636363566E-4</v>
      </c>
      <c r="V128" s="200"/>
      <c r="W128" s="200"/>
      <c r="X128" s="200"/>
      <c r="Y128" s="200"/>
      <c r="Z128" s="227">
        <f>L125*(K125*F128/(1+K125*F128))</f>
        <v>-173731.01225608645</v>
      </c>
      <c r="AA128" s="232">
        <f>(G128-Z128)^2</f>
        <v>27688187550.879627</v>
      </c>
      <c r="AF128" s="204">
        <f t="shared" si="42"/>
        <v>2.6643285186808048</v>
      </c>
      <c r="AG128" s="204" t="e">
        <f t="shared" si="42"/>
        <v>#NUM!</v>
      </c>
      <c r="AH128" s="204" t="e">
        <f>AD125*F128^AE125</f>
        <v>#NUM!</v>
      </c>
    </row>
    <row r="129" spans="20:34" ht="15.75" thickBot="1" x14ac:dyDescent="0.3">
      <c r="T129" s="200"/>
      <c r="U129" s="200"/>
      <c r="V129" s="200"/>
      <c r="W129" s="200"/>
      <c r="X129" s="200"/>
      <c r="Y129" s="200"/>
      <c r="Z129" s="231" t="s">
        <v>1302</v>
      </c>
      <c r="AA129" s="233">
        <f>SUM(AA125:AA128)</f>
        <v>27894928527.401516</v>
      </c>
      <c r="AF129" s="200"/>
      <c r="AG129" s="200"/>
      <c r="AH129" s="200"/>
    </row>
    <row r="130" spans="20:34" x14ac:dyDescent="0.25">
      <c r="T130" s="200"/>
      <c r="U130" s="200"/>
      <c r="V130" s="200"/>
      <c r="W130" s="200"/>
      <c r="X130" s="200"/>
      <c r="Y130" s="200"/>
      <c r="Z130" s="200"/>
      <c r="AA130" s="228"/>
      <c r="AF130" s="200"/>
      <c r="AG130" s="200"/>
      <c r="AH130" s="200"/>
    </row>
    <row r="131" spans="20:34" x14ac:dyDescent="0.25">
      <c r="T131" s="200"/>
      <c r="U131" s="200"/>
      <c r="V131" s="200"/>
      <c r="W131" s="200"/>
      <c r="X131" s="200"/>
      <c r="Y131" s="200"/>
      <c r="AF131" s="200"/>
      <c r="AG131" s="200"/>
      <c r="AH131" s="200"/>
    </row>
    <row r="132" spans="20:34" x14ac:dyDescent="0.25">
      <c r="AF132" s="200"/>
      <c r="AG132" s="200"/>
      <c r="AH132" s="200"/>
    </row>
    <row r="133" spans="20:34" x14ac:dyDescent="0.25">
      <c r="AF133" s="200"/>
      <c r="AG133" s="200"/>
      <c r="AH133" s="200"/>
    </row>
  </sheetData>
  <mergeCells count="23">
    <mergeCell ref="C123:G123"/>
    <mergeCell ref="I123:AA123"/>
    <mergeCell ref="AC123:AP123"/>
    <mergeCell ref="C97:G97"/>
    <mergeCell ref="I97:AA97"/>
    <mergeCell ref="AC97:AP97"/>
    <mergeCell ref="C110:G110"/>
    <mergeCell ref="I110:AA110"/>
    <mergeCell ref="AC110:AP110"/>
    <mergeCell ref="AC58:AP58"/>
    <mergeCell ref="C71:G71"/>
    <mergeCell ref="I71:AA71"/>
    <mergeCell ref="AC71:AP71"/>
    <mergeCell ref="C84:G84"/>
    <mergeCell ref="I84:AA84"/>
    <mergeCell ref="AC84:AP84"/>
    <mergeCell ref="C58:G58"/>
    <mergeCell ref="I58:AA58"/>
    <mergeCell ref="C7:Q7"/>
    <mergeCell ref="A8:A13"/>
    <mergeCell ref="C14:R14"/>
    <mergeCell ref="A15:A20"/>
    <mergeCell ref="A24:A53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8816-A51B-4416-8EC1-50F0CEC5D263}">
  <dimension ref="B1:F7"/>
  <sheetViews>
    <sheetView workbookViewId="0">
      <selection activeCell="E34" sqref="E34"/>
    </sheetView>
  </sheetViews>
  <sheetFormatPr defaultRowHeight="15" x14ac:dyDescent="0.25"/>
  <cols>
    <col min="5" max="5" width="20.28515625" customWidth="1"/>
    <col min="6" max="6" width="21.28515625" customWidth="1"/>
  </cols>
  <sheetData>
    <row r="1" spans="2:6" x14ac:dyDescent="0.25">
      <c r="E1" s="101" t="s">
        <v>884</v>
      </c>
      <c r="F1" s="101" t="s">
        <v>885</v>
      </c>
    </row>
    <row r="2" spans="2:6" x14ac:dyDescent="0.25">
      <c r="B2" t="s">
        <v>834</v>
      </c>
      <c r="E2" t="s">
        <v>528</v>
      </c>
      <c r="F2" t="s">
        <v>878</v>
      </c>
    </row>
    <row r="3" spans="2:6" x14ac:dyDescent="0.25">
      <c r="B3" t="s">
        <v>840</v>
      </c>
      <c r="E3" t="s">
        <v>536</v>
      </c>
      <c r="F3" t="s">
        <v>879</v>
      </c>
    </row>
    <row r="4" spans="2:6" x14ac:dyDescent="0.25">
      <c r="B4" t="s">
        <v>846</v>
      </c>
      <c r="E4" t="s">
        <v>540</v>
      </c>
      <c r="F4" t="s">
        <v>880</v>
      </c>
    </row>
    <row r="5" spans="2:6" x14ac:dyDescent="0.25">
      <c r="B5" t="s">
        <v>853</v>
      </c>
      <c r="E5" t="s">
        <v>548</v>
      </c>
      <c r="F5" t="s">
        <v>881</v>
      </c>
    </row>
    <row r="6" spans="2:6" x14ac:dyDescent="0.25">
      <c r="B6" t="s">
        <v>860</v>
      </c>
      <c r="E6" t="s">
        <v>555</v>
      </c>
      <c r="F6" t="s">
        <v>882</v>
      </c>
    </row>
    <row r="7" spans="2:6" x14ac:dyDescent="0.25">
      <c r="B7" t="s">
        <v>868</v>
      </c>
      <c r="E7" t="s">
        <v>561</v>
      </c>
      <c r="F7" t="s">
        <v>883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4DEDD-B72D-4821-AB3D-D06EDEBB3935}">
  <sheetPr>
    <tabColor rgb="FFFF0000"/>
  </sheetPr>
  <dimension ref="B3:C8"/>
  <sheetViews>
    <sheetView workbookViewId="0">
      <selection activeCell="G38" sqref="G38"/>
    </sheetView>
  </sheetViews>
  <sheetFormatPr defaultRowHeight="15" x14ac:dyDescent="0.25"/>
  <sheetData>
    <row r="3" spans="2:3" ht="18.75" x14ac:dyDescent="0.3">
      <c r="B3" t="s">
        <v>1307</v>
      </c>
    </row>
    <row r="4" spans="2:3" ht="18.75" x14ac:dyDescent="0.3">
      <c r="B4" t="s">
        <v>1308</v>
      </c>
    </row>
    <row r="5" spans="2:3" x14ac:dyDescent="0.25">
      <c r="B5" t="s">
        <v>1309</v>
      </c>
    </row>
    <row r="6" spans="2:3" x14ac:dyDescent="0.25">
      <c r="B6" t="s">
        <v>1310</v>
      </c>
    </row>
    <row r="7" spans="2:3" x14ac:dyDescent="0.25">
      <c r="C7" s="242" t="s">
        <v>1311</v>
      </c>
    </row>
    <row r="8" spans="2:3" x14ac:dyDescent="0.25">
      <c r="C8" s="242" t="s">
        <v>1312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data</vt:lpstr>
      <vt:lpstr>Task 2b Sample List</vt:lpstr>
      <vt:lpstr>PFAS at t0</vt:lpstr>
      <vt:lpstr>HSM+BM1 (1-1)</vt:lpstr>
      <vt:lpstr>SHW</vt:lpstr>
      <vt:lpstr>OTS</vt:lpstr>
      <vt:lpstr>Sample ID issues</vt:lpstr>
      <vt:lpstr>IMPORTANT - READ 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Kaltenberg, Eliza M</cp:lastModifiedBy>
  <dcterms:created xsi:type="dcterms:W3CDTF">2015-06-05T18:17:20Z</dcterms:created>
  <dcterms:modified xsi:type="dcterms:W3CDTF">2021-03-05T00:04:26Z</dcterms:modified>
</cp:coreProperties>
</file>