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soil pouches on top tests/"/>
    </mc:Choice>
  </mc:AlternateContent>
  <xr:revisionPtr revIDLastSave="0" documentId="8_{926ED49A-6007-48B2-981C-9CADCF7B5A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4" r:id="rId1"/>
    <sheet name="Spiral" sheetId="1" r:id="rId2"/>
    <sheet name="Spread" sheetId="2" r:id="rId3"/>
    <sheet name="Volumes" sheetId="3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F43" i="2"/>
  <c r="B40" i="2"/>
  <c r="C40" i="2"/>
  <c r="D40" i="2"/>
  <c r="E40" i="2"/>
  <c r="F40" i="2"/>
  <c r="A41" i="2"/>
  <c r="B41" i="2"/>
  <c r="C41" i="2"/>
  <c r="B42" i="2"/>
  <c r="C42" i="2"/>
  <c r="B43" i="2"/>
  <c r="C43" i="2"/>
  <c r="D43" i="2"/>
  <c r="E43" i="2"/>
  <c r="A44" i="2"/>
  <c r="B44" i="2"/>
  <c r="C44" i="2"/>
  <c r="B45" i="2"/>
  <c r="C45" i="2"/>
  <c r="B46" i="2"/>
  <c r="C46" i="2"/>
  <c r="E46" i="2"/>
  <c r="F46" i="2"/>
  <c r="A47" i="2"/>
  <c r="B47" i="2"/>
  <c r="C47" i="2"/>
  <c r="B48" i="2"/>
  <c r="C48" i="2"/>
  <c r="E21" i="1"/>
  <c r="E17" i="1"/>
  <c r="E13" i="1"/>
  <c r="E9" i="1"/>
  <c r="A73" i="2"/>
  <c r="A70" i="2"/>
  <c r="A67" i="2"/>
  <c r="A64" i="2"/>
  <c r="A61" i="2"/>
  <c r="A58" i="2"/>
  <c r="H55" i="2"/>
  <c r="A50" i="2"/>
  <c r="A38" i="2"/>
  <c r="A35" i="2"/>
  <c r="A32" i="2"/>
  <c r="A29" i="2"/>
  <c r="A26" i="2"/>
  <c r="A23" i="2"/>
  <c r="A20" i="2"/>
  <c r="A17" i="2"/>
  <c r="A14" i="2"/>
  <c r="J45" i="2"/>
  <c r="J48" i="2"/>
  <c r="J42" i="2"/>
  <c r="K42" i="2" l="1"/>
  <c r="K48" i="2"/>
  <c r="K45" i="2"/>
  <c r="M71" i="2"/>
  <c r="L71" i="2"/>
  <c r="M68" i="2"/>
  <c r="L68" i="2"/>
  <c r="M65" i="2"/>
  <c r="L65" i="2"/>
  <c r="M62" i="2"/>
  <c r="L62" i="2"/>
  <c r="M59" i="2"/>
  <c r="L59" i="2"/>
  <c r="M42" i="2"/>
  <c r="J62" i="2"/>
  <c r="J65" i="2"/>
  <c r="J71" i="2"/>
  <c r="J68" i="2"/>
  <c r="J59" i="2"/>
  <c r="K71" i="2" l="1"/>
  <c r="K68" i="2"/>
  <c r="K65" i="2"/>
  <c r="K62" i="2"/>
  <c r="K59" i="2"/>
  <c r="B16" i="4"/>
  <c r="B17" i="4"/>
  <c r="C17" i="4" l="1"/>
  <c r="C16" i="4"/>
  <c r="F9" i="1"/>
  <c r="F21" i="1"/>
  <c r="M27" i="2"/>
  <c r="J15" i="2"/>
  <c r="K102" i="2" l="1"/>
  <c r="K99" i="2"/>
  <c r="K96" i="2"/>
  <c r="K81" i="2"/>
  <c r="K78" i="2"/>
  <c r="L105" i="2"/>
  <c r="M121" i="2"/>
  <c r="M118" i="2"/>
  <c r="M115" i="2"/>
  <c r="M105" i="2"/>
  <c r="M102" i="2"/>
  <c r="M99" i="2"/>
  <c r="M96" i="2"/>
  <c r="M93" i="2"/>
  <c r="M90" i="2"/>
  <c r="M87" i="2"/>
  <c r="M84" i="2"/>
  <c r="M81" i="2"/>
  <c r="M78" i="2"/>
  <c r="M75" i="2"/>
  <c r="M72" i="2"/>
  <c r="M69" i="2"/>
  <c r="M51" i="2"/>
  <c r="M48" i="2"/>
  <c r="M45" i="2"/>
  <c r="L121" i="2"/>
  <c r="L118" i="2"/>
  <c r="L115" i="2"/>
  <c r="L102" i="2"/>
  <c r="L99" i="2"/>
  <c r="L96" i="2"/>
  <c r="L93" i="2"/>
  <c r="L90" i="2"/>
  <c r="L87" i="2"/>
  <c r="L84" i="2"/>
  <c r="L81" i="2"/>
  <c r="L78" i="2"/>
  <c r="L75" i="2"/>
  <c r="L72" i="2"/>
  <c r="L69" i="2"/>
  <c r="L51" i="2"/>
  <c r="L48" i="2"/>
  <c r="L45" i="2"/>
  <c r="L42" i="2"/>
  <c r="J84" i="2"/>
  <c r="J81" i="2"/>
  <c r="J118" i="2"/>
  <c r="J21" i="2"/>
  <c r="J78" i="2"/>
  <c r="J75" i="2"/>
  <c r="J24" i="2"/>
  <c r="J39" i="2"/>
  <c r="J121" i="2"/>
  <c r="J99" i="2"/>
  <c r="J36" i="2"/>
  <c r="J87" i="2"/>
  <c r="J27" i="2"/>
  <c r="J105" i="2"/>
  <c r="J102" i="2"/>
  <c r="J93" i="2"/>
  <c r="J96" i="2"/>
  <c r="J72" i="2"/>
  <c r="J51" i="2"/>
  <c r="J90" i="2"/>
  <c r="J115" i="2"/>
  <c r="J30" i="2"/>
  <c r="J33" i="2"/>
  <c r="J18" i="2"/>
  <c r="K39" i="2" l="1"/>
  <c r="K36" i="2"/>
  <c r="K33" i="2"/>
  <c r="K118" i="2"/>
  <c r="K115" i="2"/>
  <c r="K121" i="2"/>
  <c r="K84" i="2"/>
  <c r="K87" i="2"/>
  <c r="K93" i="2"/>
  <c r="K90" i="2"/>
  <c r="K72" i="2"/>
  <c r="K75" i="2"/>
  <c r="K105" i="2"/>
  <c r="K30" i="2"/>
  <c r="K18" i="2"/>
  <c r="K21" i="2"/>
  <c r="K24" i="2"/>
  <c r="K27" i="2"/>
  <c r="K51" i="2"/>
  <c r="B15" i="4"/>
  <c r="B7" i="4"/>
  <c r="B6" i="4"/>
  <c r="B11" i="4"/>
  <c r="B9" i="4"/>
  <c r="B14" i="4"/>
  <c r="B13" i="4"/>
  <c r="B12" i="4"/>
  <c r="B10" i="4"/>
  <c r="C15" i="4" l="1"/>
  <c r="M39" i="2"/>
  <c r="M36" i="2"/>
  <c r="M33" i="2"/>
  <c r="M30" i="2"/>
  <c r="M24" i="2"/>
  <c r="M21" i="2"/>
  <c r="M18" i="2"/>
  <c r="M15" i="2"/>
  <c r="K15" i="2"/>
  <c r="B5" i="4"/>
  <c r="B8" i="4"/>
  <c r="E15" i="4" l="1"/>
  <c r="D15" i="4"/>
  <c r="L39" i="2"/>
  <c r="L36" i="2"/>
  <c r="L33" i="2"/>
  <c r="L30" i="2"/>
  <c r="L27" i="2"/>
  <c r="L24" i="2"/>
  <c r="L21" i="2"/>
  <c r="L18" i="2"/>
  <c r="L15" i="2"/>
  <c r="B4" i="4"/>
  <c r="B3" i="4"/>
  <c r="B2" i="4"/>
  <c r="F17" i="1" l="1"/>
  <c r="F13" i="1"/>
</calcChain>
</file>

<file path=xl/sharedStrings.xml><?xml version="1.0" encoding="utf-8"?>
<sst xmlns="http://schemas.openxmlformats.org/spreadsheetml/2006/main" count="177" uniqueCount="94">
  <si>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</si>
  <si>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</si>
  <si>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</si>
  <si>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</si>
  <si>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</si>
  <si>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</si>
  <si>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</si>
  <si>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</si>
  <si>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</si>
  <si>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%RSD</t>
  </si>
  <si>
    <t xml:space="preserve"> </t>
  </si>
  <si>
    <t>Sample ID</t>
  </si>
  <si>
    <t>Sample Volume (mL)*</t>
  </si>
  <si>
    <t>* Measured Gravimetrically (assuming 1g is equivalent to 1 ml)</t>
  </si>
  <si>
    <t>Serial Dilution/Plating Results Sheet</t>
  </si>
  <si>
    <t>Page   1 of</t>
  </si>
  <si>
    <t>Test Information</t>
  </si>
  <si>
    <t>EPA Project No.</t>
  </si>
  <si>
    <t>TO-479</t>
  </si>
  <si>
    <t>Test Date</t>
  </si>
  <si>
    <t>Analyst Name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</si>
  <si>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</si>
  <si>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</si>
  <si>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</si>
  <si>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</si>
  <si>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</si>
  <si>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</si>
  <si>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</si>
  <si>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</si>
  <si>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Date Counted</t>
  </si>
  <si>
    <t>Volume Plated:</t>
  </si>
  <si>
    <t>Extraction Volume:</t>
  </si>
  <si>
    <t>Plate Replicate</t>
  </si>
  <si>
    <t>Plate CFU Counts</t>
  </si>
  <si>
    <t>Dilution Plated</t>
  </si>
  <si>
    <t>Volume Plated (ml)</t>
  </si>
  <si>
    <t>Comments</t>
  </si>
  <si>
    <t>A</t>
  </si>
  <si>
    <t>B</t>
  </si>
  <si>
    <t>C</t>
  </si>
  <si>
    <t>N/A</t>
  </si>
  <si>
    <t>Volumes</t>
  </si>
  <si>
    <t>CFU/Sample</t>
  </si>
  <si>
    <t>CFU/sample</t>
  </si>
  <si>
    <t xml:space="preserve">Notes:  </t>
  </si>
  <si>
    <t>Bg</t>
  </si>
  <si>
    <t>35°C</t>
  </si>
  <si>
    <t>varies</t>
  </si>
  <si>
    <t>Page 2 of</t>
  </si>
  <si>
    <t>479-Bg-Inoculum-01</t>
  </si>
  <si>
    <t>QC BLANK</t>
  </si>
  <si>
    <t>479-CL-0"-3min-5PSI-TS-01</t>
  </si>
  <si>
    <t>479-CL-0"-3min-5PSI-TS-02</t>
  </si>
  <si>
    <t>479-CL-0"-3min-5PSI-TS-03</t>
  </si>
  <si>
    <t>479-CL-0"-6min-5PSI-TS-01</t>
  </si>
  <si>
    <t>479-CL-0"-6min-5PSI-TS-02</t>
  </si>
  <si>
    <t>479-CL-0"-6min-5PSI-TS-03</t>
  </si>
  <si>
    <t>479-CL-0"-9min-5PSI-TS-01</t>
  </si>
  <si>
    <t>479-CL-0"-9min-5PSI-TS-02</t>
  </si>
  <si>
    <t>479-CL-0"-9min-5PSI-TS-03</t>
  </si>
  <si>
    <t>479-CL-0"-12min-5PSI-TS-01</t>
  </si>
  <si>
    <t>479-CL-0"-12min-5PSI-TS-02</t>
  </si>
  <si>
    <t>479-CL-0"-12min-5PSI-TS-03</t>
  </si>
  <si>
    <t>479-CL-0"-12min-5PSI-IC-01</t>
  </si>
  <si>
    <t>479-CL-0"-0min-5PSI-PC-01</t>
  </si>
  <si>
    <t>479-CL-0"-0min-5PSI-PC-02</t>
  </si>
  <si>
    <t>479-CL-0"-0min-5PSI-PC-03</t>
  </si>
  <si>
    <t>479-CL-0"5PSI-NC-01</t>
  </si>
  <si>
    <r>
      <t>Recorded by: __</t>
    </r>
    <r>
      <rPr>
        <u/>
        <sz val="11"/>
        <color theme="1"/>
        <rFont val="Calibri"/>
        <family val="2"/>
        <scheme val="minor"/>
      </rPr>
      <t>Joshua Viola</t>
    </r>
    <r>
      <rPr>
        <sz val="11"/>
        <color theme="1"/>
        <rFont val="Calibri"/>
        <family val="2"/>
        <scheme val="minor"/>
      </rPr>
      <t>_</t>
    </r>
  </si>
  <si>
    <r>
      <t>Date: __</t>
    </r>
    <r>
      <rPr>
        <u/>
        <sz val="11"/>
        <color theme="1"/>
        <rFont val="Calibri"/>
        <family val="2"/>
        <scheme val="minor"/>
      </rPr>
      <t>12/05/2023</t>
    </r>
    <r>
      <rPr>
        <sz val="11"/>
        <color theme="1"/>
        <rFont val="Calibri"/>
        <family val="2"/>
        <scheme val="minor"/>
      </rPr>
      <t>_</t>
    </r>
  </si>
  <si>
    <t>Abdel-Hady/Aslett/Ford/Monge/Sandoval/Viola</t>
  </si>
  <si>
    <t>Bg Clay 0 inch 3-minute intervals</t>
  </si>
  <si>
    <t>Josh Viola/Mariela Monge</t>
  </si>
  <si>
    <t>Ahmed Abdel-Hady</t>
  </si>
  <si>
    <t>12/(5-6)/2023</t>
  </si>
  <si>
    <t>12/(6-7)/2023</t>
  </si>
  <si>
    <t>479-Bg-Liquid Inoculum-IC-01</t>
  </si>
  <si>
    <t>479-Bg-Liquid Inoculum-IC-02</t>
  </si>
  <si>
    <t>479-Bg-Liquid Inoculum-IC-03</t>
  </si>
  <si>
    <t>479-CL-0"-3MIN-5PSI-TS-01</t>
  </si>
  <si>
    <t>479-CL-0"-3MIN-5PSI-TS-02</t>
  </si>
  <si>
    <t>479-CL-0"-3MIN-5PSI-TS-03</t>
  </si>
  <si>
    <t>479-CL-0"-6MIN-5PSI-TS-01</t>
  </si>
  <si>
    <t>479-CL-0"-6MIN-5PSI-TS-02</t>
  </si>
  <si>
    <t>479-CL-0"-6MIN-5PSI-TS-03</t>
  </si>
  <si>
    <t>479-CL-0"-9MIN-5PSI-TS-01</t>
  </si>
  <si>
    <t>479-CL-0"-9MIN-5PSI-TS-02</t>
  </si>
  <si>
    <t>479-CL-0"-9MIN-5PSI-TS-03</t>
  </si>
  <si>
    <t>479-CL-0"-12MIN-5PSI-TS-01</t>
  </si>
  <si>
    <t>479-CL-0"-12MIN-5PSI-TS-02</t>
  </si>
  <si>
    <t>479-CL-0"-12MIN-5PSI-TS-03</t>
  </si>
  <si>
    <t>479-CL-0"-5PSI-NC-01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</si>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</sst>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E+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0" borderId="0" xfId="0" applyAlignment="1">
      <alignment wrapText="1"/>
    </xf>
    <xf numFmtId="19" fontId="0" fillId="0" borderId="0" xfId="0" applyNumberFormat="1"/>
    <xf numFmtId="9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/>
    <xf numFmtId="0" fontId="3" fillId="3" borderId="1" xfId="0" applyFont="1" applyFill="1" applyBorder="1" applyAlignment="1">
      <alignment horizontal="right" vertical="center"/>
    </xf>
    <xf numFmtId="14" fontId="3" fillId="3" borderId="1" xfId="0" applyNumberFormat="1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7" fillId="3" borderId="7" xfId="0" applyFont="1" applyFill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5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/>
    <xf numFmtId="0" fontId="0" fillId="0" borderId="27" xfId="0" applyBorder="1"/>
    <xf numFmtId="0" fontId="4" fillId="0" borderId="0" xfId="0" applyFont="1"/>
    <xf numFmtId="2" fontId="0" fillId="0" borderId="0" xfId="0" applyNumberFormat="1"/>
    <xf numFmtId="11" fontId="0" fillId="0" borderId="0" xfId="1" applyNumberFormat="1" applyFont="1" applyFill="1"/>
    <xf numFmtId="11" fontId="0" fillId="0" borderId="1" xfId="0" applyNumberFormat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/>
    <xf numFmtId="166" fontId="0" fillId="0" borderId="0" xfId="1" applyNumberFormat="1" applyFont="1"/>
    <xf numFmtId="0" fontId="8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2" borderId="8" xfId="0" applyFill="1" applyBorder="1"/>
    <xf numFmtId="0" fontId="7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6" fillId="2" borderId="24" xfId="0" applyFont="1" applyFill="1" applyBorder="1" applyAlignment="1">
      <alignment horizontal="center" wrapText="1"/>
    </xf>
    <xf numFmtId="0" fontId="0" fillId="2" borderId="7" xfId="0" applyFill="1" applyBorder="1"/>
    <xf numFmtId="0" fontId="3" fillId="2" borderId="12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wrapText="1"/>
    </xf>
    <xf numFmtId="0" fontId="0" fillId="0" borderId="0" xfId="1" applyNumberFormat="1" applyFont="1" applyFill="1"/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wrapText="1"/>
    </xf>
    <xf numFmtId="165" fontId="3" fillId="3" borderId="24" xfId="0" applyNumberFormat="1" applyFont="1" applyFill="1" applyBorder="1" applyAlignment="1">
      <alignment horizont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13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wrapText="1"/>
    </xf>
    <xf numFmtId="165" fontId="3" fillId="3" borderId="13" xfId="0" applyNumberFormat="1" applyFont="1" applyFill="1" applyBorder="1" applyAlignment="1">
      <alignment horizontal="center" wrapText="1"/>
    </xf>
    <xf numFmtId="165" fontId="3" fillId="3" borderId="12" xfId="0" applyNumberFormat="1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wrapText="1"/>
    </xf>
    <xf numFmtId="165" fontId="6" fillId="3" borderId="13" xfId="0" applyNumberFormat="1" applyFont="1" applyFill="1" applyBorder="1" applyAlignment="1">
      <alignment horizont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5" fontId="6" fillId="3" borderId="23" xfId="0" applyNumberFormat="1" applyFont="1" applyFill="1" applyBorder="1" applyAlignment="1">
      <alignment horizontal="center" shrinkToFit="1"/>
    </xf>
    <xf numFmtId="165" fontId="6" fillId="3" borderId="12" xfId="0" applyNumberFormat="1" applyFont="1" applyFill="1" applyBorder="1" applyAlignment="1">
      <alignment horizontal="center" shrinkToFit="1"/>
    </xf>
    <xf numFmtId="165" fontId="6" fillId="3" borderId="24" xfId="0" applyNumberFormat="1" applyFont="1" applyFill="1" applyBorder="1" applyAlignment="1">
      <alignment horizontal="center" shrinkToFit="1"/>
    </xf>
    <xf numFmtId="0" fontId="8" fillId="4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0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Spore Recovery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CFU/sample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479-CL-0"-3MIN-5PSI-TS-01</c:v>
                </c:pt>
                <c:pt idx="1">
                  <c:v>479-CL-0"-3MIN-5PSI-TS-02</c:v>
                </c:pt>
                <c:pt idx="2">
                  <c:v>479-CL-0"-3MIN-5PSI-TS-03</c:v>
                </c:pt>
                <c:pt idx="3">
                  <c:v>479-CL-0"-6MIN-5PSI-TS-01</c:v>
                </c:pt>
                <c:pt idx="4">
                  <c:v>479-CL-0"-6MIN-5PSI-TS-02</c:v>
                </c:pt>
                <c:pt idx="5">
                  <c:v>479-CL-0"-6MIN-5PSI-TS-03</c:v>
                </c:pt>
                <c:pt idx="6">
                  <c:v>479-CL-0"-9MIN-5PSI-TS-01</c:v>
                </c:pt>
                <c:pt idx="7">
                  <c:v>479-CL-0"-9MIN-5PSI-TS-02</c:v>
                </c:pt>
                <c:pt idx="8">
                  <c:v>479-CL-0"-9MIN-5PSI-TS-03</c:v>
                </c:pt>
                <c:pt idx="9">
                  <c:v>479-CL-0"-12MIN-5PSI-TS-01</c:v>
                </c:pt>
                <c:pt idx="10">
                  <c:v>479-CL-0"-12MIN-5PSI-TS-02</c:v>
                </c:pt>
                <c:pt idx="11">
                  <c:v>479-CL-0"-12MIN-5PSI-TS-03</c:v>
                </c:pt>
              </c:strCache>
            </c:strRef>
          </c:cat>
          <c:val>
            <c:numRef>
              <c:f>Sheet1!$B$2:$B$13</c:f>
              <c:numCache>
                <c:formatCode>0.00E+00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5-4145-A4AA-20EA6B78F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9648"/>
        <c:axId val="725520816"/>
      </c:lineChart>
      <c:catAx>
        <c:axId val="96684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520816"/>
        <c:crosses val="autoZero"/>
        <c:auto val="1"/>
        <c:lblAlgn val="ctr"/>
        <c:lblOffset val="100"/>
        <c:noMultiLvlLbl val="0"/>
      </c:catAx>
      <c:valAx>
        <c:axId val="72552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84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CFU/sample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Sheet1!$A$2:$A$13</c:f>
              <c:strCache>
                <c:ptCount val="12"/>
                <c:pt idx="0">
                  <c:v>479-CL-0"-3MIN-5PSI-TS-01</c:v>
                </c:pt>
                <c:pt idx="1">
                  <c:v>479-CL-0"-3MIN-5PSI-TS-02</c:v>
                </c:pt>
                <c:pt idx="2">
                  <c:v>479-CL-0"-3MIN-5PSI-TS-03</c:v>
                </c:pt>
                <c:pt idx="3">
                  <c:v>479-CL-0"-6MIN-5PSI-TS-01</c:v>
                </c:pt>
                <c:pt idx="4">
                  <c:v>479-CL-0"-6MIN-5PSI-TS-02</c:v>
                </c:pt>
                <c:pt idx="5">
                  <c:v>479-CL-0"-6MIN-5PSI-TS-03</c:v>
                </c:pt>
                <c:pt idx="6">
                  <c:v>479-CL-0"-9MIN-5PSI-TS-01</c:v>
                </c:pt>
                <c:pt idx="7">
                  <c:v>479-CL-0"-9MIN-5PSI-TS-02</c:v>
                </c:pt>
                <c:pt idx="8">
                  <c:v>479-CL-0"-9MIN-5PSI-TS-03</c:v>
                </c:pt>
                <c:pt idx="9">
                  <c:v>479-CL-0"-12MIN-5PSI-TS-01</c:v>
                </c:pt>
                <c:pt idx="10">
                  <c:v>479-CL-0"-12MIN-5PSI-TS-02</c:v>
                </c:pt>
                <c:pt idx="11">
                  <c:v>479-CL-0"-12MIN-5PSI-TS-03</c:v>
                </c:pt>
              </c:strCache>
            </c:strRef>
          </c:cat>
          <c:val>
            <c:numRef>
              <c:f>Sheet1!$B$2:$B$13</c:f>
              <c:numCache>
                <c:formatCode>0.00E+00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9-4066-BBF7-BE9150132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4302016"/>
        <c:axId val="613195712"/>
      </c:barChart>
      <c:catAx>
        <c:axId val="8643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195712"/>
        <c:crosses val="autoZero"/>
        <c:auto val="1"/>
        <c:lblAlgn val="ctr"/>
        <c:lblOffset val="100"/>
        <c:noMultiLvlLbl val="0"/>
      </c:catAx>
      <c:valAx>
        <c:axId val="6131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3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1</xdr:row>
      <xdr:rowOff>47625</xdr:rowOff>
    </xdr:from>
    <xdr:to>
      <xdr:col>12</xdr:col>
      <xdr:colOff>368300</xdr:colOff>
      <xdr:row>15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E4D160-DC24-514B-6AC4-9D8DEF6EB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0</xdr:row>
      <xdr:rowOff>180975</xdr:rowOff>
    </xdr:from>
    <xdr:to>
      <xdr:col>21</xdr:col>
      <xdr:colOff>257175</xdr:colOff>
      <xdr:row>24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0135C2-8998-C2E9-8AA1-FA2777DED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t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Data/2023-12-05_Bg%20Clay%200%20inch%203-minute%20intervals_Spread.xlsx?04A5F257" TargetMode="External"/><Relationship Id="rId1" Type="http://schemas.openxmlformats.org/officeDocument/2006/relationships/externalLinkPath" Target="file:///\\04A5F257\2023-12-05_Bg%20Clay%200%20inch%203-minute%20intervals_Spread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aa\ord\RTP\DATA\Lab\DTRL\TO%20479\0%20inch%203%20minute%20steam%20tests\Clay%20soil\2023-12-05_Bg%20Clay%200%20inch%203-minute%20intervals_Spread%20-%20Replates.xlsx" TargetMode="External"/><Relationship Id="rId2" Type="http://schemas.microsoft.com/office/2019/04/relationships/externalLinkLongPath" Target="2023-12-05_Bg%20Clay%200%20inch%203-minute%20intervals_Spread%20-%20Replates.xlsx?8AF56363" TargetMode="External"/><Relationship Id="rId1" Type="http://schemas.openxmlformats.org/officeDocument/2006/relationships/externalLinkPath" Target="file:///\\8AF56363\2023-12-05_Bg%20Clay%200%20inch%203-minute%20intervals_Spread%20-%20Repl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t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/>
      <sheetData sheetId="1">
        <row r="1">
          <cell r="A1" t="str">
            <v>479-CL-0"-3MIN-5PSI-TS-01</v>
          </cell>
        </row>
        <row r="2">
          <cell r="A2" t="str">
            <v>479-CL-0"-3MIN-5PSI-TS-02</v>
          </cell>
        </row>
        <row r="3">
          <cell r="A3" t="str">
            <v>479-CL-0"-3MIN-5PSI-TS-03</v>
          </cell>
        </row>
        <row r="4">
          <cell r="A4" t="str">
            <v>479-CL-0"-6MIN-5PSI-TS-01</v>
          </cell>
        </row>
        <row r="5">
          <cell r="A5" t="str">
            <v>479-CL-0"-6MIN-5PSI-TS-02</v>
          </cell>
        </row>
        <row r="6">
          <cell r="A6" t="str">
            <v>479-CL-0"-6MIN-5PSI-TS-03</v>
          </cell>
        </row>
        <row r="7">
          <cell r="A7" t="str">
            <v>479-CL-0"-9MIN-5PSI-TS-01</v>
          </cell>
        </row>
        <row r="8">
          <cell r="A8" t="str">
            <v>479-CL-0"-9MIN-5PSI-TS-02</v>
          </cell>
        </row>
        <row r="9">
          <cell r="A9" t="str">
            <v>479-CL-0"-9MIN-5PSI-TS-03</v>
          </cell>
        </row>
        <row r="13">
          <cell r="A13" t="str">
            <v>479-CL-0"-0min-5PSI-PC-01</v>
          </cell>
        </row>
        <row r="14">
          <cell r="A14" t="str">
            <v>479-CL-0"-0min-5PSI-PC-02</v>
          </cell>
        </row>
        <row r="15">
          <cell r="A15" t="str">
            <v>479-CL-0"-0min-5PSI-PC-03</v>
          </cell>
        </row>
        <row r="16">
          <cell r="A16" t="str">
            <v>479-CL-12min-5PSI-IC-01</v>
          </cell>
        </row>
        <row r="17">
          <cell r="A17" t="str">
            <v>479-CL-0"-5PSI-NC-01</v>
          </cell>
        </row>
        <row r="18">
          <cell r="A18" t="str">
            <v>Cell Spreaders</v>
          </cell>
        </row>
        <row r="19">
          <cell r="A19" t="str">
            <v>TSA only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unt Sheet Template"/>
      <sheetName val="List of Sample IDs"/>
      <sheetName val="Sheet3"/>
    </sheetNames>
    <sheetDataSet>
      <sheetData sheetId="0">
        <row r="13">
          <cell r="B13" t="str">
            <v>A</v>
          </cell>
          <cell r="C13">
            <v>0</v>
          </cell>
          <cell r="D13">
            <v>0</v>
          </cell>
          <cell r="E13">
            <v>0.5</v>
          </cell>
          <cell r="F13" t="str">
            <v>Sample was heat treated at 80 °C for 20 minutes. Maximum volume plated due to background contamination. Picture on DTRL</v>
          </cell>
        </row>
        <row r="14">
          <cell r="A14" t="str">
            <v>479-CL-0"-12MIN-5PSI-TS-01</v>
          </cell>
          <cell r="B14" t="str">
            <v>B</v>
          </cell>
          <cell r="C14">
            <v>0</v>
          </cell>
        </row>
        <row r="15">
          <cell r="B15" t="str">
            <v>C</v>
          </cell>
          <cell r="C15">
            <v>0</v>
          </cell>
        </row>
        <row r="16">
          <cell r="B16" t="str">
            <v>A</v>
          </cell>
          <cell r="C16">
            <v>0</v>
          </cell>
          <cell r="D16">
            <v>0</v>
          </cell>
          <cell r="E16">
            <v>0.5</v>
          </cell>
          <cell r="F16" t="str">
            <v>Sample was heat treated at 80 °C for 20 minutes. Maximum volume plated due to background contamination. Picture on DTRL</v>
          </cell>
        </row>
        <row r="17">
          <cell r="A17" t="str">
            <v>479-CL-0"-12MIN-5PSI-TS-02</v>
          </cell>
          <cell r="B17" t="str">
            <v>B</v>
          </cell>
          <cell r="C17">
            <v>0</v>
          </cell>
        </row>
        <row r="18">
          <cell r="B18" t="str">
            <v>C</v>
          </cell>
          <cell r="C18">
            <v>0</v>
          </cell>
        </row>
        <row r="19">
          <cell r="B19" t="str">
            <v>A</v>
          </cell>
          <cell r="C19">
            <v>0</v>
          </cell>
          <cell r="D19">
            <v>0</v>
          </cell>
          <cell r="E19">
            <v>0.5</v>
          </cell>
          <cell r="F19" t="str">
            <v>Sample was heat treated at 80 °C for 20 minutes. Maximum volume plated due to background contamination. Picture on DTRL</v>
          </cell>
        </row>
        <row r="20">
          <cell r="A20" t="str">
            <v>479-CL-0"-12MIN-5PSI-TS-03</v>
          </cell>
          <cell r="B20" t="str">
            <v>B</v>
          </cell>
          <cell r="C20">
            <v>0</v>
          </cell>
        </row>
        <row r="21">
          <cell r="B21" t="str">
            <v>C</v>
          </cell>
          <cell r="C2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97E4-144E-4B8B-9ADE-A1C8F9D8D680}">
  <dimension ref="A1:E19"/>
  <sheetViews>
    <sheetView tabSelected="1" workbookViewId="0">
      <selection activeCell="D6" sqref="D6"/>
    </sheetView>
  </sheetViews>
  <sheetFormatPr defaultRowHeight="14.5" x14ac:dyDescent="0.35"/>
  <cols>
    <col min="1" max="1" width="27" bestFit="1" customWidth="1"/>
    <col min="2" max="2" width="11.7265625" bestFit="1" customWidth="1"/>
    <col min="3" max="3" width="14.26953125" bestFit="1" customWidth="1"/>
  </cols>
  <sheetData>
    <row r="1" spans="1:5" x14ac:dyDescent="0.35">
      <c r="A1" t="s">
        <v>11</v>
      </c>
      <c r="B1" t="s">
        <v>43</v>
      </c>
    </row>
    <row r="2" spans="1:5" x14ac:dyDescent="0.35">
      <c r="A2" s="8" t="s">
        <v>79</v>
      </c>
      <c r="B2" s="36">
        <f ca="1">IFERROR(OFFSET(INDIRECT("'Spiral'!A"&amp;MATCH(A2,Spiral!$A:$A,0)),3,6,1),IFERROR(OFFSET(INDIRECT("'Spread'!A"&amp;MATCH(A2,Spread!$A:$A,0)),1,10,1), OFFSET(INDIRECT("'Filters'!A"&amp;MATCH(A2,[1]Filters!$A:$A,0)),0,10,1)))</f>
        <v>0</v>
      </c>
      <c r="C2" s="2"/>
    </row>
    <row r="3" spans="1:5" x14ac:dyDescent="0.35">
      <c r="A3" s="8" t="s">
        <v>80</v>
      </c>
      <c r="B3" s="36">
        <f ca="1">IFERROR(OFFSET(INDIRECT("'Spiral'!A"&amp;MATCH(A3,Spiral!$A:$A,0)),3,6,1),IFERROR(OFFSET(INDIRECT("'Spread'!A"&amp;MATCH(A3,Spread!$A:$A,0)),1,10,1), OFFSET(INDIRECT("'Filters'!A"&amp;MATCH(A3,[1]Filters!$A:$A,0)),0,10,1)))</f>
        <v>0</v>
      </c>
      <c r="C3" s="2"/>
    </row>
    <row r="4" spans="1:5" x14ac:dyDescent="0.35">
      <c r="A4" s="8" t="s">
        <v>81</v>
      </c>
      <c r="B4" s="36">
        <f ca="1">IFERROR(OFFSET(INDIRECT("'Spiral'!A"&amp;MATCH(A4,Spiral!$A:$A,0)),3,6,1),IFERROR(OFFSET(INDIRECT("'Spread'!A"&amp;MATCH(A4,Spread!$A:$A,0)),1,10,1), OFFSET(INDIRECT("'Filters'!A"&amp;MATCH(A4,[1]Filters!$A:$A,0)),0,10,1)))</f>
        <v>0</v>
      </c>
      <c r="C4" s="2"/>
    </row>
    <row r="5" spans="1:5" x14ac:dyDescent="0.35">
      <c r="A5" s="8" t="s">
        <v>82</v>
      </c>
      <c r="B5" s="36">
        <f ca="1">IFERROR(OFFSET(INDIRECT("'Spiral'!A"&amp;MATCH(A5,Spiral!$A:$A,0)),3,6,1),IFERROR(OFFSET(INDIRECT("'Spread'!A"&amp;MATCH(A5,Spread!$A:$A,0)),1,10,1), OFFSET(INDIRECT("'Filters'!A"&amp;MATCH(A5,[1]Filters!$A:$A,0)),0,10,1)))</f>
        <v>0</v>
      </c>
      <c r="C5" s="2"/>
    </row>
    <row r="6" spans="1:5" x14ac:dyDescent="0.35">
      <c r="A6" s="8" t="s">
        <v>83</v>
      </c>
      <c r="B6" s="36">
        <f ca="1">IFERROR(OFFSET(INDIRECT("'Spiral'!A"&amp;MATCH(A6,Spiral!$A:$A,0)),3,6,1),IFERROR(OFFSET(INDIRECT("'Spread'!A"&amp;MATCH(A6,Spread!$A:$A,0)),1,10,1), OFFSET(INDIRECT("'Filters'!A"&amp;MATCH(A6,[1]Filters!$A:$A,0)),0,10,1)))</f>
        <v>0</v>
      </c>
      <c r="C6" s="2"/>
    </row>
    <row r="7" spans="1:5" x14ac:dyDescent="0.35">
      <c r="A7" s="8" t="s">
        <v>84</v>
      </c>
      <c r="B7" s="36">
        <f ca="1">IFERROR(OFFSET(INDIRECT("'Spiral'!A"&amp;MATCH(A7,Spiral!$A:$A,0)),3,5,1),IFERROR(OFFSET(INDIRECT("'Spread'!A"&amp;MATCH(A7,Spread!$A:$A,0)),1,10,1), OFFSET(INDIRECT("'Filters'!A"&amp;MATCH(A7,[1]Filters!$A:$A,0)),0,10,1)))</f>
        <v>0</v>
      </c>
      <c r="C7" s="2"/>
    </row>
    <row r="8" spans="1:5" x14ac:dyDescent="0.35">
      <c r="A8" s="8" t="s">
        <v>85</v>
      </c>
      <c r="B8" s="36">
        <f ca="1">IFERROR(OFFSET(INDIRECT("'Spiral'!A"&amp;MATCH(A8,Spiral!$A:$A,0)),3,5,1),IFERROR(OFFSET(INDIRECT("'Spread'!A"&amp;MATCH(A8,Spread!$A:$A,0)),1,10,1), OFFSET(INDIRECT("'Filters'!A"&amp;MATCH(A8,[1]Filters!$A:$A,0)),0,10,1)))</f>
        <v>0</v>
      </c>
      <c r="C8" s="2"/>
    </row>
    <row r="9" spans="1:5" x14ac:dyDescent="0.35">
      <c r="A9" s="8" t="s">
        <v>86</v>
      </c>
      <c r="B9" s="36">
        <f ca="1">IFERROR(OFFSET(INDIRECT("'Spiral'!A"&amp;MATCH(A9,Spiral!$A:$A,0)),3,5,1),IFERROR(OFFSET(INDIRECT("'Spread'!A"&amp;MATCH(A9,Spread!$A:$A,0)),1,10,1), OFFSET(INDIRECT("'Filters'!A"&amp;MATCH(A9,[1]Filters!$A:$A,0)),0,10,1)))</f>
        <v>0</v>
      </c>
      <c r="C9" s="2"/>
    </row>
    <row r="10" spans="1:5" x14ac:dyDescent="0.35">
      <c r="A10" s="8" t="s">
        <v>87</v>
      </c>
      <c r="B10" s="36">
        <f ca="1">IFERROR(OFFSET(INDIRECT("'Spiral'!A"&amp;MATCH(A10,Spiral!$A:$A,0)),3,5,1),IFERROR(OFFSET(INDIRECT("'Spread'!A"&amp;MATCH(A10,Spread!$A:$A,0)),1,10,1), OFFSET(INDIRECT("'Filters'!A"&amp;MATCH(A10,[1]Filters!$A:$A,0)),0,10,1)))</f>
        <v>0</v>
      </c>
      <c r="C10" s="2"/>
    </row>
    <row r="11" spans="1:5" x14ac:dyDescent="0.35">
      <c r="A11" s="8" t="s">
        <v>88</v>
      </c>
      <c r="B11" s="36">
        <f ca="1">IFERROR(OFFSET(INDIRECT("'Spiral'!A"&amp;MATCH(A11,Spiral!$A:$A,0)),3,5,1),IFERROR(OFFSET(INDIRECT("'Spread'!A"&amp;MATCH(A11,Spread!$A:$A,0)),1,10,1), OFFSET(INDIRECT("'Filters'!A"&amp;MATCH(A11,[1]Filters!$A:$A,0)),0,10,1)))</f>
        <v>0</v>
      </c>
      <c r="C11" s="2"/>
    </row>
    <row r="12" spans="1:5" x14ac:dyDescent="0.35">
      <c r="A12" s="8" t="s">
        <v>89</v>
      </c>
      <c r="B12" s="36">
        <f ca="1">IFERROR(OFFSET(INDIRECT("'Spiral'!A"&amp;MATCH(A12,Spiral!$A:$A,0)),3,5,1),IFERROR(OFFSET(INDIRECT("'Spread'!A"&amp;MATCH(A12,Spread!$A:$A,0)),1,10,1), OFFSET(INDIRECT("'Filters'!A"&amp;MATCH(A12,[1]Filters!$A:$A,0)),0,10,1)))</f>
        <v>0</v>
      </c>
      <c r="C12" s="2"/>
    </row>
    <row r="13" spans="1:5" x14ac:dyDescent="0.35">
      <c r="A13" s="8" t="s">
        <v>90</v>
      </c>
      <c r="B13" s="36">
        <f ca="1">IFERROR(OFFSET(INDIRECT("'Spiral'!A"&amp;MATCH(A13,Spiral!$A:$A,0)),3,5,1),IFERROR(OFFSET(INDIRECT("'Spread'!A"&amp;MATCH(A13,Spread!$A:$A,0)),1,10,1), OFFSET(INDIRECT("'Filters'!A"&amp;MATCH(A13,[1]Filters!$A:$A,0)),0,10,1)))</f>
        <v>0</v>
      </c>
      <c r="C13" s="2"/>
    </row>
    <row r="14" spans="1:5" x14ac:dyDescent="0.35">
      <c r="A14" s="8" t="s">
        <v>91</v>
      </c>
      <c r="B14" s="36">
        <f ca="1">IFERROR(OFFSET(INDIRECT("'Spiral'!A"&amp;MATCH(A14,Spiral!$A:$A,0)),3,5,1),IFERROR(OFFSET(INDIRECT("'Spread'!A"&amp;MATCH(A14,Spread!$A:$A,0)),1,10,1), OFFSET(INDIRECT("'Filters'!A"&amp;MATCH(A14,[1]Filters!$A:$A,0)),0,10,1)))</f>
        <v>0</v>
      </c>
      <c r="D14" t="s">
        <v>92</v>
      </c>
      <c r="E14" t="s">
        <v>93</v>
      </c>
    </row>
    <row r="15" spans="1:5" x14ac:dyDescent="0.35">
      <c r="A15" s="8" t="s">
        <v>64</v>
      </c>
      <c r="B15" s="36">
        <f ca="1">IFERROR(OFFSET(INDIRECT("'Spiral'!A"&amp;MATCH(A15,Spiral!$A:$A,0)),3,5,1),IFERROR(OFFSET(INDIRECT("'Spread'!A"&amp;MATCH(A15,Spread!$A:$A,0)),1,10,1), OFFSET(INDIRECT("'Filters'!A"&amp;MATCH(A15,[1]Filters!$A:$A,0)),0,10,1)))</f>
        <v>14060000</v>
      </c>
      <c r="C15">
        <f ca="1">LOG10(B15)</f>
        <v>7.1479853206838051</v>
      </c>
      <c r="D15">
        <f ca="1">AVERAGE(C15:C17)</f>
        <v>7.2322617839562797</v>
      </c>
      <c r="E15">
        <f ca="1">STDEV(C15:C17)</f>
        <v>0.14261120777702385</v>
      </c>
    </row>
    <row r="16" spans="1:5" ht="15" customHeight="1" x14ac:dyDescent="0.35">
      <c r="A16" s="8" t="s">
        <v>65</v>
      </c>
      <c r="B16" s="36">
        <f ca="1">IFERROR(OFFSET(INDIRECT("'Spiral'!A"&amp;MATCH(A16,Spiral!$A:$A,0)),3,5,1),IFERROR(OFFSET(INDIRECT("'Spread'!A"&amp;MATCH(A16,Spread!$A:$A,0)),1,10,1), OFFSET(INDIRECT("'Filters'!A"&amp;MATCH(A16,[1]Filters!$A:$A,0)),0,10,1)))</f>
        <v>14186666.666666666</v>
      </c>
      <c r="C16">
        <f t="shared" ref="C16:C17" ca="1" si="0">LOG10(B16)</f>
        <v>7.1518803645673295</v>
      </c>
    </row>
    <row r="17" spans="1:3" x14ac:dyDescent="0.35">
      <c r="A17" s="8" t="s">
        <v>66</v>
      </c>
      <c r="B17" s="36">
        <f ca="1">IFERROR(OFFSET(INDIRECT("'Spiral'!A"&amp;MATCH(A17,Spiral!$A:$A,0)),3,5,1),IFERROR(OFFSET(INDIRECT("'Spread'!A"&amp;MATCH(A17,Spread!$A:$A,0)),1,10,1), OFFSET(INDIRECT("'Filters'!A"&amp;MATCH(A17,[1]Filters!$A:$A,0)),0,10,1)))</f>
        <v>24941333.333333328</v>
      </c>
      <c r="C17">
        <f t="shared" ca="1" si="0"/>
        <v>7.3969196666177055</v>
      </c>
    </row>
    <row r="19" spans="1:3" x14ac:dyDescent="0.35">
      <c r="B19" s="2"/>
    </row>
  </sheetData>
  <phoneticPr fontId="9" type="noConversion"/>
  <conditionalFormatting sqref="B2:B17">
    <cfRule type="expression" dxfId="9" priority="2" stopIfTrue="1">
      <formula>NOT(ISERROR(SEARCH("NG",B2)))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workbookViewId="0">
      <selection activeCell="C14" sqref="C14"/>
    </sheetView>
  </sheetViews>
  <sheetFormatPr defaultRowHeight="14.5" x14ac:dyDescent="0.35"/>
  <cols>
    <col min="1" max="1" width="29.453125" bestFit="1" customWidth="1"/>
    <col min="2" max="2" width="13.54296875" bestFit="1" customWidth="1"/>
  </cols>
  <sheetData>
    <row r="1" spans="1:15" x14ac:dyDescent="0.35">
      <c r="A1" t="s">
        <v>0</v>
      </c>
      <c r="B1" s="1"/>
    </row>
    <row r="2" spans="1:15" x14ac:dyDescent="0.35">
      <c r="A2" t="s">
        <v>1</v>
      </c>
      <c r="B2" t="s">
        <v>2</v>
      </c>
    </row>
    <row r="3" spans="1:15" x14ac:dyDescent="0.35">
      <c r="A3" t="s">
        <v>3</v>
      </c>
      <c r="B3" s="1">
        <v>45265</v>
      </c>
    </row>
    <row r="5" spans="1:15" x14ac:dyDescent="0.35">
      <c r="A5" t="s">
        <v>4</v>
      </c>
      <c r="B5" t="s">
        <v>5</v>
      </c>
      <c r="C5" t="s">
        <v>6</v>
      </c>
      <c r="D5" t="s">
        <v>7</v>
      </c>
      <c r="E5" t="s">
        <v>9</v>
      </c>
    </row>
    <row r="6" spans="1:15" x14ac:dyDescent="0.35">
      <c r="A6" t="s">
        <v>49</v>
      </c>
      <c r="B6">
        <v>47</v>
      </c>
      <c r="C6" s="2">
        <v>9.9999999999999995E-7</v>
      </c>
      <c r="D6" s="2">
        <v>1545000000</v>
      </c>
      <c r="E6" s="5"/>
      <c r="M6" s="3"/>
      <c r="N6" s="1"/>
      <c r="O6" s="4"/>
    </row>
    <row r="7" spans="1:15" x14ac:dyDescent="0.35">
      <c r="A7" t="s">
        <v>49</v>
      </c>
      <c r="B7">
        <v>69</v>
      </c>
      <c r="C7" s="2">
        <v>9.9999999999999995E-7</v>
      </c>
      <c r="D7" s="2">
        <v>1380000000</v>
      </c>
      <c r="E7" s="5"/>
      <c r="M7" s="3"/>
      <c r="N7" s="1"/>
      <c r="O7" s="4"/>
    </row>
    <row r="8" spans="1:15" x14ac:dyDescent="0.35">
      <c r="A8" t="s">
        <v>49</v>
      </c>
      <c r="B8">
        <v>72</v>
      </c>
      <c r="C8" s="2">
        <v>9.9999999999999995E-7</v>
      </c>
      <c r="D8" s="2">
        <v>1440000000</v>
      </c>
      <c r="E8" s="5"/>
      <c r="M8" s="3"/>
      <c r="N8" s="1"/>
      <c r="O8" s="4"/>
    </row>
    <row r="9" spans="1:15" x14ac:dyDescent="0.35">
      <c r="A9" t="s">
        <v>49</v>
      </c>
      <c r="B9" t="s">
        <v>8</v>
      </c>
      <c r="D9" s="2">
        <v>1441000000</v>
      </c>
      <c r="E9" s="5">
        <f>STDEV(D6:D8)/AVERAGE(D6:D8)</f>
        <v>5.7399632606495068E-2</v>
      </c>
      <c r="F9" s="2">
        <f>D9*20</f>
        <v>28820000000</v>
      </c>
    </row>
    <row r="10" spans="1:15" x14ac:dyDescent="0.35">
      <c r="A10" t="s">
        <v>76</v>
      </c>
      <c r="B10">
        <v>51</v>
      </c>
      <c r="C10" s="2">
        <v>1E-3</v>
      </c>
      <c r="D10" s="2">
        <v>5030000</v>
      </c>
      <c r="E10" s="5"/>
      <c r="M10" s="3"/>
      <c r="N10" s="1"/>
      <c r="O10" s="4"/>
    </row>
    <row r="11" spans="1:15" x14ac:dyDescent="0.35">
      <c r="A11" t="s">
        <v>76</v>
      </c>
      <c r="B11">
        <v>53</v>
      </c>
      <c r="C11" s="2">
        <v>1E-3</v>
      </c>
      <c r="D11" s="2">
        <v>5227000</v>
      </c>
      <c r="E11" s="5"/>
      <c r="M11" s="3"/>
      <c r="N11" s="1"/>
      <c r="O11" s="4"/>
    </row>
    <row r="12" spans="1:15" x14ac:dyDescent="0.35">
      <c r="A12" t="s">
        <v>76</v>
      </c>
      <c r="B12">
        <v>48</v>
      </c>
      <c r="C12" s="2">
        <v>1E-3</v>
      </c>
      <c r="D12" s="2">
        <v>4734000</v>
      </c>
      <c r="E12" s="5"/>
      <c r="G12" t="s">
        <v>10</v>
      </c>
      <c r="M12" s="3"/>
      <c r="N12" s="1"/>
      <c r="O12" s="4"/>
    </row>
    <row r="13" spans="1:15" x14ac:dyDescent="0.35">
      <c r="A13" t="s">
        <v>76</v>
      </c>
      <c r="B13" t="s">
        <v>8</v>
      </c>
      <c r="D13" s="2">
        <v>4997000</v>
      </c>
      <c r="E13" s="5">
        <f t="shared" ref="E13" si="0">STDEV(D10:D12)/AVERAGE(D10:D12)</f>
        <v>4.9660028738841538E-2</v>
      </c>
      <c r="F13" s="2">
        <f>D13*10</f>
        <v>49970000</v>
      </c>
    </row>
    <row r="14" spans="1:15" x14ac:dyDescent="0.35">
      <c r="A14" t="s">
        <v>77</v>
      </c>
      <c r="B14">
        <v>90</v>
      </c>
      <c r="C14" s="2">
        <v>1E-3</v>
      </c>
      <c r="D14" s="2">
        <v>5000000</v>
      </c>
      <c r="E14" s="5"/>
      <c r="M14" s="3"/>
      <c r="N14" s="1"/>
      <c r="O14" s="4"/>
    </row>
    <row r="15" spans="1:15" x14ac:dyDescent="0.35">
      <c r="A15" t="s">
        <v>77</v>
      </c>
      <c r="B15">
        <v>48</v>
      </c>
      <c r="C15" s="2">
        <v>1E-3</v>
      </c>
      <c r="D15" s="2">
        <v>4734000</v>
      </c>
      <c r="E15" s="5"/>
      <c r="M15" s="3"/>
      <c r="N15" s="1"/>
      <c r="O15" s="4"/>
    </row>
    <row r="16" spans="1:15" x14ac:dyDescent="0.35">
      <c r="A16" t="s">
        <v>77</v>
      </c>
      <c r="B16">
        <v>57</v>
      </c>
      <c r="C16" s="2">
        <v>1E-3</v>
      </c>
      <c r="D16" s="2">
        <v>3167000</v>
      </c>
      <c r="E16" s="5"/>
      <c r="M16" s="3"/>
      <c r="N16" s="1"/>
      <c r="O16" s="4"/>
    </row>
    <row r="17" spans="1:15" x14ac:dyDescent="0.35">
      <c r="A17" t="s">
        <v>77</v>
      </c>
      <c r="B17" t="s">
        <v>8</v>
      </c>
      <c r="D17" s="2">
        <v>4226000</v>
      </c>
      <c r="E17" s="5">
        <f t="shared" ref="E17" si="1">STDEV(D14:D16)/AVERAGE(D14:D16)</f>
        <v>0.23032300954383636</v>
      </c>
      <c r="F17" s="2">
        <f>D17*10</f>
        <v>42260000</v>
      </c>
    </row>
    <row r="18" spans="1:15" x14ac:dyDescent="0.35">
      <c r="A18" t="s">
        <v>78</v>
      </c>
      <c r="B18">
        <v>56</v>
      </c>
      <c r="C18" s="2">
        <v>1E-3</v>
      </c>
      <c r="D18" s="2">
        <v>5523000</v>
      </c>
      <c r="E18" s="5"/>
      <c r="N18" s="1"/>
      <c r="O18" s="4"/>
    </row>
    <row r="19" spans="1:15" x14ac:dyDescent="0.35">
      <c r="A19" t="s">
        <v>78</v>
      </c>
      <c r="B19">
        <v>71</v>
      </c>
      <c r="C19" s="2">
        <v>1E-3</v>
      </c>
      <c r="D19" s="2">
        <v>3944000</v>
      </c>
      <c r="E19" s="5"/>
      <c r="N19" s="1"/>
      <c r="O19" s="4"/>
    </row>
    <row r="20" spans="1:15" x14ac:dyDescent="0.35">
      <c r="A20" t="s">
        <v>78</v>
      </c>
      <c r="B20">
        <v>55</v>
      </c>
      <c r="C20" s="2">
        <v>1E-3</v>
      </c>
      <c r="D20" s="2">
        <v>3056000</v>
      </c>
      <c r="E20" s="5"/>
      <c r="N20" s="1"/>
      <c r="O20" s="4"/>
    </row>
    <row r="21" spans="1:15" x14ac:dyDescent="0.35">
      <c r="A21" t="s">
        <v>78</v>
      </c>
      <c r="B21" t="s">
        <v>8</v>
      </c>
      <c r="D21" s="2">
        <v>3945000</v>
      </c>
      <c r="E21" s="5">
        <f t="shared" ref="E21" si="2">STDEV(D18:D20)/AVERAGE(D18:D20)</f>
        <v>0.29933518558420635</v>
      </c>
      <c r="F21" s="2">
        <f>D21*18.3</f>
        <v>72193500</v>
      </c>
    </row>
    <row r="22" spans="1:15" x14ac:dyDescent="0.35">
      <c r="A22" t="s">
        <v>50</v>
      </c>
      <c r="B22">
        <v>0</v>
      </c>
      <c r="C22">
        <v>1</v>
      </c>
      <c r="D22" s="2">
        <v>0</v>
      </c>
    </row>
    <row r="23" spans="1:15" x14ac:dyDescent="0.35">
      <c r="A23" t="s">
        <v>50</v>
      </c>
      <c r="B23">
        <v>0</v>
      </c>
      <c r="C23">
        <v>1</v>
      </c>
      <c r="D23" s="2">
        <v>0</v>
      </c>
    </row>
    <row r="24" spans="1:15" x14ac:dyDescent="0.35">
      <c r="A24" t="s">
        <v>50</v>
      </c>
      <c r="B24">
        <v>0</v>
      </c>
      <c r="C24">
        <v>1</v>
      </c>
      <c r="D24" s="2">
        <v>0</v>
      </c>
    </row>
    <row r="25" spans="1:15" x14ac:dyDescent="0.35">
      <c r="A25" t="s">
        <v>50</v>
      </c>
      <c r="B25" t="s">
        <v>8</v>
      </c>
      <c r="D25" s="2">
        <v>0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1"/>
  <sheetViews>
    <sheetView topLeftCell="A35" workbookViewId="0">
      <selection activeCell="A41" sqref="A41"/>
    </sheetView>
  </sheetViews>
  <sheetFormatPr defaultRowHeight="14.5" x14ac:dyDescent="0.35"/>
  <cols>
    <col min="1" max="1" width="60" bestFit="1" customWidth="1"/>
    <col min="11" max="11" width="11.81640625" bestFit="1" customWidth="1"/>
  </cols>
  <sheetData>
    <row r="1" spans="1:13" x14ac:dyDescent="0.35">
      <c r="A1" t="s">
        <v>14</v>
      </c>
      <c r="G1" s="11" t="s">
        <v>15</v>
      </c>
      <c r="H1" s="12">
        <v>2</v>
      </c>
    </row>
    <row r="2" spans="1:13" x14ac:dyDescent="0.35">
      <c r="A2" s="108" t="s">
        <v>16</v>
      </c>
      <c r="B2" s="109"/>
      <c r="C2" s="109"/>
      <c r="D2" s="109"/>
      <c r="E2" s="109"/>
      <c r="F2" s="109"/>
      <c r="G2" s="109"/>
      <c r="H2" s="109"/>
      <c r="I2" s="110"/>
    </row>
    <row r="3" spans="1:13" x14ac:dyDescent="0.35">
      <c r="A3" s="111" t="s">
        <v>17</v>
      </c>
      <c r="B3" s="112"/>
      <c r="C3" s="113" t="s">
        <v>18</v>
      </c>
      <c r="D3" s="114"/>
      <c r="E3" s="114"/>
      <c r="F3" s="13" t="s">
        <v>19</v>
      </c>
      <c r="G3" s="115">
        <v>45265</v>
      </c>
      <c r="H3" s="116"/>
      <c r="I3" s="116"/>
    </row>
    <row r="4" spans="1:13" ht="15" customHeight="1" x14ac:dyDescent="0.35">
      <c r="A4" s="111" t="s">
        <v>20</v>
      </c>
      <c r="B4" s="112"/>
      <c r="C4" s="117" t="s">
        <v>70</v>
      </c>
      <c r="D4" s="118"/>
      <c r="E4" s="118"/>
      <c r="F4" s="119" t="s">
        <v>21</v>
      </c>
      <c r="G4" s="120" t="s">
        <v>71</v>
      </c>
      <c r="H4" s="121"/>
      <c r="I4" s="122"/>
    </row>
    <row r="5" spans="1:13" x14ac:dyDescent="0.35">
      <c r="A5" s="126" t="s">
        <v>22</v>
      </c>
      <c r="B5" s="126"/>
      <c r="C5" s="117" t="s">
        <v>70</v>
      </c>
      <c r="D5" s="118"/>
      <c r="E5" s="118"/>
      <c r="F5" s="64"/>
      <c r="G5" s="123"/>
      <c r="H5" s="124"/>
      <c r="I5" s="125"/>
    </row>
    <row r="6" spans="1:13" x14ac:dyDescent="0.35">
      <c r="A6" s="111" t="s">
        <v>23</v>
      </c>
      <c r="B6" s="112"/>
      <c r="C6" s="117" t="s">
        <v>72</v>
      </c>
      <c r="D6" s="127"/>
      <c r="E6" s="128"/>
      <c r="F6" s="64"/>
      <c r="G6" s="123"/>
      <c r="H6" s="124"/>
      <c r="I6" s="125"/>
    </row>
    <row r="7" spans="1:13" x14ac:dyDescent="0.35">
      <c r="A7" s="119" t="s">
        <v>24</v>
      </c>
      <c r="B7" s="119"/>
      <c r="C7" s="129" t="s">
        <v>73</v>
      </c>
      <c r="D7" s="130"/>
      <c r="E7" s="131"/>
      <c r="F7" s="64"/>
      <c r="G7" s="123"/>
      <c r="H7" s="124"/>
      <c r="I7" s="125"/>
    </row>
    <row r="8" spans="1:13" x14ac:dyDescent="0.35">
      <c r="A8" s="132" t="s">
        <v>25</v>
      </c>
      <c r="B8" s="132"/>
      <c r="C8" s="132"/>
      <c r="D8" s="132"/>
      <c r="E8" s="132"/>
      <c r="F8" s="132"/>
      <c r="G8" s="132"/>
      <c r="H8" s="132"/>
      <c r="I8" s="132"/>
    </row>
    <row r="9" spans="1:13" x14ac:dyDescent="0.35">
      <c r="A9" s="14" t="s">
        <v>26</v>
      </c>
      <c r="B9" s="15" t="s">
        <v>74</v>
      </c>
      <c r="C9" s="105" t="s">
        <v>27</v>
      </c>
      <c r="D9" s="106"/>
      <c r="E9" s="16" t="s">
        <v>45</v>
      </c>
      <c r="F9" s="105" t="s">
        <v>28</v>
      </c>
      <c r="G9" s="106"/>
      <c r="H9" s="107" t="s">
        <v>46</v>
      </c>
      <c r="I9" s="107"/>
    </row>
    <row r="10" spans="1:13" x14ac:dyDescent="0.35">
      <c r="A10" s="17" t="s">
        <v>29</v>
      </c>
      <c r="B10" s="46" t="s">
        <v>75</v>
      </c>
      <c r="D10" s="18" t="s">
        <v>30</v>
      </c>
      <c r="E10" s="19" t="s">
        <v>47</v>
      </c>
      <c r="G10" s="18" t="s">
        <v>31</v>
      </c>
      <c r="H10" s="133" t="s">
        <v>47</v>
      </c>
      <c r="I10" s="133"/>
    </row>
    <row r="11" spans="1:13" ht="18" customHeight="1" x14ac:dyDescent="0.4">
      <c r="A11" s="47"/>
      <c r="B11" s="134" t="s">
        <v>32</v>
      </c>
      <c r="C11" s="136" t="s">
        <v>33</v>
      </c>
      <c r="D11" s="138" t="s">
        <v>34</v>
      </c>
      <c r="E11" s="138" t="s">
        <v>35</v>
      </c>
      <c r="F11" s="48"/>
      <c r="G11" s="20"/>
      <c r="H11" s="49"/>
      <c r="I11" s="50"/>
    </row>
    <row r="12" spans="1:13" ht="16" thickBot="1" x14ac:dyDescent="0.4">
      <c r="A12" s="51" t="s">
        <v>11</v>
      </c>
      <c r="B12" s="135"/>
      <c r="C12" s="137"/>
      <c r="D12" s="139"/>
      <c r="E12" s="139"/>
      <c r="F12" s="140" t="s">
        <v>36</v>
      </c>
      <c r="G12" s="141"/>
      <c r="H12" s="141"/>
      <c r="I12" s="142"/>
      <c r="J12" s="33" t="s">
        <v>41</v>
      </c>
      <c r="K12" t="s">
        <v>42</v>
      </c>
      <c r="L12" t="s">
        <v>9</v>
      </c>
      <c r="M12" t="s">
        <v>7</v>
      </c>
    </row>
    <row r="13" spans="1:13" x14ac:dyDescent="0.35">
      <c r="A13" s="41"/>
      <c r="B13" s="21" t="s">
        <v>37</v>
      </c>
      <c r="C13" s="22">
        <v>0</v>
      </c>
      <c r="D13" s="84">
        <v>0</v>
      </c>
      <c r="E13" s="84">
        <v>0.5</v>
      </c>
      <c r="F13" s="87"/>
      <c r="G13" s="88"/>
      <c r="H13" s="88"/>
      <c r="I13" s="89"/>
      <c r="J13" s="5"/>
    </row>
    <row r="14" spans="1:13" x14ac:dyDescent="0.35">
      <c r="A14" s="23" t="str">
        <f>+'[2]List of Sample IDs'!A1</f>
        <v>479-CL-0"-3MIN-5PSI-TS-01</v>
      </c>
      <c r="B14" s="45" t="s">
        <v>38</v>
      </c>
      <c r="C14" s="8">
        <v>0</v>
      </c>
      <c r="D14" s="85"/>
      <c r="E14" s="85"/>
      <c r="F14" s="90"/>
      <c r="G14" s="91"/>
      <c r="H14" s="91"/>
      <c r="I14" s="92"/>
      <c r="J14" s="5"/>
    </row>
    <row r="15" spans="1:13" ht="15" thickBot="1" x14ac:dyDescent="0.4">
      <c r="A15" s="24"/>
      <c r="B15" s="25" t="s">
        <v>39</v>
      </c>
      <c r="C15" s="26">
        <v>0</v>
      </c>
      <c r="D15" s="86"/>
      <c r="E15" s="86"/>
      <c r="F15" s="93"/>
      <c r="G15" s="94"/>
      <c r="H15" s="94"/>
      <c r="I15" s="95"/>
      <c r="J15" s="34">
        <f ca="1">IFERROR(OFFSET(INDIRECT("'Volumes'!A"&amp;MATCH(A14,Volumes!$A:$A,0)),0,1,1),)</f>
        <v>20.3</v>
      </c>
      <c r="K15" s="35">
        <f ca="1">(AVERAGE(C13:C15)/10^D13/E13)*J15</f>
        <v>0</v>
      </c>
      <c r="L15" s="5" t="e">
        <f>STDEV(C13:C15)/AVERAGE(C13:C15)</f>
        <v>#DIV/0!</v>
      </c>
      <c r="M15" s="35">
        <f>(AVERAGE(C13:C15)/10^D13/E13)</f>
        <v>0</v>
      </c>
    </row>
    <row r="16" spans="1:13" x14ac:dyDescent="0.35">
      <c r="A16" s="27"/>
      <c r="B16" s="28" t="s">
        <v>37</v>
      </c>
      <c r="C16" s="22">
        <v>0</v>
      </c>
      <c r="D16" s="84">
        <v>0</v>
      </c>
      <c r="E16" s="84">
        <v>0.5</v>
      </c>
      <c r="F16" s="87"/>
      <c r="G16" s="88"/>
      <c r="H16" s="88"/>
      <c r="I16" s="89"/>
      <c r="J16" s="5"/>
    </row>
    <row r="17" spans="1:13" x14ac:dyDescent="0.35">
      <c r="A17" s="23" t="str">
        <f>+'[2]List of Sample IDs'!A2</f>
        <v>479-CL-0"-3MIN-5PSI-TS-02</v>
      </c>
      <c r="B17" s="29" t="s">
        <v>38</v>
      </c>
      <c r="C17" s="8">
        <v>0</v>
      </c>
      <c r="D17" s="85"/>
      <c r="E17" s="85"/>
      <c r="F17" s="90"/>
      <c r="G17" s="91"/>
      <c r="H17" s="91"/>
      <c r="I17" s="92"/>
      <c r="J17" s="5"/>
    </row>
    <row r="18" spans="1:13" ht="15" thickBot="1" x14ac:dyDescent="0.4">
      <c r="A18" s="24"/>
      <c r="B18" s="30" t="s">
        <v>39</v>
      </c>
      <c r="C18" s="26">
        <v>0</v>
      </c>
      <c r="D18" s="86"/>
      <c r="E18" s="86"/>
      <c r="F18" s="93"/>
      <c r="G18" s="94"/>
      <c r="H18" s="94"/>
      <c r="I18" s="95"/>
      <c r="J18" s="34">
        <f ca="1">IFERROR(OFFSET(INDIRECT("'Volumes'!A"&amp;MATCH(A17,Volumes!$A:$A,0)),0,1,1),)</f>
        <v>19.2</v>
      </c>
      <c r="K18" s="35">
        <f t="shared" ref="K18" ca="1" si="0">(AVERAGE(C16:C18)/10^D16/E16)*J18</f>
        <v>0</v>
      </c>
      <c r="L18" s="5" t="e">
        <f>STDEV(C16:C18)/AVERAGE(C16:C18)</f>
        <v>#DIV/0!</v>
      </c>
      <c r="M18" s="35">
        <f t="shared" ref="M18" si="1">(AVERAGE(C16:C18)/10^D16/E16)</f>
        <v>0</v>
      </c>
    </row>
    <row r="19" spans="1:13" x14ac:dyDescent="0.35">
      <c r="A19" s="27"/>
      <c r="B19" s="28" t="s">
        <v>37</v>
      </c>
      <c r="C19" s="22">
        <v>0</v>
      </c>
      <c r="D19" s="84">
        <v>0</v>
      </c>
      <c r="E19" s="84">
        <v>0.5</v>
      </c>
      <c r="F19" s="87"/>
      <c r="G19" s="88"/>
      <c r="H19" s="88"/>
      <c r="I19" s="89"/>
      <c r="J19" s="5"/>
    </row>
    <row r="20" spans="1:13" x14ac:dyDescent="0.35">
      <c r="A20" s="23" t="str">
        <f>+'[2]List of Sample IDs'!A3</f>
        <v>479-CL-0"-3MIN-5PSI-TS-03</v>
      </c>
      <c r="B20" s="29" t="s">
        <v>38</v>
      </c>
      <c r="C20" s="8">
        <v>0</v>
      </c>
      <c r="D20" s="85"/>
      <c r="E20" s="85"/>
      <c r="F20" s="90"/>
      <c r="G20" s="91"/>
      <c r="H20" s="91"/>
      <c r="I20" s="92"/>
      <c r="J20" s="5"/>
    </row>
    <row r="21" spans="1:13" ht="15" thickBot="1" x14ac:dyDescent="0.4">
      <c r="A21" s="24"/>
      <c r="B21" s="30" t="s">
        <v>39</v>
      </c>
      <c r="C21" s="26">
        <v>0</v>
      </c>
      <c r="D21" s="86"/>
      <c r="E21" s="86"/>
      <c r="F21" s="93"/>
      <c r="G21" s="94"/>
      <c r="H21" s="94"/>
      <c r="I21" s="95"/>
      <c r="J21" s="34">
        <f ca="1">IFERROR(OFFSET(INDIRECT("'Volumes'!A"&amp;MATCH(A20,Volumes!$A:$A,0)),0,1,1),)</f>
        <v>19.3</v>
      </c>
      <c r="K21" s="35">
        <f t="shared" ref="K21" ca="1" si="2">(AVERAGE(C19:C21)/10^D19/E19)*J21</f>
        <v>0</v>
      </c>
      <c r="L21" s="5" t="e">
        <f>STDEV(C19:C21)/AVERAGE(C19:C21)</f>
        <v>#DIV/0!</v>
      </c>
      <c r="M21" s="35">
        <f t="shared" ref="M21" si="3">(AVERAGE(C19:C21)/10^D19/E19)</f>
        <v>0</v>
      </c>
    </row>
    <row r="22" spans="1:13" x14ac:dyDescent="0.35">
      <c r="A22" s="27"/>
      <c r="B22" s="21" t="s">
        <v>37</v>
      </c>
      <c r="C22" s="22">
        <v>0</v>
      </c>
      <c r="D22" s="84">
        <v>0</v>
      </c>
      <c r="E22" s="84">
        <v>0.5</v>
      </c>
      <c r="F22" s="87"/>
      <c r="G22" s="88"/>
      <c r="H22" s="88"/>
      <c r="I22" s="89"/>
      <c r="J22" s="5"/>
    </row>
    <row r="23" spans="1:13" x14ac:dyDescent="0.35">
      <c r="A23" s="23" t="str">
        <f>+'[2]List of Sample IDs'!A4</f>
        <v>479-CL-0"-6MIN-5PSI-TS-01</v>
      </c>
      <c r="B23" s="45" t="s">
        <v>38</v>
      </c>
      <c r="C23" s="8">
        <v>0</v>
      </c>
      <c r="D23" s="85"/>
      <c r="E23" s="85"/>
      <c r="F23" s="90"/>
      <c r="G23" s="91"/>
      <c r="H23" s="91"/>
      <c r="I23" s="92"/>
      <c r="J23" s="5"/>
    </row>
    <row r="24" spans="1:13" ht="15" thickBot="1" x14ac:dyDescent="0.4">
      <c r="A24" s="24"/>
      <c r="B24" s="25" t="s">
        <v>39</v>
      </c>
      <c r="C24" s="26">
        <v>0</v>
      </c>
      <c r="D24" s="86"/>
      <c r="E24" s="86"/>
      <c r="F24" s="93"/>
      <c r="G24" s="94"/>
      <c r="H24" s="94"/>
      <c r="I24" s="95"/>
      <c r="J24" s="34">
        <f ca="1">IFERROR(OFFSET(INDIRECT("'Volumes'!A"&amp;MATCH(A23,Volumes!$A:$A,0)),0,1,1),)</f>
        <v>20</v>
      </c>
      <c r="K24" s="35">
        <f t="shared" ref="K24" ca="1" si="4">(AVERAGE(C22:C24)/10^D22/E22)*J24</f>
        <v>0</v>
      </c>
      <c r="L24" s="5" t="e">
        <f>STDEV(C22:C24)/AVERAGE(C22:C24)</f>
        <v>#DIV/0!</v>
      </c>
      <c r="M24" s="35">
        <f t="shared" ref="M24" si="5">(AVERAGE(C22:C24)/10^D22/E22)</f>
        <v>0</v>
      </c>
    </row>
    <row r="25" spans="1:13" ht="15" customHeight="1" x14ac:dyDescent="0.35">
      <c r="A25" s="27"/>
      <c r="B25" s="21" t="s">
        <v>37</v>
      </c>
      <c r="C25" s="22">
        <v>0</v>
      </c>
      <c r="D25" s="84">
        <v>0</v>
      </c>
      <c r="E25" s="84">
        <v>0.5</v>
      </c>
      <c r="F25" s="87"/>
      <c r="G25" s="88"/>
      <c r="H25" s="88"/>
      <c r="I25" s="89"/>
      <c r="J25" s="5"/>
    </row>
    <row r="26" spans="1:13" x14ac:dyDescent="0.35">
      <c r="A26" s="23" t="str">
        <f>+'[2]List of Sample IDs'!A5</f>
        <v>479-CL-0"-6MIN-5PSI-TS-02</v>
      </c>
      <c r="B26" s="45" t="s">
        <v>38</v>
      </c>
      <c r="C26" s="8">
        <v>0</v>
      </c>
      <c r="D26" s="85"/>
      <c r="E26" s="85"/>
      <c r="F26" s="90"/>
      <c r="G26" s="91"/>
      <c r="H26" s="91"/>
      <c r="I26" s="92"/>
      <c r="J26" s="5"/>
    </row>
    <row r="27" spans="1:13" ht="15" thickBot="1" x14ac:dyDescent="0.4">
      <c r="A27" s="24"/>
      <c r="B27" s="25" t="s">
        <v>39</v>
      </c>
      <c r="C27" s="26">
        <v>0</v>
      </c>
      <c r="D27" s="86"/>
      <c r="E27" s="86"/>
      <c r="F27" s="93"/>
      <c r="G27" s="94"/>
      <c r="H27" s="94"/>
      <c r="I27" s="95"/>
      <c r="J27" s="34">
        <f ca="1">IFERROR(OFFSET(INDIRECT("'Volumes'!A"&amp;MATCH(A26,Volumes!$A:$A,0)),0,1,1),)</f>
        <v>19.3</v>
      </c>
      <c r="K27" s="35">
        <f t="shared" ref="K27" ca="1" si="6">(AVERAGE(C25:C27)/10^D25/E25)*J27</f>
        <v>0</v>
      </c>
      <c r="L27" s="5" t="e">
        <f>STDEV(C25:C27)/AVERAGE(C25:C27)</f>
        <v>#DIV/0!</v>
      </c>
      <c r="M27" s="35">
        <f>(AVERAGE(C25:C27)/10^D25/E25)</f>
        <v>0</v>
      </c>
    </row>
    <row r="28" spans="1:13" ht="15" customHeight="1" x14ac:dyDescent="0.35">
      <c r="A28" s="27"/>
      <c r="B28" s="21" t="s">
        <v>37</v>
      </c>
      <c r="C28" s="22">
        <v>0</v>
      </c>
      <c r="D28" s="84">
        <v>0</v>
      </c>
      <c r="E28" s="84">
        <v>0.5</v>
      </c>
      <c r="F28" s="87"/>
      <c r="G28" s="88"/>
      <c r="H28" s="88"/>
      <c r="I28" s="89"/>
      <c r="J28" s="5"/>
    </row>
    <row r="29" spans="1:13" x14ac:dyDescent="0.35">
      <c r="A29" s="23" t="str">
        <f>+'[2]List of Sample IDs'!A6</f>
        <v>479-CL-0"-6MIN-5PSI-TS-03</v>
      </c>
      <c r="B29" s="45" t="s">
        <v>38</v>
      </c>
      <c r="C29" s="8">
        <v>0</v>
      </c>
      <c r="D29" s="85"/>
      <c r="E29" s="85"/>
      <c r="F29" s="90"/>
      <c r="G29" s="91"/>
      <c r="H29" s="91"/>
      <c r="I29" s="92"/>
      <c r="J29" s="5"/>
    </row>
    <row r="30" spans="1:13" ht="15" thickBot="1" x14ac:dyDescent="0.4">
      <c r="A30" s="24"/>
      <c r="B30" s="25" t="s">
        <v>39</v>
      </c>
      <c r="C30" s="26">
        <v>0</v>
      </c>
      <c r="D30" s="86"/>
      <c r="E30" s="86"/>
      <c r="F30" s="93"/>
      <c r="G30" s="94"/>
      <c r="H30" s="94"/>
      <c r="I30" s="95"/>
      <c r="J30" s="34">
        <f ca="1">IFERROR(OFFSET(INDIRECT("'Volumes'!A"&amp;MATCH(A29,Volumes!$A:$A,0)),0,1,1),)</f>
        <v>19.5</v>
      </c>
      <c r="K30" s="35">
        <f t="shared" ref="K30" ca="1" si="7">(AVERAGE(C28:C30)/10^D28/E28)*J30</f>
        <v>0</v>
      </c>
      <c r="L30" s="5" t="e">
        <f>STDEV(C28:C30)/AVERAGE(C28:C30)</f>
        <v>#DIV/0!</v>
      </c>
      <c r="M30" s="35">
        <f t="shared" ref="M30" si="8">(AVERAGE(C28:C30)/10^D28/E28)</f>
        <v>0</v>
      </c>
    </row>
    <row r="31" spans="1:13" ht="15" customHeight="1" x14ac:dyDescent="0.35">
      <c r="A31" s="27"/>
      <c r="B31" s="21" t="s">
        <v>37</v>
      </c>
      <c r="C31" s="22">
        <v>0</v>
      </c>
      <c r="D31" s="84">
        <v>0</v>
      </c>
      <c r="E31" s="84">
        <v>0.5</v>
      </c>
      <c r="F31" s="87"/>
      <c r="G31" s="88"/>
      <c r="H31" s="88"/>
      <c r="I31" s="89"/>
      <c r="J31" s="5"/>
    </row>
    <row r="32" spans="1:13" x14ac:dyDescent="0.35">
      <c r="A32" s="23" t="str">
        <f>+'[2]List of Sample IDs'!A7</f>
        <v>479-CL-0"-9MIN-5PSI-TS-01</v>
      </c>
      <c r="B32" s="45" t="s">
        <v>38</v>
      </c>
      <c r="C32" s="8">
        <v>0</v>
      </c>
      <c r="D32" s="85"/>
      <c r="E32" s="85"/>
      <c r="F32" s="90"/>
      <c r="G32" s="91"/>
      <c r="H32" s="91"/>
      <c r="I32" s="92"/>
      <c r="J32" s="5"/>
    </row>
    <row r="33" spans="1:13" ht="15" thickBot="1" x14ac:dyDescent="0.4">
      <c r="A33" s="24"/>
      <c r="B33" s="25" t="s">
        <v>39</v>
      </c>
      <c r="C33" s="26">
        <v>0</v>
      </c>
      <c r="D33" s="86"/>
      <c r="E33" s="86"/>
      <c r="F33" s="93"/>
      <c r="G33" s="94"/>
      <c r="H33" s="94"/>
      <c r="I33" s="95"/>
      <c r="J33" s="34">
        <f ca="1">IFERROR(OFFSET(INDIRECT("'Volumes'!A"&amp;MATCH(A32,Volumes!$A:$A,0)),0,1,1),)</f>
        <v>19.3</v>
      </c>
      <c r="K33" s="35">
        <f t="shared" ref="K33" ca="1" si="9">(AVERAGE(C31:C33)/10^D31/E31)*J33</f>
        <v>0</v>
      </c>
      <c r="L33" s="5" t="e">
        <f>STDEV(C31:C33)/AVERAGE(C31:C33)</f>
        <v>#DIV/0!</v>
      </c>
      <c r="M33" s="35">
        <f t="shared" ref="M33" si="10">(AVERAGE(C31:C33)/10^D31/E31)</f>
        <v>0</v>
      </c>
    </row>
    <row r="34" spans="1:13" ht="15" customHeight="1" x14ac:dyDescent="0.35">
      <c r="A34" s="27"/>
      <c r="B34" s="21" t="s">
        <v>37</v>
      </c>
      <c r="C34" s="22">
        <v>0</v>
      </c>
      <c r="D34" s="84">
        <v>0</v>
      </c>
      <c r="E34" s="84">
        <v>0.5</v>
      </c>
      <c r="F34" s="87"/>
      <c r="G34" s="88"/>
      <c r="H34" s="88"/>
      <c r="I34" s="89"/>
      <c r="J34" s="5"/>
    </row>
    <row r="35" spans="1:13" x14ac:dyDescent="0.35">
      <c r="A35" s="23" t="str">
        <f>+'[2]List of Sample IDs'!A8</f>
        <v>479-CL-0"-9MIN-5PSI-TS-02</v>
      </c>
      <c r="B35" s="45" t="s">
        <v>38</v>
      </c>
      <c r="C35" s="8">
        <v>0</v>
      </c>
      <c r="D35" s="85"/>
      <c r="E35" s="85"/>
      <c r="F35" s="90"/>
      <c r="G35" s="91"/>
      <c r="H35" s="91"/>
      <c r="I35" s="92"/>
      <c r="J35" s="5"/>
    </row>
    <row r="36" spans="1:13" ht="15" thickBot="1" x14ac:dyDescent="0.4">
      <c r="A36" s="24"/>
      <c r="B36" s="25" t="s">
        <v>39</v>
      </c>
      <c r="C36" s="26">
        <v>0</v>
      </c>
      <c r="D36" s="86"/>
      <c r="E36" s="86"/>
      <c r="F36" s="93"/>
      <c r="G36" s="94"/>
      <c r="H36" s="94"/>
      <c r="I36" s="95"/>
      <c r="J36" s="34">
        <f ca="1">IFERROR(OFFSET(INDIRECT("'Volumes'!A"&amp;MATCH(A35,Volumes!$A:$A,0)),0,1,1),)</f>
        <v>18.7</v>
      </c>
      <c r="K36" s="35">
        <f t="shared" ref="K36" ca="1" si="11">(AVERAGE(C34:C36)/10^D34/E34)*J36</f>
        <v>0</v>
      </c>
      <c r="L36" s="5" t="e">
        <f>STDEV(C34:C36)/AVERAGE(C34:C36)</f>
        <v>#DIV/0!</v>
      </c>
      <c r="M36" s="35">
        <f t="shared" ref="M36" si="12">(AVERAGE(C34:C36)/10^D34/E34)</f>
        <v>0</v>
      </c>
    </row>
    <row r="37" spans="1:13" ht="15" customHeight="1" x14ac:dyDescent="0.35">
      <c r="A37" s="42"/>
      <c r="B37" s="21" t="s">
        <v>37</v>
      </c>
      <c r="C37" s="22">
        <v>0</v>
      </c>
      <c r="D37" s="84">
        <v>0</v>
      </c>
      <c r="E37" s="84">
        <v>0.5</v>
      </c>
      <c r="F37" s="87"/>
      <c r="G37" s="88"/>
      <c r="H37" s="88"/>
      <c r="I37" s="89"/>
      <c r="J37" s="5"/>
    </row>
    <row r="38" spans="1:13" x14ac:dyDescent="0.35">
      <c r="A38" s="23" t="str">
        <f>+'[2]List of Sample IDs'!A9</f>
        <v>479-CL-0"-9MIN-5PSI-TS-03</v>
      </c>
      <c r="B38" s="45" t="s">
        <v>38</v>
      </c>
      <c r="C38" s="8">
        <v>0</v>
      </c>
      <c r="D38" s="85"/>
      <c r="E38" s="85"/>
      <c r="F38" s="90"/>
      <c r="G38" s="91"/>
      <c r="H38" s="91"/>
      <c r="I38" s="92"/>
      <c r="J38" s="5"/>
    </row>
    <row r="39" spans="1:13" ht="15" thickBot="1" x14ac:dyDescent="0.4">
      <c r="A39" s="43"/>
      <c r="B39" s="25" t="s">
        <v>39</v>
      </c>
      <c r="C39" s="26">
        <v>0</v>
      </c>
      <c r="D39" s="86"/>
      <c r="E39" s="86"/>
      <c r="F39" s="93"/>
      <c r="G39" s="94"/>
      <c r="H39" s="94"/>
      <c r="I39" s="95"/>
      <c r="J39" s="34">
        <f ca="1">IFERROR(OFFSET(INDIRECT("'Volumes'!A"&amp;MATCH(A38,Volumes!$A:$A,0)),0,1,1),)</f>
        <v>19</v>
      </c>
      <c r="K39" s="35">
        <f t="shared" ref="K39" ca="1" si="13">(AVERAGE(C37:C39)/10^D37/E37)*J39</f>
        <v>0</v>
      </c>
      <c r="L39" s="5" t="e">
        <f>STDEV(C37:C39)/AVERAGE(C37:C39)</f>
        <v>#DIV/0!</v>
      </c>
      <c r="M39" s="35">
        <f t="shared" ref="M39" si="14">(AVERAGE(C37:C39)/10^D37/E37)</f>
        <v>0</v>
      </c>
    </row>
    <row r="40" spans="1:13" ht="15" customHeight="1" x14ac:dyDescent="0.35">
      <c r="A40" s="27"/>
      <c r="B40" s="21" t="str">
        <f>'[3]Count Sheet Template'!B13</f>
        <v>A</v>
      </c>
      <c r="C40" s="22">
        <f>'[3]Count Sheet Template'!C13</f>
        <v>0</v>
      </c>
      <c r="D40" s="63">
        <f>'[3]Count Sheet Template'!D13</f>
        <v>0</v>
      </c>
      <c r="E40" s="63">
        <f>'[3]Count Sheet Template'!E13</f>
        <v>0.5</v>
      </c>
      <c r="F40" s="87" t="str">
        <f>'[3]Count Sheet Template'!F13</f>
        <v>Sample was heat treated at 80 °C for 20 minutes. Maximum volume plated due to background contamination. Picture on DTRL</v>
      </c>
      <c r="G40" s="88"/>
      <c r="H40" s="88"/>
      <c r="I40" s="89"/>
      <c r="J40" s="5"/>
    </row>
    <row r="41" spans="1:13" x14ac:dyDescent="0.35">
      <c r="A41" s="23" t="str">
        <f>'[3]Count Sheet Template'!A14</f>
        <v>479-CL-0"-12MIN-5PSI-TS-01</v>
      </c>
      <c r="B41" s="62" t="str">
        <f>'[3]Count Sheet Template'!B14</f>
        <v>B</v>
      </c>
      <c r="C41" s="8">
        <f>'[3]Count Sheet Template'!C14</f>
        <v>0</v>
      </c>
      <c r="D41" s="64"/>
      <c r="E41" s="64"/>
      <c r="F41" s="90"/>
      <c r="G41" s="143"/>
      <c r="H41" s="143"/>
      <c r="I41" s="92"/>
      <c r="J41" s="5"/>
    </row>
    <row r="42" spans="1:13" ht="15" thickBot="1" x14ac:dyDescent="0.4">
      <c r="A42" s="24"/>
      <c r="B42" s="25" t="str">
        <f>'[3]Count Sheet Template'!B15</f>
        <v>C</v>
      </c>
      <c r="C42" s="26">
        <f>'[3]Count Sheet Template'!C15</f>
        <v>0</v>
      </c>
      <c r="D42" s="65"/>
      <c r="E42" s="65"/>
      <c r="F42" s="93"/>
      <c r="G42" s="94"/>
      <c r="H42" s="94"/>
      <c r="I42" s="95"/>
      <c r="J42" s="34">
        <f ca="1">IFERROR(OFFSET(INDIRECT("'Volumes'!A"&amp;MATCH(A41,Volumes!$A:$A,0)),0,1,1),)</f>
        <v>19.399999999999999</v>
      </c>
      <c r="K42" s="35">
        <f t="shared" ref="K42" ca="1" si="15">(AVERAGE(C40:C42)/10^D40/E40)*J42</f>
        <v>0</v>
      </c>
      <c r="L42" s="5" t="e">
        <f t="shared" ref="L42" si="16">STDEV(C40:C42)/AVERAGE(C40:C42)</f>
        <v>#DIV/0!</v>
      </c>
      <c r="M42" s="35">
        <f>(AVERAGE(C40:C42)/10^D40/E40)</f>
        <v>0</v>
      </c>
    </row>
    <row r="43" spans="1:13" ht="14.5" customHeight="1" x14ac:dyDescent="0.35">
      <c r="A43" s="27"/>
      <c r="B43" s="21" t="str">
        <f>'[3]Count Sheet Template'!B16</f>
        <v>A</v>
      </c>
      <c r="C43" s="22">
        <f>'[3]Count Sheet Template'!C16</f>
        <v>0</v>
      </c>
      <c r="D43" s="63">
        <f>'[3]Count Sheet Template'!D16</f>
        <v>0</v>
      </c>
      <c r="E43" s="63">
        <f>'[3]Count Sheet Template'!E16</f>
        <v>0.5</v>
      </c>
      <c r="F43" s="87" t="str">
        <f>'[3]Count Sheet Template'!F16</f>
        <v>Sample was heat treated at 80 °C for 20 minutes. Maximum volume plated due to background contamination. Picture on DTRL</v>
      </c>
      <c r="G43" s="88"/>
      <c r="H43" s="88"/>
      <c r="I43" s="89"/>
      <c r="J43" s="5"/>
    </row>
    <row r="44" spans="1:13" x14ac:dyDescent="0.35">
      <c r="A44" s="23" t="str">
        <f>'[3]Count Sheet Template'!A17</f>
        <v>479-CL-0"-12MIN-5PSI-TS-02</v>
      </c>
      <c r="B44" s="62" t="str">
        <f>'[3]Count Sheet Template'!B17</f>
        <v>B</v>
      </c>
      <c r="C44" s="8">
        <f>'[3]Count Sheet Template'!C17</f>
        <v>0</v>
      </c>
      <c r="D44" s="64"/>
      <c r="E44" s="64"/>
      <c r="F44" s="90"/>
      <c r="G44" s="143"/>
      <c r="H44" s="143"/>
      <c r="I44" s="92"/>
      <c r="J44" s="5"/>
    </row>
    <row r="45" spans="1:13" ht="15" customHeight="1" thickBot="1" x14ac:dyDescent="0.4">
      <c r="A45" s="24"/>
      <c r="B45" s="25" t="str">
        <f>'[3]Count Sheet Template'!B18</f>
        <v>C</v>
      </c>
      <c r="C45" s="26">
        <f>'[3]Count Sheet Template'!C18</f>
        <v>0</v>
      </c>
      <c r="D45" s="65"/>
      <c r="E45" s="65"/>
      <c r="F45" s="93"/>
      <c r="G45" s="94"/>
      <c r="H45" s="94"/>
      <c r="I45" s="95"/>
      <c r="J45" s="34">
        <f ca="1">IFERROR(OFFSET(INDIRECT("'Volumes'!A"&amp;MATCH(A44,Volumes!$A:$A,0)),0,1,1),)</f>
        <v>19.3</v>
      </c>
      <c r="K45" s="35">
        <f t="shared" ref="K45" ca="1" si="17">(AVERAGE(C43:C45)/10^D43/E43)*J45</f>
        <v>0</v>
      </c>
      <c r="L45" s="5" t="e">
        <f t="shared" ref="L45" si="18">STDEV(C43:C45)/AVERAGE(C43:C45)</f>
        <v>#DIV/0!</v>
      </c>
      <c r="M45" s="35">
        <f t="shared" ref="M45" si="19">(AVERAGE(C43:C45)/10^D43/E43)</f>
        <v>0</v>
      </c>
    </row>
    <row r="46" spans="1:13" ht="14.5" customHeight="1" x14ac:dyDescent="0.35">
      <c r="A46" s="27"/>
      <c r="B46" s="21" t="str">
        <f>'[3]Count Sheet Template'!B19</f>
        <v>A</v>
      </c>
      <c r="C46" s="22">
        <f>'[3]Count Sheet Template'!C19</f>
        <v>0</v>
      </c>
      <c r="D46" s="63">
        <f>'[3]Count Sheet Template'!D19</f>
        <v>0</v>
      </c>
      <c r="E46" s="63">
        <f>'[3]Count Sheet Template'!E19</f>
        <v>0.5</v>
      </c>
      <c r="F46" s="87" t="str">
        <f>'[3]Count Sheet Template'!F19</f>
        <v>Sample was heat treated at 80 °C for 20 minutes. Maximum volume plated due to background contamination. Picture on DTRL</v>
      </c>
      <c r="G46" s="88"/>
      <c r="H46" s="88"/>
      <c r="I46" s="89"/>
      <c r="J46" s="5"/>
    </row>
    <row r="47" spans="1:13" x14ac:dyDescent="0.35">
      <c r="A47" s="23" t="str">
        <f>'[3]Count Sheet Template'!A20</f>
        <v>479-CL-0"-12MIN-5PSI-TS-03</v>
      </c>
      <c r="B47" s="62" t="str">
        <f>'[3]Count Sheet Template'!B20</f>
        <v>B</v>
      </c>
      <c r="C47" s="8">
        <f>'[3]Count Sheet Template'!C20</f>
        <v>0</v>
      </c>
      <c r="D47" s="64"/>
      <c r="E47" s="64"/>
      <c r="F47" s="90"/>
      <c r="G47" s="143"/>
      <c r="H47" s="143"/>
      <c r="I47" s="92"/>
      <c r="J47" s="5"/>
    </row>
    <row r="48" spans="1:13" ht="15" thickBot="1" x14ac:dyDescent="0.4">
      <c r="A48" s="24"/>
      <c r="B48" s="25" t="str">
        <f>'[3]Count Sheet Template'!B21</f>
        <v>C</v>
      </c>
      <c r="C48" s="26">
        <f>'[3]Count Sheet Template'!C21</f>
        <v>0</v>
      </c>
      <c r="D48" s="65"/>
      <c r="E48" s="65"/>
      <c r="F48" s="93"/>
      <c r="G48" s="94"/>
      <c r="H48" s="94"/>
      <c r="I48" s="95"/>
      <c r="J48" s="34">
        <f ca="1">IFERROR(OFFSET(INDIRECT("'Volumes'!A"&amp;MATCH(A47,Volumes!$A:$A,0)),0,1,1),)</f>
        <v>19.100000000000001</v>
      </c>
      <c r="K48" s="35">
        <f t="shared" ref="K48" ca="1" si="20">(AVERAGE(C46:C48)/10^D46/E46)*J48</f>
        <v>0</v>
      </c>
      <c r="L48" s="5" t="e">
        <f t="shared" ref="L48" si="21">STDEV(C46:C48)/AVERAGE(C46:C48)</f>
        <v>#DIV/0!</v>
      </c>
      <c r="M48" s="35">
        <f t="shared" ref="M48" si="22">(AVERAGE(C46:C48)/10^D46/E46)</f>
        <v>0</v>
      </c>
    </row>
    <row r="49" spans="1:13" x14ac:dyDescent="0.35">
      <c r="A49" s="27"/>
      <c r="B49" s="21" t="s">
        <v>37</v>
      </c>
      <c r="C49" s="22">
        <v>62</v>
      </c>
      <c r="D49" s="84">
        <v>-3</v>
      </c>
      <c r="E49" s="84">
        <v>0.1</v>
      </c>
      <c r="F49" s="87"/>
      <c r="G49" s="88"/>
      <c r="H49" s="88"/>
      <c r="I49" s="89"/>
      <c r="J49" s="5"/>
    </row>
    <row r="50" spans="1:13" x14ac:dyDescent="0.35">
      <c r="A50" s="23" t="str">
        <f>+'[2]List of Sample IDs'!A13</f>
        <v>479-CL-0"-0min-5PSI-PC-01</v>
      </c>
      <c r="B50" s="45" t="s">
        <v>38</v>
      </c>
      <c r="C50" s="8">
        <v>77</v>
      </c>
      <c r="D50" s="85"/>
      <c r="E50" s="85"/>
      <c r="F50" s="90"/>
      <c r="G50" s="91"/>
      <c r="H50" s="91"/>
      <c r="I50" s="92"/>
      <c r="J50" s="5"/>
    </row>
    <row r="51" spans="1:13" ht="15" thickBot="1" x14ac:dyDescent="0.4">
      <c r="A51" s="24"/>
      <c r="B51" s="25" t="s">
        <v>39</v>
      </c>
      <c r="C51" s="26">
        <v>83</v>
      </c>
      <c r="D51" s="86"/>
      <c r="E51" s="86"/>
      <c r="F51" s="93"/>
      <c r="G51" s="94"/>
      <c r="H51" s="94"/>
      <c r="I51" s="95"/>
      <c r="J51" s="34">
        <f ca="1">IFERROR(OFFSET(INDIRECT("'Volumes'!A"&amp;MATCH(A50,Volumes!$A:$A,0)),0,1,1),)</f>
        <v>19</v>
      </c>
      <c r="K51" s="35">
        <f t="shared" ref="K51" ca="1" si="23">(AVERAGE(C49:C51)/10^D49/E49)*J51</f>
        <v>14060000</v>
      </c>
      <c r="L51" s="5">
        <f t="shared" ref="L51" si="24">STDEV(C49:C51)/AVERAGE(C49:C51)</f>
        <v>0.14617099765394553</v>
      </c>
      <c r="M51" s="35">
        <f t="shared" ref="M51" si="25">(AVERAGE(C49:C51)/10^D49/E49)</f>
        <v>740000</v>
      </c>
    </row>
    <row r="52" spans="1:13" x14ac:dyDescent="0.35">
      <c r="A52" s="31" t="s">
        <v>44</v>
      </c>
      <c r="B52" s="32"/>
      <c r="C52" s="32"/>
      <c r="D52" s="32"/>
      <c r="E52" s="32"/>
      <c r="F52" s="32"/>
      <c r="G52" s="32"/>
      <c r="H52" s="32"/>
      <c r="I52" s="32"/>
    </row>
    <row r="53" spans="1:13" x14ac:dyDescent="0.35">
      <c r="A53" s="31"/>
      <c r="B53" s="32"/>
      <c r="C53" s="32"/>
      <c r="D53" s="32"/>
      <c r="E53" s="32"/>
      <c r="F53" s="32"/>
      <c r="G53" s="32"/>
      <c r="H53" s="32"/>
      <c r="I53" s="32"/>
    </row>
    <row r="54" spans="1:13" x14ac:dyDescent="0.35">
      <c r="A54" s="33"/>
    </row>
    <row r="55" spans="1:13" ht="15" customHeight="1" x14ac:dyDescent="0.35">
      <c r="A55" s="52"/>
      <c r="B55" s="96" t="s">
        <v>32</v>
      </c>
      <c r="C55" s="98" t="s">
        <v>33</v>
      </c>
      <c r="D55" s="100" t="s">
        <v>34</v>
      </c>
      <c r="E55" s="102" t="s">
        <v>35</v>
      </c>
      <c r="F55" s="37"/>
      <c r="G55" s="38" t="s">
        <v>48</v>
      </c>
      <c r="H55" s="38">
        <f>+$H$1</f>
        <v>2</v>
      </c>
      <c r="I55" s="39"/>
    </row>
    <row r="56" spans="1:13" ht="15" thickBot="1" x14ac:dyDescent="0.4">
      <c r="A56" s="53" t="s">
        <v>11</v>
      </c>
      <c r="B56" s="97"/>
      <c r="C56" s="99"/>
      <c r="D56" s="101"/>
      <c r="E56" s="103"/>
      <c r="F56" s="104" t="s">
        <v>36</v>
      </c>
      <c r="G56" s="104"/>
      <c r="H56" s="104"/>
      <c r="I56" s="104"/>
    </row>
    <row r="57" spans="1:13" ht="15" customHeight="1" x14ac:dyDescent="0.35">
      <c r="A57" s="54"/>
      <c r="B57" s="21" t="s">
        <v>37</v>
      </c>
      <c r="C57" s="22">
        <v>88</v>
      </c>
      <c r="D57" s="84">
        <v>-3</v>
      </c>
      <c r="E57" s="84">
        <v>0.1</v>
      </c>
      <c r="F57" s="87"/>
      <c r="G57" s="88"/>
      <c r="H57" s="88"/>
      <c r="I57" s="89"/>
      <c r="J57" s="2"/>
      <c r="K57" s="40"/>
      <c r="M57" s="61"/>
    </row>
    <row r="58" spans="1:13" x14ac:dyDescent="0.35">
      <c r="A58" s="55" t="str">
        <f>+'[2]List of Sample IDs'!A14</f>
        <v>479-CL-0"-0min-5PSI-PC-02</v>
      </c>
      <c r="B58" s="45" t="s">
        <v>38</v>
      </c>
      <c r="C58" s="8">
        <v>70</v>
      </c>
      <c r="D58" s="85"/>
      <c r="E58" s="85"/>
      <c r="F58" s="90"/>
      <c r="G58" s="91"/>
      <c r="H58" s="91"/>
      <c r="I58" s="92"/>
    </row>
    <row r="59" spans="1:13" ht="15" thickBot="1" x14ac:dyDescent="0.4">
      <c r="A59" s="56"/>
      <c r="B59" s="25" t="s">
        <v>39</v>
      </c>
      <c r="C59" s="26">
        <v>66</v>
      </c>
      <c r="D59" s="86"/>
      <c r="E59" s="86"/>
      <c r="F59" s="93"/>
      <c r="G59" s="94"/>
      <c r="H59" s="94"/>
      <c r="I59" s="95"/>
      <c r="J59" s="34">
        <f ca="1">IFERROR(OFFSET(INDIRECT("'Volumes'!A"&amp;MATCH(A58,Volumes!$A:$A,0)),0,1,1),)</f>
        <v>19</v>
      </c>
      <c r="K59" s="35">
        <f t="shared" ref="K59" ca="1" si="26">(AVERAGE(C57:C59)/10^D57/E57)*J59</f>
        <v>14186666.666666666</v>
      </c>
      <c r="L59" s="5">
        <f t="shared" ref="L59" si="27">STDEV(C57:C59)/AVERAGE(C57:C59)</f>
        <v>0.15694996277899093</v>
      </c>
      <c r="M59" s="35">
        <f t="shared" ref="M59" si="28">(AVERAGE(C57:C59)/10^D57/E57)</f>
        <v>746666.66666666663</v>
      </c>
    </row>
    <row r="60" spans="1:13" ht="15" customHeight="1" x14ac:dyDescent="0.35">
      <c r="A60" s="54"/>
      <c r="B60" s="21" t="s">
        <v>37</v>
      </c>
      <c r="C60" s="22">
        <v>126</v>
      </c>
      <c r="D60" s="84">
        <v>-3</v>
      </c>
      <c r="E60" s="84">
        <v>0.1</v>
      </c>
      <c r="F60" s="87"/>
      <c r="G60" s="88"/>
      <c r="H60" s="88"/>
      <c r="I60" s="89"/>
      <c r="J60" s="2"/>
      <c r="K60" s="40"/>
      <c r="L60" s="5"/>
      <c r="M60" s="35"/>
    </row>
    <row r="61" spans="1:13" x14ac:dyDescent="0.35">
      <c r="A61" s="55" t="str">
        <f>+'[2]List of Sample IDs'!A15</f>
        <v>479-CL-0"-0min-5PSI-PC-03</v>
      </c>
      <c r="B61" s="45" t="s">
        <v>38</v>
      </c>
      <c r="C61" s="8">
        <v>126</v>
      </c>
      <c r="D61" s="85"/>
      <c r="E61" s="85"/>
      <c r="F61" s="90"/>
      <c r="G61" s="91"/>
      <c r="H61" s="91"/>
      <c r="I61" s="92"/>
    </row>
    <row r="62" spans="1:13" ht="15" thickBot="1" x14ac:dyDescent="0.4">
      <c r="A62" s="56"/>
      <c r="B62" s="25" t="s">
        <v>39</v>
      </c>
      <c r="C62" s="26">
        <v>124</v>
      </c>
      <c r="D62" s="86"/>
      <c r="E62" s="86"/>
      <c r="F62" s="93"/>
      <c r="G62" s="94"/>
      <c r="H62" s="94"/>
      <c r="I62" s="95"/>
      <c r="J62" s="34">
        <f ca="1">IFERROR(OFFSET(INDIRECT("'Volumes'!A"&amp;MATCH(A61,Volumes!$A:$A,0)),0,1,1),)</f>
        <v>19.899999999999999</v>
      </c>
      <c r="K62" s="35">
        <f t="shared" ref="K62" ca="1" si="29">(AVERAGE(C60:C62)/10^D60/E60)*J62</f>
        <v>24941333.333333328</v>
      </c>
      <c r="L62" s="5">
        <f t="shared" ref="L62" si="30">STDEV(C60:C62)/AVERAGE(C60:C62)</f>
        <v>9.2130362104727529E-3</v>
      </c>
      <c r="M62" s="35">
        <f t="shared" ref="M62" si="31">(AVERAGE(C60:C62)/10^D60/E60)</f>
        <v>1253333.3333333333</v>
      </c>
    </row>
    <row r="63" spans="1:13" ht="15" customHeight="1" x14ac:dyDescent="0.35">
      <c r="A63" s="54"/>
      <c r="B63" s="21" t="s">
        <v>37</v>
      </c>
      <c r="C63" s="22">
        <v>109</v>
      </c>
      <c r="D63" s="84">
        <v>-3</v>
      </c>
      <c r="E63" s="84">
        <v>0.1</v>
      </c>
      <c r="F63" s="87"/>
      <c r="G63" s="88"/>
      <c r="H63" s="88"/>
      <c r="I63" s="89"/>
      <c r="J63" s="2"/>
      <c r="K63" s="40"/>
      <c r="L63" s="5"/>
      <c r="M63" s="35"/>
    </row>
    <row r="64" spans="1:13" x14ac:dyDescent="0.35">
      <c r="A64" s="55" t="str">
        <f>+'[2]List of Sample IDs'!A16</f>
        <v>479-CL-12min-5PSI-IC-01</v>
      </c>
      <c r="B64" s="45" t="s">
        <v>38</v>
      </c>
      <c r="C64" s="8">
        <v>130</v>
      </c>
      <c r="D64" s="85"/>
      <c r="E64" s="85"/>
      <c r="F64" s="90"/>
      <c r="G64" s="91"/>
      <c r="H64" s="91"/>
      <c r="I64" s="92"/>
    </row>
    <row r="65" spans="1:13" ht="15" thickBot="1" x14ac:dyDescent="0.4">
      <c r="A65" s="56"/>
      <c r="B65" s="25" t="s">
        <v>39</v>
      </c>
      <c r="C65" s="26">
        <v>86</v>
      </c>
      <c r="D65" s="86"/>
      <c r="E65" s="86"/>
      <c r="F65" s="93"/>
      <c r="G65" s="94"/>
      <c r="H65" s="94"/>
      <c r="I65" s="95"/>
      <c r="J65" s="34">
        <f ca="1">IFERROR(OFFSET(INDIRECT("'Volumes'!A"&amp;MATCH(A64,Volumes!$A:$A,0)),0,1,1),)</f>
        <v>0</v>
      </c>
      <c r="K65" s="35">
        <f t="shared" ref="K65" ca="1" si="32">(AVERAGE(C63:C65)/10^D63/E63)*J65</f>
        <v>0</v>
      </c>
      <c r="L65" s="5">
        <f t="shared" ref="L65" si="33">STDEV(C63:C65)/AVERAGE(C63:C65)</f>
        <v>0.20314684111069595</v>
      </c>
      <c r="M65" s="35">
        <f t="shared" ref="M65" si="34">(AVERAGE(C63:C65)/10^D63/E63)</f>
        <v>1083333.3333333333</v>
      </c>
    </row>
    <row r="66" spans="1:13" x14ac:dyDescent="0.35">
      <c r="A66" s="54"/>
      <c r="B66" s="21" t="s">
        <v>37</v>
      </c>
      <c r="C66" s="22">
        <v>0</v>
      </c>
      <c r="D66" s="84">
        <v>0</v>
      </c>
      <c r="E66" s="84">
        <v>0.5</v>
      </c>
      <c r="F66" s="66"/>
      <c r="G66" s="67"/>
      <c r="H66" s="67"/>
      <c r="I66" s="68"/>
      <c r="J66" s="2"/>
      <c r="K66" s="40"/>
      <c r="L66" s="5"/>
      <c r="M66" s="35"/>
    </row>
    <row r="67" spans="1:13" x14ac:dyDescent="0.35">
      <c r="A67" s="55" t="str">
        <f>+'[2]List of Sample IDs'!A17</f>
        <v>479-CL-0"-5PSI-NC-01</v>
      </c>
      <c r="B67" s="45" t="s">
        <v>38</v>
      </c>
      <c r="C67" s="8">
        <v>0</v>
      </c>
      <c r="D67" s="85"/>
      <c r="E67" s="85"/>
      <c r="F67" s="69"/>
      <c r="G67" s="70"/>
      <c r="H67" s="70"/>
      <c r="I67" s="71"/>
    </row>
    <row r="68" spans="1:13" ht="15" thickBot="1" x14ac:dyDescent="0.4">
      <c r="A68" s="56"/>
      <c r="B68" s="25" t="s">
        <v>39</v>
      </c>
      <c r="C68" s="26">
        <v>0</v>
      </c>
      <c r="D68" s="86"/>
      <c r="E68" s="86"/>
      <c r="F68" s="72"/>
      <c r="G68" s="73"/>
      <c r="H68" s="73"/>
      <c r="I68" s="74"/>
      <c r="J68" s="34">
        <f ca="1">IFERROR(OFFSET(INDIRECT("'Volumes'!A"&amp;MATCH(A67,Volumes!$A:$A,0)),0,1,1),)</f>
        <v>0</v>
      </c>
      <c r="K68" s="35">
        <f t="shared" ref="K68" ca="1" si="35">(AVERAGE(C66:C68)/10^D66/E66)*J68</f>
        <v>0</v>
      </c>
      <c r="L68" s="5" t="e">
        <f t="shared" ref="L68" si="36">STDEV(C66:C68)/AVERAGE(C66:C68)</f>
        <v>#DIV/0!</v>
      </c>
      <c r="M68" s="35">
        <f t="shared" ref="M68" si="37">(AVERAGE(C66:C68)/10^D66/E66)</f>
        <v>0</v>
      </c>
    </row>
    <row r="69" spans="1:13" x14ac:dyDescent="0.35">
      <c r="A69" s="54"/>
      <c r="B69" s="21" t="s">
        <v>37</v>
      </c>
      <c r="C69" s="22">
        <v>0</v>
      </c>
      <c r="D69" s="84" t="s">
        <v>40</v>
      </c>
      <c r="E69" s="84" t="s">
        <v>40</v>
      </c>
      <c r="F69" s="75"/>
      <c r="G69" s="76"/>
      <c r="H69" s="76"/>
      <c r="I69" s="77"/>
      <c r="J69" s="2"/>
      <c r="K69" s="40"/>
      <c r="L69" s="5" t="e">
        <f t="shared" ref="L69" si="38">STDEV(C67:C69)/AVERAGE(C67:C69)</f>
        <v>#DIV/0!</v>
      </c>
      <c r="M69" s="35" t="e">
        <f t="shared" ref="M69" si="39">(AVERAGE(C67:C69)/10^D67/E67)</f>
        <v>#DIV/0!</v>
      </c>
    </row>
    <row r="70" spans="1:13" x14ac:dyDescent="0.35">
      <c r="A70" s="55" t="str">
        <f>+'[2]List of Sample IDs'!A18</f>
        <v>Cell Spreaders</v>
      </c>
      <c r="B70" s="45" t="s">
        <v>38</v>
      </c>
      <c r="C70" s="8">
        <v>0</v>
      </c>
      <c r="D70" s="85"/>
      <c r="E70" s="85"/>
      <c r="F70" s="78"/>
      <c r="G70" s="79"/>
      <c r="H70" s="79"/>
      <c r="I70" s="80"/>
    </row>
    <row r="71" spans="1:13" ht="15" thickBot="1" x14ac:dyDescent="0.4">
      <c r="A71" s="56"/>
      <c r="B71" s="25" t="s">
        <v>39</v>
      </c>
      <c r="C71" s="26">
        <v>0</v>
      </c>
      <c r="D71" s="86"/>
      <c r="E71" s="86"/>
      <c r="F71" s="81"/>
      <c r="G71" s="82"/>
      <c r="H71" s="82"/>
      <c r="I71" s="83"/>
      <c r="J71" s="34">
        <f ca="1">IFERROR(OFFSET(INDIRECT("'Volumes'!A"&amp;MATCH(A70,Volumes!$A:$A,0)),0,1,1),)</f>
        <v>0</v>
      </c>
      <c r="K71" s="35" t="e">
        <f t="shared" ref="K71" ca="1" si="40">(AVERAGE(C69:C71)/10^D69/E69)*J71</f>
        <v>#VALUE!</v>
      </c>
      <c r="L71" s="5" t="e">
        <f t="shared" ref="L71" si="41">STDEV(C69:C71)/AVERAGE(C69:C71)</f>
        <v>#DIV/0!</v>
      </c>
      <c r="M71" s="35" t="e">
        <f t="shared" ref="M71" si="42">(AVERAGE(C69:C71)/10^D69/E69)</f>
        <v>#VALUE!</v>
      </c>
    </row>
    <row r="72" spans="1:13" x14ac:dyDescent="0.35">
      <c r="A72" s="54"/>
      <c r="B72" s="21" t="s">
        <v>37</v>
      </c>
      <c r="C72" s="22">
        <v>0</v>
      </c>
      <c r="D72" s="84" t="s">
        <v>40</v>
      </c>
      <c r="E72" s="84" t="s">
        <v>40</v>
      </c>
      <c r="F72" s="75"/>
      <c r="G72" s="76"/>
      <c r="H72" s="76"/>
      <c r="I72" s="77"/>
      <c r="J72" s="34">
        <f ca="1">IFERROR(OFFSET(INDIRECT("'Volumes'!A"&amp;MATCH(A71,Volumes!$A:$A,0)),0,1,1),)</f>
        <v>0</v>
      </c>
      <c r="K72" s="35" t="e">
        <f t="shared" ref="K72" ca="1" si="43">(AVERAGE(C70:C72)/10^D70/E70)*J72</f>
        <v>#DIV/0!</v>
      </c>
      <c r="L72" s="5" t="e">
        <f t="shared" ref="L72" si="44">STDEV(C70:C72)/AVERAGE(C70:C72)</f>
        <v>#DIV/0!</v>
      </c>
      <c r="M72" s="35" t="e">
        <f t="shared" ref="M72" si="45">(AVERAGE(C70:C72)/10^D70/E70)</f>
        <v>#DIV/0!</v>
      </c>
    </row>
    <row r="73" spans="1:13" x14ac:dyDescent="0.35">
      <c r="A73" s="55" t="str">
        <f>+'[2]List of Sample IDs'!A19</f>
        <v>TSA only</v>
      </c>
      <c r="B73" s="45" t="s">
        <v>38</v>
      </c>
      <c r="C73" s="8">
        <v>0</v>
      </c>
      <c r="D73" s="85"/>
      <c r="E73" s="85"/>
      <c r="F73" s="78"/>
      <c r="G73" s="79"/>
      <c r="H73" s="79"/>
      <c r="I73" s="80"/>
      <c r="J73" s="5"/>
    </row>
    <row r="74" spans="1:13" ht="15" thickBot="1" x14ac:dyDescent="0.4">
      <c r="A74" s="56"/>
      <c r="B74" s="25" t="s">
        <v>39</v>
      </c>
      <c r="C74" s="26">
        <v>0</v>
      </c>
      <c r="D74" s="86"/>
      <c r="E74" s="86"/>
      <c r="F74" s="81"/>
      <c r="G74" s="82"/>
      <c r="H74" s="82"/>
      <c r="I74" s="83"/>
      <c r="J74" s="5"/>
    </row>
    <row r="75" spans="1:13" x14ac:dyDescent="0.35">
      <c r="A75" s="54"/>
      <c r="B75" s="21"/>
      <c r="C75" s="22"/>
      <c r="D75" s="63"/>
      <c r="E75" s="63"/>
      <c r="F75" s="66"/>
      <c r="G75" s="67"/>
      <c r="H75" s="67"/>
      <c r="I75" s="68"/>
      <c r="J75" s="34">
        <f ca="1">IFERROR(OFFSET(INDIRECT("'Volumes'!A"&amp;MATCH(A74,Volumes!$A:$A,0)),0,1,1),)</f>
        <v>0</v>
      </c>
      <c r="K75" s="35" t="e">
        <f t="shared" ref="K75" ca="1" si="46">(AVERAGE(C73:C75)/10^D73/E73)*J75</f>
        <v>#DIV/0!</v>
      </c>
      <c r="L75" s="5" t="e">
        <f t="shared" ref="L75" si="47">STDEV(C73:C75)/AVERAGE(C73:C75)</f>
        <v>#DIV/0!</v>
      </c>
      <c r="M75" s="35" t="e">
        <f t="shared" ref="M75" si="48">(AVERAGE(C73:C75)/10^D73/E73)</f>
        <v>#DIV/0!</v>
      </c>
    </row>
    <row r="76" spans="1:13" x14ac:dyDescent="0.35">
      <c r="A76" s="55"/>
      <c r="B76" s="45"/>
      <c r="C76" s="8"/>
      <c r="D76" s="64"/>
      <c r="E76" s="64"/>
      <c r="F76" s="69"/>
      <c r="G76" s="70"/>
      <c r="H76" s="70"/>
      <c r="I76" s="71"/>
      <c r="J76" s="5"/>
    </row>
    <row r="77" spans="1:13" ht="15" thickBot="1" x14ac:dyDescent="0.4">
      <c r="A77" s="56"/>
      <c r="B77" s="25"/>
      <c r="C77" s="26"/>
      <c r="D77" s="65"/>
      <c r="E77" s="65"/>
      <c r="F77" s="72"/>
      <c r="G77" s="73"/>
      <c r="H77" s="73"/>
      <c r="I77" s="74"/>
      <c r="J77" s="5"/>
    </row>
    <row r="78" spans="1:13" x14ac:dyDescent="0.35">
      <c r="A78" s="54"/>
      <c r="B78" s="21"/>
      <c r="C78" s="22"/>
      <c r="D78" s="63"/>
      <c r="E78" s="63"/>
      <c r="F78" s="66"/>
      <c r="G78" s="67"/>
      <c r="H78" s="67"/>
      <c r="I78" s="68"/>
      <c r="J78" s="34">
        <f ca="1">IFERROR(OFFSET(INDIRECT("'Volumes'!A"&amp;MATCH(A77,Volumes!$A:$A,0)),0,1,1),)</f>
        <v>0</v>
      </c>
      <c r="K78" s="35">
        <f>1</f>
        <v>1</v>
      </c>
      <c r="L78" s="5" t="e">
        <f t="shared" ref="L78" si="49">STDEV(C76:C78)/AVERAGE(C76:C78)</f>
        <v>#DIV/0!</v>
      </c>
      <c r="M78" s="35" t="e">
        <f t="shared" ref="M78" si="50">(AVERAGE(C76:C78)/10^D76/E76)</f>
        <v>#DIV/0!</v>
      </c>
    </row>
    <row r="79" spans="1:13" x14ac:dyDescent="0.35">
      <c r="A79" s="55"/>
      <c r="B79" s="45"/>
      <c r="C79" s="8"/>
      <c r="D79" s="64"/>
      <c r="E79" s="64"/>
      <c r="F79" s="69"/>
      <c r="G79" s="70"/>
      <c r="H79" s="70"/>
      <c r="I79" s="71"/>
      <c r="J79" s="5"/>
    </row>
    <row r="80" spans="1:13" ht="15" thickBot="1" x14ac:dyDescent="0.4">
      <c r="A80" s="56"/>
      <c r="B80" s="25"/>
      <c r="C80" s="26"/>
      <c r="D80" s="65"/>
      <c r="E80" s="65"/>
      <c r="F80" s="72"/>
      <c r="G80" s="73"/>
      <c r="H80" s="73"/>
      <c r="I80" s="74"/>
      <c r="J80" s="5"/>
    </row>
    <row r="81" spans="1:13" x14ac:dyDescent="0.35">
      <c r="A81" s="57"/>
      <c r="B81" s="21"/>
      <c r="C81" s="22"/>
      <c r="D81" s="63"/>
      <c r="E81" s="63"/>
      <c r="F81" s="66"/>
      <c r="G81" s="67"/>
      <c r="H81" s="67"/>
      <c r="I81" s="68"/>
      <c r="J81" s="34">
        <f ca="1">IFERROR(OFFSET(INDIRECT("'Volumes'!A"&amp;MATCH(A80,Volumes!$A:$A,0)),0,1,1),)</f>
        <v>0</v>
      </c>
      <c r="K81" s="35">
        <f>1</f>
        <v>1</v>
      </c>
      <c r="L81" s="5" t="e">
        <f t="shared" ref="L81" si="51">STDEV(C79:C81)/AVERAGE(C79:C81)</f>
        <v>#DIV/0!</v>
      </c>
      <c r="M81" s="35" t="e">
        <f t="shared" ref="M81" si="52">(AVERAGE(C79:C81)/10^D79/E79)</f>
        <v>#DIV/0!</v>
      </c>
    </row>
    <row r="82" spans="1:13" x14ac:dyDescent="0.35">
      <c r="A82" s="55"/>
      <c r="B82" s="45"/>
      <c r="C82" s="8"/>
      <c r="D82" s="64"/>
      <c r="E82" s="64"/>
      <c r="F82" s="69"/>
      <c r="G82" s="70"/>
      <c r="H82" s="70"/>
      <c r="I82" s="71"/>
      <c r="J82" s="5"/>
    </row>
    <row r="83" spans="1:13" ht="15" thickBot="1" x14ac:dyDescent="0.4">
      <c r="A83" s="58"/>
      <c r="B83" s="25"/>
      <c r="C83" s="26"/>
      <c r="D83" s="65"/>
      <c r="E83" s="65"/>
      <c r="F83" s="72"/>
      <c r="G83" s="73"/>
      <c r="H83" s="73"/>
      <c r="I83" s="74"/>
      <c r="J83" s="5"/>
    </row>
    <row r="84" spans="1:13" x14ac:dyDescent="0.35">
      <c r="A84" s="54"/>
      <c r="B84" s="21"/>
      <c r="C84" s="22"/>
      <c r="D84" s="63"/>
      <c r="E84" s="63"/>
      <c r="F84" s="66"/>
      <c r="G84" s="67"/>
      <c r="H84" s="67"/>
      <c r="I84" s="68"/>
      <c r="J84" s="34">
        <f ca="1">IFERROR(OFFSET(INDIRECT("'Volumes'!A"&amp;MATCH(A83,Volumes!$A:$A,0)),0,1,1),)</f>
        <v>0</v>
      </c>
      <c r="K84" s="35" t="e">
        <f t="shared" ref="K84" ca="1" si="53">(AVERAGE(C82:C84)/10^D82/E82)*J84</f>
        <v>#DIV/0!</v>
      </c>
      <c r="L84" s="5" t="e">
        <f t="shared" ref="L84" si="54">STDEV(C82:C84)/AVERAGE(C82:C84)</f>
        <v>#DIV/0!</v>
      </c>
      <c r="M84" s="35" t="e">
        <f t="shared" ref="M84" si="55">(AVERAGE(C82:C84)/10^D82/E82)</f>
        <v>#DIV/0!</v>
      </c>
    </row>
    <row r="85" spans="1:13" x14ac:dyDescent="0.35">
      <c r="A85" s="55"/>
      <c r="B85" s="45"/>
      <c r="C85" s="8"/>
      <c r="D85" s="64"/>
      <c r="E85" s="64"/>
      <c r="F85" s="69"/>
      <c r="G85" s="70"/>
      <c r="H85" s="70"/>
      <c r="I85" s="71"/>
      <c r="J85" s="5"/>
    </row>
    <row r="86" spans="1:13" ht="15" thickBot="1" x14ac:dyDescent="0.4">
      <c r="A86" s="56"/>
      <c r="B86" s="25"/>
      <c r="C86" s="26"/>
      <c r="D86" s="65"/>
      <c r="E86" s="65"/>
      <c r="F86" s="72"/>
      <c r="G86" s="73"/>
      <c r="H86" s="73"/>
      <c r="I86" s="74"/>
      <c r="J86" s="5"/>
    </row>
    <row r="87" spans="1:13" x14ac:dyDescent="0.35">
      <c r="A87" s="54"/>
      <c r="B87" s="21"/>
      <c r="C87" s="22"/>
      <c r="D87" s="63"/>
      <c r="E87" s="63"/>
      <c r="F87" s="75"/>
      <c r="G87" s="76"/>
      <c r="H87" s="76"/>
      <c r="I87" s="77"/>
      <c r="J87" s="34">
        <f ca="1">IFERROR(OFFSET(INDIRECT("'Volumes'!A"&amp;MATCH(A86,Volumes!$A:$A,0)),0,1,1),)</f>
        <v>0</v>
      </c>
      <c r="K87" s="35" t="e">
        <f t="shared" ref="K87" ca="1" si="56">(AVERAGE(C85:C87)/10^D85/E85)*J87</f>
        <v>#DIV/0!</v>
      </c>
      <c r="L87" s="5" t="e">
        <f t="shared" ref="L87" si="57">STDEV(C85:C87)/AVERAGE(C85:C87)</f>
        <v>#DIV/0!</v>
      </c>
      <c r="M87" s="35" t="e">
        <f t="shared" ref="M87" si="58">(AVERAGE(C85:C87)/10^D85/E85)</f>
        <v>#DIV/0!</v>
      </c>
    </row>
    <row r="88" spans="1:13" x14ac:dyDescent="0.35">
      <c r="A88" s="55"/>
      <c r="B88" s="45"/>
      <c r="C88" s="8"/>
      <c r="D88" s="64"/>
      <c r="E88" s="64"/>
      <c r="F88" s="78"/>
      <c r="G88" s="79"/>
      <c r="H88" s="79"/>
      <c r="I88" s="80"/>
      <c r="J88" s="5"/>
    </row>
    <row r="89" spans="1:13" ht="15" thickBot="1" x14ac:dyDescent="0.4">
      <c r="A89" s="56"/>
      <c r="B89" s="25"/>
      <c r="C89" s="26"/>
      <c r="D89" s="65"/>
      <c r="E89" s="65"/>
      <c r="F89" s="81"/>
      <c r="G89" s="82"/>
      <c r="H89" s="82"/>
      <c r="I89" s="83"/>
      <c r="J89" s="5"/>
    </row>
    <row r="90" spans="1:13" x14ac:dyDescent="0.35">
      <c r="A90" s="59"/>
      <c r="B90" s="21"/>
      <c r="C90" s="22"/>
      <c r="D90" s="63"/>
      <c r="E90" s="63"/>
      <c r="F90" s="75"/>
      <c r="G90" s="76"/>
      <c r="H90" s="76"/>
      <c r="I90" s="77"/>
      <c r="J90" s="34">
        <f ca="1">IFERROR(OFFSET(INDIRECT("'Volumes'!A"&amp;MATCH(A89,Volumes!$A:$A,0)),0,1,1),)</f>
        <v>0</v>
      </c>
      <c r="K90" s="35" t="e">
        <f t="shared" ref="K90" ca="1" si="59">(AVERAGE(C88:C90)/10^D88/E88)*J90</f>
        <v>#DIV/0!</v>
      </c>
      <c r="L90" s="5" t="e">
        <f t="shared" ref="L90" si="60">STDEV(C88:C90)/AVERAGE(C88:C90)</f>
        <v>#DIV/0!</v>
      </c>
      <c r="M90" s="35" t="e">
        <f t="shared" ref="M90" si="61">(AVERAGE(C88:C90)/10^D88/E88)</f>
        <v>#DIV/0!</v>
      </c>
    </row>
    <row r="91" spans="1:13" x14ac:dyDescent="0.35">
      <c r="A91" s="55"/>
      <c r="B91" s="45"/>
      <c r="C91" s="8"/>
      <c r="D91" s="64"/>
      <c r="E91" s="64"/>
      <c r="F91" s="78"/>
      <c r="G91" s="79"/>
      <c r="H91" s="79"/>
      <c r="I91" s="80"/>
      <c r="J91" s="5"/>
    </row>
    <row r="92" spans="1:13" ht="15" thickBot="1" x14ac:dyDescent="0.4">
      <c r="A92" s="60"/>
      <c r="B92" s="25"/>
      <c r="C92" s="26"/>
      <c r="D92" s="65"/>
      <c r="E92" s="65"/>
      <c r="F92" s="81"/>
      <c r="G92" s="82"/>
      <c r="H92" s="82"/>
      <c r="I92" s="83"/>
      <c r="J92" s="5"/>
    </row>
    <row r="93" spans="1:13" x14ac:dyDescent="0.35">
      <c r="A93" s="54"/>
      <c r="B93" s="21"/>
      <c r="C93" s="22"/>
      <c r="D93" s="63"/>
      <c r="E93" s="63"/>
      <c r="F93" s="66"/>
      <c r="G93" s="67"/>
      <c r="H93" s="67"/>
      <c r="I93" s="68"/>
      <c r="J93" s="34">
        <f ca="1">IFERROR(OFFSET(INDIRECT("'Volumes'!A"&amp;MATCH(A92,Volumes!$A:$A,0)),0,1,1),)</f>
        <v>0</v>
      </c>
      <c r="K93" s="35" t="e">
        <f t="shared" ref="K93" ca="1" si="62">(AVERAGE(C91:C93)/10^D91/E91)*J93</f>
        <v>#DIV/0!</v>
      </c>
      <c r="L93" s="5" t="e">
        <f t="shared" ref="L93" si="63">STDEV(C91:C93)/AVERAGE(C91:C93)</f>
        <v>#DIV/0!</v>
      </c>
      <c r="M93" s="35" t="e">
        <f t="shared" ref="M93" si="64">(AVERAGE(C91:C93)/10^D91/E91)</f>
        <v>#DIV/0!</v>
      </c>
    </row>
    <row r="94" spans="1:13" x14ac:dyDescent="0.35">
      <c r="A94" s="55"/>
      <c r="B94" s="45"/>
      <c r="C94" s="8"/>
      <c r="D94" s="64"/>
      <c r="E94" s="64"/>
      <c r="F94" s="69"/>
      <c r="G94" s="70"/>
      <c r="H94" s="70"/>
      <c r="I94" s="71"/>
      <c r="J94" s="5"/>
    </row>
    <row r="95" spans="1:13" ht="15" thickBot="1" x14ac:dyDescent="0.4">
      <c r="A95" s="56"/>
      <c r="B95" s="25"/>
      <c r="C95" s="26"/>
      <c r="D95" s="65"/>
      <c r="E95" s="65"/>
      <c r="F95" s="72"/>
      <c r="G95" s="73"/>
      <c r="H95" s="73"/>
      <c r="I95" s="74"/>
      <c r="J95" s="5"/>
    </row>
    <row r="96" spans="1:13" x14ac:dyDescent="0.35">
      <c r="A96" s="54"/>
      <c r="B96" s="21"/>
      <c r="C96" s="22"/>
      <c r="D96" s="63"/>
      <c r="E96" s="63"/>
      <c r="F96" s="66"/>
      <c r="G96" s="67"/>
      <c r="H96" s="67"/>
      <c r="I96" s="68"/>
      <c r="J96" s="34">
        <f ca="1">IFERROR(OFFSET(INDIRECT("'Volumes'!A"&amp;MATCH(A95,Volumes!$A:$A,0)),0,1,1),)</f>
        <v>0</v>
      </c>
      <c r="K96" s="35">
        <f>1</f>
        <v>1</v>
      </c>
      <c r="L96" s="5" t="e">
        <f t="shared" ref="L96" si="65">STDEV(C94:C96)/AVERAGE(C94:C96)</f>
        <v>#DIV/0!</v>
      </c>
      <c r="M96" s="35" t="e">
        <f t="shared" ref="M96" si="66">(AVERAGE(C94:C96)/10^D94/E94)</f>
        <v>#DIV/0!</v>
      </c>
    </row>
    <row r="97" spans="1:13" x14ac:dyDescent="0.35">
      <c r="A97" s="55"/>
      <c r="B97" s="45"/>
      <c r="C97" s="8"/>
      <c r="D97" s="64"/>
      <c r="E97" s="64"/>
      <c r="F97" s="69"/>
      <c r="G97" s="70"/>
      <c r="H97" s="70"/>
      <c r="I97" s="71"/>
      <c r="J97" s="5"/>
    </row>
    <row r="98" spans="1:13" ht="15" thickBot="1" x14ac:dyDescent="0.4">
      <c r="A98" s="56"/>
      <c r="B98" s="25"/>
      <c r="C98" s="26"/>
      <c r="D98" s="65"/>
      <c r="E98" s="65"/>
      <c r="F98" s="72"/>
      <c r="G98" s="73"/>
      <c r="H98" s="73"/>
      <c r="I98" s="74"/>
      <c r="J98" s="5"/>
    </row>
    <row r="99" spans="1:13" x14ac:dyDescent="0.35">
      <c r="A99" s="54"/>
      <c r="B99" s="21"/>
      <c r="C99" s="22"/>
      <c r="D99" s="63"/>
      <c r="E99" s="63"/>
      <c r="F99" s="66"/>
      <c r="G99" s="67"/>
      <c r="H99" s="67"/>
      <c r="I99" s="68"/>
      <c r="J99" s="34">
        <f ca="1">IFERROR(OFFSET(INDIRECT("'Volumes'!A"&amp;MATCH(A98,Volumes!$A:$A,0)),0,1,1),)</f>
        <v>0</v>
      </c>
      <c r="K99" s="35">
        <f>1</f>
        <v>1</v>
      </c>
      <c r="L99" s="5" t="e">
        <f t="shared" ref="L99" si="67">STDEV(C97:C99)/AVERAGE(C97:C99)</f>
        <v>#DIV/0!</v>
      </c>
      <c r="M99" s="35" t="e">
        <f t="shared" ref="M99" si="68">(AVERAGE(C97:C99)/10^D97/E97)</f>
        <v>#DIV/0!</v>
      </c>
    </row>
    <row r="100" spans="1:13" x14ac:dyDescent="0.35">
      <c r="A100" s="55"/>
      <c r="B100" s="45"/>
      <c r="C100" s="8"/>
      <c r="D100" s="64"/>
      <c r="E100" s="64"/>
      <c r="F100" s="69"/>
      <c r="G100" s="70"/>
      <c r="H100" s="70"/>
      <c r="I100" s="71"/>
      <c r="J100" s="5"/>
    </row>
    <row r="101" spans="1:13" ht="15" thickBot="1" x14ac:dyDescent="0.4">
      <c r="A101" s="56"/>
      <c r="B101" s="25"/>
      <c r="C101" s="26"/>
      <c r="D101" s="65"/>
      <c r="E101" s="65"/>
      <c r="F101" s="72"/>
      <c r="G101" s="73"/>
      <c r="H101" s="73"/>
      <c r="I101" s="74"/>
      <c r="J101" s="5"/>
    </row>
    <row r="102" spans="1:13" x14ac:dyDescent="0.35">
      <c r="A102" s="54"/>
      <c r="B102" s="21"/>
      <c r="C102" s="22"/>
      <c r="D102" s="63"/>
      <c r="E102" s="63"/>
      <c r="F102" s="66"/>
      <c r="G102" s="67"/>
      <c r="H102" s="67"/>
      <c r="I102" s="68"/>
      <c r="J102" s="34">
        <f ca="1">IFERROR(OFFSET(INDIRECT("'Volumes'!A"&amp;MATCH(A101,Volumes!$A:$A,0)),0,1,1),)</f>
        <v>0</v>
      </c>
      <c r="K102" s="35">
        <f>1</f>
        <v>1</v>
      </c>
      <c r="L102" s="5" t="e">
        <f t="shared" ref="L102" si="69">STDEV(C100:C102)/AVERAGE(C100:C102)</f>
        <v>#DIV/0!</v>
      </c>
      <c r="M102" s="35" t="e">
        <f t="shared" ref="M102" si="70">(AVERAGE(C100:C102)/10^D100/E100)</f>
        <v>#DIV/0!</v>
      </c>
    </row>
    <row r="103" spans="1:13" x14ac:dyDescent="0.35">
      <c r="A103" s="55"/>
      <c r="B103" s="45"/>
      <c r="C103" s="8"/>
      <c r="D103" s="64"/>
      <c r="E103" s="64"/>
      <c r="F103" s="69"/>
      <c r="G103" s="70"/>
      <c r="H103" s="70"/>
      <c r="I103" s="71"/>
      <c r="J103" s="5"/>
    </row>
    <row r="104" spans="1:13" ht="15" thickBot="1" x14ac:dyDescent="0.4">
      <c r="A104" s="56"/>
      <c r="B104" s="25"/>
      <c r="C104" s="26"/>
      <c r="D104" s="65"/>
      <c r="E104" s="65"/>
      <c r="F104" s="72"/>
      <c r="G104" s="73"/>
      <c r="H104" s="73"/>
      <c r="I104" s="74"/>
      <c r="J104" s="5"/>
    </row>
    <row r="105" spans="1:13" x14ac:dyDescent="0.35">
      <c r="A105" s="31" t="s">
        <v>44</v>
      </c>
      <c r="B105" s="32"/>
      <c r="C105" s="32"/>
      <c r="D105" s="32"/>
      <c r="E105" s="32"/>
      <c r="F105" s="32"/>
      <c r="G105" s="32"/>
      <c r="H105" s="32"/>
      <c r="I105" s="32"/>
      <c r="J105" s="34">
        <f ca="1">IFERROR(OFFSET(INDIRECT("'Volumes'!A"&amp;MATCH(A104,Volumes!$A:$A,0)),0,1,1),)</f>
        <v>0</v>
      </c>
      <c r="K105" s="35" t="e">
        <f t="shared" ref="K105" ca="1" si="71">(AVERAGE(C103:C105)/10^D103/E103)*J105</f>
        <v>#DIV/0!</v>
      </c>
      <c r="L105" s="5" t="e">
        <f>STDEV(C103:C105)/AVERAGE(C103:C105)</f>
        <v>#DIV/0!</v>
      </c>
      <c r="M105" s="35" t="e">
        <f t="shared" ref="M105" si="72">(AVERAGE(C103:C105)/10^D103/E103)</f>
        <v>#DIV/0!</v>
      </c>
    </row>
    <row r="106" spans="1:13" x14ac:dyDescent="0.35">
      <c r="A106" s="31"/>
      <c r="B106" s="32"/>
      <c r="C106" s="32"/>
      <c r="D106" s="32"/>
      <c r="E106" s="32"/>
      <c r="F106" s="32"/>
      <c r="G106" s="32"/>
      <c r="H106" s="32"/>
      <c r="I106" s="32"/>
    </row>
    <row r="113" spans="10:13" x14ac:dyDescent="0.35">
      <c r="J113" s="5"/>
    </row>
    <row r="114" spans="10:13" x14ac:dyDescent="0.35">
      <c r="J114" s="5"/>
    </row>
    <row r="115" spans="10:13" x14ac:dyDescent="0.35">
      <c r="J115" s="34">
        <f ca="1">IFERROR(OFFSET(INDIRECT("'Volumes'!A"&amp;MATCH(A114,Volumes!$A:$A,0)),0,1,1),)</f>
        <v>0</v>
      </c>
      <c r="K115" s="35" t="e">
        <f t="shared" ref="K115" ca="1" si="73">(AVERAGE(C113:C115)/10^D113/E113)*J115</f>
        <v>#DIV/0!</v>
      </c>
      <c r="L115" s="5" t="e">
        <f t="shared" ref="L115" si="74">STDEV(C113:C115)/AVERAGE(C113:C115)</f>
        <v>#DIV/0!</v>
      </c>
      <c r="M115" s="35" t="e">
        <f t="shared" ref="M115" si="75">(AVERAGE(C113:C115)/10^D113/E113)</f>
        <v>#DIV/0!</v>
      </c>
    </row>
    <row r="116" spans="10:13" x14ac:dyDescent="0.35">
      <c r="J116" s="5"/>
    </row>
    <row r="117" spans="10:13" x14ac:dyDescent="0.35">
      <c r="J117" s="5"/>
    </row>
    <row r="118" spans="10:13" x14ac:dyDescent="0.35">
      <c r="J118" s="34">
        <f ca="1">IFERROR(OFFSET(INDIRECT("'Volumes'!A"&amp;MATCH(A117,Volumes!$A:$A,0)),0,1,1),)</f>
        <v>0</v>
      </c>
      <c r="K118" s="35" t="e">
        <f t="shared" ref="K118" ca="1" si="76">(AVERAGE(C116:C118)/10^D116/E116)*J118</f>
        <v>#DIV/0!</v>
      </c>
      <c r="L118" s="5" t="e">
        <f t="shared" ref="L118" si="77">STDEV(C116:C118)/AVERAGE(C116:C118)</f>
        <v>#DIV/0!</v>
      </c>
      <c r="M118" s="35" t="e">
        <f t="shared" ref="M118" si="78">(AVERAGE(C116:C118)/10^D116/E116)</f>
        <v>#DIV/0!</v>
      </c>
    </row>
    <row r="119" spans="10:13" x14ac:dyDescent="0.35">
      <c r="J119" s="5"/>
    </row>
    <row r="120" spans="10:13" x14ac:dyDescent="0.35">
      <c r="J120" s="5"/>
    </row>
    <row r="121" spans="10:13" x14ac:dyDescent="0.35">
      <c r="J121" s="34">
        <f ca="1">IFERROR(OFFSET(INDIRECT("'Volumes'!A"&amp;MATCH(A120,Volumes!$A:$A,0)),0,1,1),)</f>
        <v>0</v>
      </c>
      <c r="K121" s="35" t="e">
        <f t="shared" ref="K121" ca="1" si="79">(AVERAGE(C119:C121)/10^D119/E119)*J121</f>
        <v>#DIV/0!</v>
      </c>
      <c r="L121" s="5" t="e">
        <f t="shared" ref="L121" si="80">STDEV(C119:C121)/AVERAGE(C119:C121)</f>
        <v>#DIV/0!</v>
      </c>
      <c r="M121" s="35" t="e">
        <f t="shared" ref="M121" si="81">(AVERAGE(C119:C121)/10^D119/E119)</f>
        <v>#DIV/0!</v>
      </c>
    </row>
  </sheetData>
  <mergeCells count="116"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  <mergeCell ref="D34:D36"/>
    <mergeCell ref="E34:E36"/>
    <mergeCell ref="F34:I36"/>
    <mergeCell ref="D37:D39"/>
    <mergeCell ref="E37:E39"/>
    <mergeCell ref="F37:I39"/>
    <mergeCell ref="D40:D42"/>
    <mergeCell ref="E40:E42"/>
    <mergeCell ref="F40:I42"/>
    <mergeCell ref="D25:D27"/>
    <mergeCell ref="E25:E27"/>
    <mergeCell ref="F25:I27"/>
    <mergeCell ref="D28:D30"/>
    <mergeCell ref="E28:E30"/>
    <mergeCell ref="F28:I30"/>
    <mergeCell ref="D31:D33"/>
    <mergeCell ref="E31:E33"/>
    <mergeCell ref="F31:I33"/>
    <mergeCell ref="D16:D18"/>
    <mergeCell ref="E16:E18"/>
    <mergeCell ref="F16:I18"/>
    <mergeCell ref="D19:D21"/>
    <mergeCell ref="E19:E21"/>
    <mergeCell ref="F19:I21"/>
    <mergeCell ref="D22:D24"/>
    <mergeCell ref="E22:E24"/>
    <mergeCell ref="F22:I24"/>
    <mergeCell ref="H10:I10"/>
    <mergeCell ref="B11:B12"/>
    <mergeCell ref="C11:C12"/>
    <mergeCell ref="D11:D12"/>
    <mergeCell ref="E11:E12"/>
    <mergeCell ref="F12:I12"/>
    <mergeCell ref="D13:D15"/>
    <mergeCell ref="E13:E15"/>
    <mergeCell ref="F13:I15"/>
    <mergeCell ref="C9:D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B55:B56"/>
    <mergeCell ref="C55:C56"/>
    <mergeCell ref="D55:D56"/>
    <mergeCell ref="E55:E56"/>
    <mergeCell ref="F56:I56"/>
    <mergeCell ref="D57:D59"/>
    <mergeCell ref="E57:E59"/>
    <mergeCell ref="F57:I59"/>
    <mergeCell ref="D60:D62"/>
    <mergeCell ref="E60:E62"/>
    <mergeCell ref="F60:I62"/>
    <mergeCell ref="D63:D65"/>
    <mergeCell ref="E63:E65"/>
    <mergeCell ref="F63:I65"/>
    <mergeCell ref="D66:D68"/>
    <mergeCell ref="E66:E68"/>
    <mergeCell ref="F66:I68"/>
    <mergeCell ref="D69:D71"/>
    <mergeCell ref="E69:E71"/>
    <mergeCell ref="F69:I71"/>
    <mergeCell ref="D72:D74"/>
    <mergeCell ref="E72:E74"/>
    <mergeCell ref="F72:I74"/>
    <mergeCell ref="D75:D77"/>
    <mergeCell ref="E75:E77"/>
    <mergeCell ref="F75:I77"/>
    <mergeCell ref="D78:D80"/>
    <mergeCell ref="E78:E80"/>
    <mergeCell ref="F78:I80"/>
    <mergeCell ref="D81:D83"/>
    <mergeCell ref="E81:E83"/>
    <mergeCell ref="F81:I83"/>
    <mergeCell ref="D84:D86"/>
    <mergeCell ref="E84:E86"/>
    <mergeCell ref="F84:I86"/>
    <mergeCell ref="D87:D89"/>
    <mergeCell ref="E87:E89"/>
    <mergeCell ref="F87:I89"/>
    <mergeCell ref="D99:D101"/>
    <mergeCell ref="E99:E101"/>
    <mergeCell ref="F99:I101"/>
    <mergeCell ref="D102:D104"/>
    <mergeCell ref="E102:E104"/>
    <mergeCell ref="F102:I104"/>
    <mergeCell ref="D90:D92"/>
    <mergeCell ref="E90:E92"/>
    <mergeCell ref="F90:I92"/>
    <mergeCell ref="D93:D95"/>
    <mergeCell ref="E93:E95"/>
    <mergeCell ref="F93:I95"/>
    <mergeCell ref="D96:D98"/>
    <mergeCell ref="E96:E98"/>
    <mergeCell ref="F96:I98"/>
  </mergeCells>
  <conditionalFormatting sqref="J18 J21 J24 J27 J30 J33 J36 J39 J42 J45 J48 J51">
    <cfRule type="expression" dxfId="8" priority="10" stopIfTrue="1">
      <formula>NOT(ISERROR(SEARCH("NG",J18)))</formula>
    </cfRule>
  </conditionalFormatting>
  <conditionalFormatting sqref="J60 J63 J66 J69 J72 J75 J78 J81 J84 J87 J90 J93 J96 J99 J102 J105">
    <cfRule type="expression" dxfId="7" priority="9" stopIfTrue="1">
      <formula>NOT(ISERROR(SEARCH("NG",J60)))</formula>
    </cfRule>
  </conditionalFormatting>
  <conditionalFormatting sqref="J115 J118 J121">
    <cfRule type="expression" dxfId="6" priority="8" stopIfTrue="1">
      <formula>NOT(ISERROR(SEARCH("NG",J115)))</formula>
    </cfRule>
  </conditionalFormatting>
  <conditionalFormatting sqref="J15">
    <cfRule type="expression" dxfId="5" priority="7" stopIfTrue="1">
      <formula>NOT(ISERROR(SEARCH("NG",J15)))</formula>
    </cfRule>
  </conditionalFormatting>
  <conditionalFormatting sqref="J59">
    <cfRule type="expression" dxfId="4" priority="5" stopIfTrue="1">
      <formula>NOT(ISERROR(SEARCH("NG",J59)))</formula>
    </cfRule>
  </conditionalFormatting>
  <conditionalFormatting sqref="J62">
    <cfRule type="expression" dxfId="3" priority="4" stopIfTrue="1">
      <formula>NOT(ISERROR(SEARCH("NG",J62)))</formula>
    </cfRule>
  </conditionalFormatting>
  <conditionalFormatting sqref="J65">
    <cfRule type="expression" dxfId="2" priority="3" stopIfTrue="1">
      <formula>NOT(ISERROR(SEARCH("NG",J65)))</formula>
    </cfRule>
  </conditionalFormatting>
  <conditionalFormatting sqref="J68">
    <cfRule type="expression" dxfId="1" priority="2" stopIfTrue="1">
      <formula>NOT(ISERROR(SEARCH("NG",J68)))</formula>
    </cfRule>
  </conditionalFormatting>
  <conditionalFormatting sqref="J71">
    <cfRule type="expression" dxfId="0" priority="1" stopIfTrue="1">
      <formula>NOT(ISERROR(SEARCH("NG",J71)))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A19" sqref="A19"/>
    </sheetView>
  </sheetViews>
  <sheetFormatPr defaultRowHeight="14.5" x14ac:dyDescent="0.35"/>
  <cols>
    <col min="1" max="1" width="38.81640625" customWidth="1"/>
    <col min="2" max="2" width="14.26953125" customWidth="1"/>
    <col min="3" max="3" width="15" customWidth="1"/>
    <col min="5" max="5" width="57.54296875" bestFit="1" customWidth="1"/>
  </cols>
  <sheetData>
    <row r="1" spans="1:2" ht="29" x14ac:dyDescent="0.35">
      <c r="A1" s="6" t="s">
        <v>11</v>
      </c>
      <c r="B1" s="7" t="s">
        <v>12</v>
      </c>
    </row>
    <row r="2" spans="1:2" x14ac:dyDescent="0.35">
      <c r="A2" s="8" t="s">
        <v>51</v>
      </c>
      <c r="B2" s="9">
        <v>20.3</v>
      </c>
    </row>
    <row r="3" spans="1:2" x14ac:dyDescent="0.35">
      <c r="A3" s="8" t="s">
        <v>52</v>
      </c>
      <c r="B3" s="9">
        <v>19.2</v>
      </c>
    </row>
    <row r="4" spans="1:2" x14ac:dyDescent="0.35">
      <c r="A4" s="8" t="s">
        <v>53</v>
      </c>
      <c r="B4" s="9">
        <v>19.3</v>
      </c>
    </row>
    <row r="5" spans="1:2" x14ac:dyDescent="0.35">
      <c r="A5" s="8" t="s">
        <v>54</v>
      </c>
      <c r="B5" s="9">
        <v>20</v>
      </c>
    </row>
    <row r="6" spans="1:2" x14ac:dyDescent="0.35">
      <c r="A6" s="8" t="s">
        <v>55</v>
      </c>
      <c r="B6" s="9">
        <v>19.3</v>
      </c>
    </row>
    <row r="7" spans="1:2" x14ac:dyDescent="0.35">
      <c r="A7" s="8" t="s">
        <v>56</v>
      </c>
      <c r="B7" s="9">
        <v>19.5</v>
      </c>
    </row>
    <row r="8" spans="1:2" x14ac:dyDescent="0.35">
      <c r="A8" s="8" t="s">
        <v>57</v>
      </c>
      <c r="B8" s="9">
        <v>19.3</v>
      </c>
    </row>
    <row r="9" spans="1:2" x14ac:dyDescent="0.35">
      <c r="A9" s="8" t="s">
        <v>58</v>
      </c>
      <c r="B9" s="9">
        <v>18.7</v>
      </c>
    </row>
    <row r="10" spans="1:2" x14ac:dyDescent="0.35">
      <c r="A10" s="8" t="s">
        <v>59</v>
      </c>
      <c r="B10" s="9">
        <v>19</v>
      </c>
    </row>
    <row r="11" spans="1:2" x14ac:dyDescent="0.35">
      <c r="A11" s="8" t="s">
        <v>60</v>
      </c>
      <c r="B11" s="9">
        <v>19.399999999999999</v>
      </c>
    </row>
    <row r="12" spans="1:2" x14ac:dyDescent="0.35">
      <c r="A12" s="8" t="s">
        <v>61</v>
      </c>
      <c r="B12" s="44">
        <v>19.3</v>
      </c>
    </row>
    <row r="13" spans="1:2" x14ac:dyDescent="0.35">
      <c r="A13" s="8" t="s">
        <v>62</v>
      </c>
      <c r="B13" s="44">
        <v>19.100000000000001</v>
      </c>
    </row>
    <row r="14" spans="1:2" x14ac:dyDescent="0.35">
      <c r="A14" s="8" t="s">
        <v>63</v>
      </c>
      <c r="B14" s="9">
        <v>19.7</v>
      </c>
    </row>
    <row r="15" spans="1:2" x14ac:dyDescent="0.35">
      <c r="A15" s="8" t="s">
        <v>64</v>
      </c>
      <c r="B15" s="44">
        <v>19</v>
      </c>
    </row>
    <row r="16" spans="1:2" x14ac:dyDescent="0.35">
      <c r="A16" s="8" t="s">
        <v>65</v>
      </c>
      <c r="B16" s="44">
        <v>19</v>
      </c>
    </row>
    <row r="17" spans="1:2" x14ac:dyDescent="0.35">
      <c r="A17" s="8" t="s">
        <v>66</v>
      </c>
      <c r="B17" s="9">
        <v>19.899999999999999</v>
      </c>
    </row>
    <row r="18" spans="1:2" x14ac:dyDescent="0.35">
      <c r="A18" s="8" t="s">
        <v>67</v>
      </c>
      <c r="B18" s="44">
        <v>17.100000000000001</v>
      </c>
    </row>
    <row r="20" spans="1:2" x14ac:dyDescent="0.35">
      <c r="A20" t="s">
        <v>13</v>
      </c>
    </row>
    <row r="22" spans="1:2" x14ac:dyDescent="0.35">
      <c r="A22" s="10" t="s">
        <v>68</v>
      </c>
    </row>
    <row r="24" spans="1:2" x14ac:dyDescent="0.35">
      <c r="A24" s="10" t="s">
        <v>69</v>
      </c>
    </row>
    <row r="25" spans="1:2" x14ac:dyDescent="0.35">
      <c r="A25" s="8"/>
      <c r="B25" s="9"/>
    </row>
    <row r="26" spans="1:2" x14ac:dyDescent="0.35">
      <c r="A26" s="8"/>
      <c r="B26" s="9"/>
    </row>
    <row r="27" spans="1:2" x14ac:dyDescent="0.35">
      <c r="A27" s="8"/>
      <c r="B27" s="9"/>
    </row>
    <row r="28" spans="1:2" x14ac:dyDescent="0.35">
      <c r="A28" s="8"/>
      <c r="B28" s="9"/>
    </row>
    <row r="29" spans="1:2" x14ac:dyDescent="0.35">
      <c r="A29" s="8"/>
      <c r="B29" s="9"/>
    </row>
    <row r="30" spans="1:2" x14ac:dyDescent="0.35">
      <c r="A30" s="8"/>
      <c r="B30" s="9"/>
    </row>
    <row r="31" spans="1:2" x14ac:dyDescent="0.35">
      <c r="A31" s="8"/>
      <c r="B31" s="9"/>
    </row>
    <row r="32" spans="1:2" x14ac:dyDescent="0.35">
      <c r="A32" s="8"/>
      <c r="B32" s="9"/>
    </row>
    <row r="33" spans="1:2" x14ac:dyDescent="0.35">
      <c r="A33" s="8"/>
      <c r="B33" s="9"/>
    </row>
    <row r="37" spans="1:2" x14ac:dyDescent="0.35">
      <c r="A37" s="10"/>
    </row>
    <row r="39" spans="1:2" x14ac:dyDescent="0.35">
      <c r="A3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Spiral</vt:lpstr>
      <vt:lpstr>Spread</vt:lpstr>
      <vt:lpstr>Volumes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2023-05-09T15:32:21Z</dcterms:created>
  <dcterms:modified xsi:type="dcterms:W3CDTF">2024-01-23T19:18:32Z</dcterms:modified>
</cp:coreProperties>
</file>