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stevens_caroline_epa_gov/Documents/MyResearch/ChemFateTrans/EFS/ProcessScience/Hydrolysis_QSAR/PFAS/"/>
    </mc:Choice>
  </mc:AlternateContent>
  <xr:revisionPtr revIDLastSave="0" documentId="8_{105E6ECF-24C1-471A-B1A3-45E32902E185}" xr6:coauthVersionLast="47" xr6:coauthVersionMax="47" xr10:uidLastSave="{00000000-0000-0000-0000-000000000000}"/>
  <bookViews>
    <workbookView xWindow="-108" yWindow="-108" windowWidth="23256" windowHeight="12456" xr2:uid="{3269A405-A086-4D97-AD85-24B0E9F94C3B}"/>
  </bookViews>
  <sheets>
    <sheet name="Key" sheetId="8" r:id="rId1"/>
    <sheet name="TableS13" sheetId="1" r:id="rId2"/>
    <sheet name="TableS14" sheetId="2" r:id="rId3"/>
    <sheet name="TableS15" sheetId="3" r:id="rId4"/>
    <sheet name="TableS16" sheetId="4" r:id="rId5"/>
    <sheet name="TableS17" sheetId="5" r:id="rId6"/>
    <sheet name="TableS18" sheetId="6" r:id="rId7"/>
    <sheet name="TableS19" sheetId="7" r:id="rId8"/>
    <sheet name="TableS22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9" l="1"/>
  <c r="D8" i="9"/>
  <c r="D7" i="9"/>
  <c r="D6" i="9"/>
  <c r="D5" i="9"/>
  <c r="D4" i="9"/>
  <c r="D3" i="9"/>
  <c r="C9" i="9"/>
  <c r="C8" i="9"/>
  <c r="C7" i="9"/>
  <c r="C6" i="9"/>
  <c r="C5" i="9"/>
  <c r="C4" i="9"/>
  <c r="C3" i="9"/>
  <c r="B9" i="9"/>
  <c r="B8" i="9"/>
  <c r="B7" i="9"/>
  <c r="B6" i="9"/>
  <c r="B5" i="9"/>
  <c r="B4" i="9"/>
  <c r="B3" i="9"/>
  <c r="H36" i="2" l="1"/>
  <c r="G25" i="4"/>
  <c r="H25" i="4" s="1"/>
  <c r="J25" i="4"/>
  <c r="K25" i="4" s="1"/>
  <c r="M25" i="4"/>
  <c r="N25" i="4" s="1"/>
  <c r="P25" i="4"/>
  <c r="Q25" i="4" s="1"/>
  <c r="S25" i="4"/>
  <c r="T25" i="4" s="1"/>
  <c r="G39" i="4"/>
  <c r="H39" i="4" s="1"/>
  <c r="J39" i="4"/>
  <c r="K39" i="4" s="1"/>
  <c r="M39" i="4"/>
  <c r="N39" i="4" s="1"/>
  <c r="P39" i="4"/>
  <c r="Q39" i="4" s="1"/>
  <c r="S39" i="4"/>
  <c r="T39" i="4" s="1"/>
  <c r="H30" i="3"/>
  <c r="I30" i="3" s="1"/>
  <c r="K30" i="3"/>
  <c r="L30" i="3" s="1"/>
  <c r="N30" i="3"/>
  <c r="O30" i="3" s="1"/>
  <c r="Q30" i="3"/>
  <c r="R30" i="3" s="1"/>
  <c r="T30" i="3"/>
  <c r="U30" i="3" s="1"/>
  <c r="G75" i="1"/>
  <c r="O75" i="1" s="1"/>
  <c r="U14" i="1"/>
  <c r="V14" i="1" s="1"/>
  <c r="R14" i="1"/>
  <c r="S14" i="1" s="1"/>
  <c r="O14" i="1"/>
  <c r="P14" i="1" s="1"/>
  <c r="L14" i="1"/>
  <c r="M14" i="1" s="1"/>
  <c r="I14" i="1"/>
  <c r="J14" i="1" s="1"/>
  <c r="U45" i="1"/>
  <c r="V45" i="1" s="1"/>
  <c r="R45" i="1"/>
  <c r="S45" i="1" s="1"/>
  <c r="O45" i="1"/>
  <c r="P45" i="1" s="1"/>
  <c r="L45" i="1"/>
  <c r="M45" i="1" s="1"/>
  <c r="I45" i="1"/>
  <c r="J45" i="1" s="1"/>
  <c r="U43" i="1"/>
  <c r="V43" i="1" s="1"/>
  <c r="R43" i="1"/>
  <c r="S43" i="1" s="1"/>
  <c r="O43" i="1"/>
  <c r="P43" i="1" s="1"/>
  <c r="L43" i="1"/>
  <c r="M43" i="1" s="1"/>
  <c r="I43" i="1"/>
  <c r="J43" i="1" s="1"/>
  <c r="U36" i="1"/>
  <c r="V36" i="1" s="1"/>
  <c r="R36" i="1"/>
  <c r="S36" i="1" s="1"/>
  <c r="O36" i="1"/>
  <c r="P36" i="1" s="1"/>
  <c r="L36" i="1"/>
  <c r="M36" i="1" s="1"/>
  <c r="I36" i="1"/>
  <c r="J36" i="1" s="1"/>
  <c r="U34" i="1"/>
  <c r="V34" i="1" s="1"/>
  <c r="R34" i="1"/>
  <c r="S34" i="1" s="1"/>
  <c r="O34" i="1"/>
  <c r="P34" i="1" s="1"/>
  <c r="L34" i="1"/>
  <c r="M34" i="1" s="1"/>
  <c r="I34" i="1"/>
  <c r="J34" i="1" s="1"/>
  <c r="U30" i="1"/>
  <c r="V30" i="1" s="1"/>
  <c r="R30" i="1"/>
  <c r="S30" i="1" s="1"/>
  <c r="O30" i="1"/>
  <c r="P30" i="1" s="1"/>
  <c r="L30" i="1"/>
  <c r="M30" i="1" s="1"/>
  <c r="I30" i="1"/>
  <c r="J30" i="1" s="1"/>
  <c r="U28" i="1"/>
  <c r="V28" i="1" s="1"/>
  <c r="R28" i="1"/>
  <c r="S28" i="1" s="1"/>
  <c r="O28" i="1"/>
  <c r="P28" i="1" s="1"/>
  <c r="L28" i="1"/>
  <c r="M28" i="1" s="1"/>
  <c r="I28" i="1"/>
  <c r="J28" i="1" s="1"/>
  <c r="U23" i="1"/>
  <c r="V23" i="1" s="1"/>
  <c r="R23" i="1"/>
  <c r="S23" i="1" s="1"/>
  <c r="O23" i="1"/>
  <c r="P23" i="1" s="1"/>
  <c r="L23" i="1"/>
  <c r="M23" i="1" s="1"/>
  <c r="I23" i="1"/>
  <c r="J23" i="1" s="1"/>
  <c r="U21" i="1"/>
  <c r="V21" i="1" s="1"/>
  <c r="R21" i="1"/>
  <c r="S21" i="1" s="1"/>
  <c r="O21" i="1"/>
  <c r="P21" i="1" s="1"/>
  <c r="L21" i="1"/>
  <c r="M21" i="1" s="1"/>
  <c r="I21" i="1"/>
  <c r="J21" i="1" s="1"/>
  <c r="U12" i="1"/>
  <c r="V12" i="1" s="1"/>
  <c r="R12" i="1"/>
  <c r="S12" i="1" s="1"/>
  <c r="O12" i="1"/>
  <c r="P12" i="1" s="1"/>
  <c r="L12" i="1"/>
  <c r="M12" i="1" s="1"/>
  <c r="I12" i="1"/>
  <c r="J12" i="1" s="1"/>
  <c r="U10" i="1"/>
  <c r="V10" i="1" s="1"/>
  <c r="R10" i="1"/>
  <c r="S10" i="1" s="1"/>
  <c r="O10" i="1"/>
  <c r="P10" i="1" s="1"/>
  <c r="L10" i="1"/>
  <c r="M10" i="1" s="1"/>
  <c r="I10" i="1"/>
  <c r="J10" i="1" s="1"/>
  <c r="U8" i="1"/>
  <c r="V8" i="1" s="1"/>
  <c r="R8" i="1"/>
  <c r="S8" i="1" s="1"/>
  <c r="O8" i="1"/>
  <c r="P8" i="1" s="1"/>
  <c r="L8" i="1"/>
  <c r="M8" i="1" s="1"/>
  <c r="I8" i="1"/>
  <c r="J8" i="1" s="1"/>
  <c r="I3" i="1"/>
  <c r="L3" i="1"/>
  <c r="O3" i="1"/>
  <c r="R3" i="1"/>
  <c r="U3" i="1"/>
  <c r="I8" i="7"/>
  <c r="I7" i="7"/>
  <c r="I6" i="7"/>
  <c r="I5" i="7"/>
  <c r="I4" i="7"/>
  <c r="F9" i="6"/>
  <c r="F8" i="6"/>
  <c r="F6" i="6"/>
  <c r="F5" i="6"/>
  <c r="F4" i="6"/>
  <c r="S40" i="4"/>
  <c r="T40" i="4" s="1"/>
  <c r="P40" i="4"/>
  <c r="Q40" i="4" s="1"/>
  <c r="M40" i="4"/>
  <c r="N40" i="4" s="1"/>
  <c r="J40" i="4"/>
  <c r="K40" i="4" s="1"/>
  <c r="G40" i="4"/>
  <c r="H40" i="4" s="1"/>
  <c r="S38" i="4"/>
  <c r="T38" i="4" s="1"/>
  <c r="P38" i="4"/>
  <c r="Q38" i="4" s="1"/>
  <c r="M38" i="4"/>
  <c r="N38" i="4" s="1"/>
  <c r="J38" i="4"/>
  <c r="K38" i="4" s="1"/>
  <c r="G38" i="4"/>
  <c r="H38" i="4" s="1"/>
  <c r="S37" i="4"/>
  <c r="T37" i="4" s="1"/>
  <c r="P37" i="4"/>
  <c r="Q37" i="4" s="1"/>
  <c r="M37" i="4"/>
  <c r="N37" i="4" s="1"/>
  <c r="J37" i="4"/>
  <c r="K37" i="4" s="1"/>
  <c r="G37" i="4"/>
  <c r="H37" i="4" s="1"/>
  <c r="S36" i="4"/>
  <c r="T36" i="4" s="1"/>
  <c r="P36" i="4"/>
  <c r="Q36" i="4" s="1"/>
  <c r="M36" i="4"/>
  <c r="N36" i="4" s="1"/>
  <c r="J36" i="4"/>
  <c r="K36" i="4" s="1"/>
  <c r="G36" i="4"/>
  <c r="H36" i="4" s="1"/>
  <c r="S35" i="4"/>
  <c r="T35" i="4" s="1"/>
  <c r="P35" i="4"/>
  <c r="Q35" i="4" s="1"/>
  <c r="M35" i="4"/>
  <c r="N35" i="4" s="1"/>
  <c r="J35" i="4"/>
  <c r="K35" i="4" s="1"/>
  <c r="G35" i="4"/>
  <c r="H35" i="4" s="1"/>
  <c r="S34" i="4"/>
  <c r="T34" i="4" s="1"/>
  <c r="P34" i="4"/>
  <c r="Q34" i="4" s="1"/>
  <c r="M34" i="4"/>
  <c r="N34" i="4" s="1"/>
  <c r="J34" i="4"/>
  <c r="K34" i="4" s="1"/>
  <c r="G34" i="4"/>
  <c r="H34" i="4" s="1"/>
  <c r="S33" i="4"/>
  <c r="T33" i="4" s="1"/>
  <c r="P33" i="4"/>
  <c r="Q33" i="4" s="1"/>
  <c r="M33" i="4"/>
  <c r="N33" i="4" s="1"/>
  <c r="J33" i="4"/>
  <c r="K33" i="4" s="1"/>
  <c r="G33" i="4"/>
  <c r="H33" i="4" s="1"/>
  <c r="S32" i="4"/>
  <c r="T32" i="4" s="1"/>
  <c r="P32" i="4"/>
  <c r="Q32" i="4" s="1"/>
  <c r="M32" i="4"/>
  <c r="N32" i="4" s="1"/>
  <c r="J32" i="4"/>
  <c r="K32" i="4" s="1"/>
  <c r="G32" i="4"/>
  <c r="H32" i="4" s="1"/>
  <c r="S31" i="4"/>
  <c r="T31" i="4" s="1"/>
  <c r="P31" i="4"/>
  <c r="Q31" i="4" s="1"/>
  <c r="M31" i="4"/>
  <c r="N31" i="4" s="1"/>
  <c r="J31" i="4"/>
  <c r="K31" i="4" s="1"/>
  <c r="G31" i="4"/>
  <c r="H31" i="4" s="1"/>
  <c r="S30" i="4"/>
  <c r="T30" i="4" s="1"/>
  <c r="P30" i="4"/>
  <c r="Q30" i="4" s="1"/>
  <c r="M30" i="4"/>
  <c r="N30" i="4" s="1"/>
  <c r="J30" i="4"/>
  <c r="K30" i="4" s="1"/>
  <c r="G30" i="4"/>
  <c r="H30" i="4" s="1"/>
  <c r="S29" i="4"/>
  <c r="T29" i="4" s="1"/>
  <c r="P29" i="4"/>
  <c r="Q29" i="4" s="1"/>
  <c r="M29" i="4"/>
  <c r="N29" i="4" s="1"/>
  <c r="J29" i="4"/>
  <c r="K29" i="4" s="1"/>
  <c r="G29" i="4"/>
  <c r="H29" i="4" s="1"/>
  <c r="S28" i="4"/>
  <c r="T28" i="4" s="1"/>
  <c r="P28" i="4"/>
  <c r="Q28" i="4" s="1"/>
  <c r="M28" i="4"/>
  <c r="N28" i="4" s="1"/>
  <c r="J28" i="4"/>
  <c r="K28" i="4" s="1"/>
  <c r="G28" i="4"/>
  <c r="H28" i="4" s="1"/>
  <c r="S27" i="4"/>
  <c r="T27" i="4" s="1"/>
  <c r="P27" i="4"/>
  <c r="Q27" i="4" s="1"/>
  <c r="M27" i="4"/>
  <c r="N27" i="4" s="1"/>
  <c r="J27" i="4"/>
  <c r="K27" i="4" s="1"/>
  <c r="G27" i="4"/>
  <c r="H27" i="4" s="1"/>
  <c r="S26" i="4"/>
  <c r="T26" i="4" s="1"/>
  <c r="P26" i="4"/>
  <c r="Q26" i="4" s="1"/>
  <c r="M26" i="4"/>
  <c r="N26" i="4" s="1"/>
  <c r="J26" i="4"/>
  <c r="K26" i="4" s="1"/>
  <c r="G26" i="4"/>
  <c r="H26" i="4" s="1"/>
  <c r="S24" i="4"/>
  <c r="T24" i="4" s="1"/>
  <c r="P24" i="4"/>
  <c r="Q24" i="4" s="1"/>
  <c r="M24" i="4"/>
  <c r="N24" i="4" s="1"/>
  <c r="J24" i="4"/>
  <c r="K24" i="4" s="1"/>
  <c r="G24" i="4"/>
  <c r="H24" i="4" s="1"/>
  <c r="S23" i="4"/>
  <c r="T23" i="4" s="1"/>
  <c r="P23" i="4"/>
  <c r="Q23" i="4" s="1"/>
  <c r="M23" i="4"/>
  <c r="N23" i="4" s="1"/>
  <c r="J23" i="4"/>
  <c r="K23" i="4" s="1"/>
  <c r="G23" i="4"/>
  <c r="H23" i="4" s="1"/>
  <c r="S22" i="4"/>
  <c r="T22" i="4" s="1"/>
  <c r="P22" i="4"/>
  <c r="Q22" i="4" s="1"/>
  <c r="M22" i="4"/>
  <c r="N22" i="4" s="1"/>
  <c r="J22" i="4"/>
  <c r="K22" i="4" s="1"/>
  <c r="G22" i="4"/>
  <c r="H22" i="4" s="1"/>
  <c r="S21" i="4"/>
  <c r="T21" i="4" s="1"/>
  <c r="P21" i="4"/>
  <c r="Q21" i="4" s="1"/>
  <c r="M21" i="4"/>
  <c r="N21" i="4" s="1"/>
  <c r="J21" i="4"/>
  <c r="K21" i="4" s="1"/>
  <c r="G21" i="4"/>
  <c r="H21" i="4" s="1"/>
  <c r="S20" i="4"/>
  <c r="T20" i="4" s="1"/>
  <c r="P20" i="4"/>
  <c r="Q20" i="4" s="1"/>
  <c r="M20" i="4"/>
  <c r="N20" i="4" s="1"/>
  <c r="J20" i="4"/>
  <c r="K20" i="4" s="1"/>
  <c r="G20" i="4"/>
  <c r="H20" i="4" s="1"/>
  <c r="S19" i="4"/>
  <c r="T19" i="4" s="1"/>
  <c r="P19" i="4"/>
  <c r="Q19" i="4" s="1"/>
  <c r="M19" i="4"/>
  <c r="N19" i="4" s="1"/>
  <c r="J19" i="4"/>
  <c r="K19" i="4" s="1"/>
  <c r="G19" i="4"/>
  <c r="H19" i="4" s="1"/>
  <c r="S18" i="4"/>
  <c r="T18" i="4" s="1"/>
  <c r="P18" i="4"/>
  <c r="Q18" i="4" s="1"/>
  <c r="M18" i="4"/>
  <c r="N18" i="4" s="1"/>
  <c r="J18" i="4"/>
  <c r="K18" i="4" s="1"/>
  <c r="G18" i="4"/>
  <c r="H18" i="4" s="1"/>
  <c r="S17" i="4"/>
  <c r="T17" i="4" s="1"/>
  <c r="P17" i="4"/>
  <c r="Q17" i="4" s="1"/>
  <c r="M17" i="4"/>
  <c r="N17" i="4" s="1"/>
  <c r="J17" i="4"/>
  <c r="K17" i="4" s="1"/>
  <c r="G17" i="4"/>
  <c r="H17" i="4" s="1"/>
  <c r="S16" i="4"/>
  <c r="T16" i="4" s="1"/>
  <c r="P16" i="4"/>
  <c r="Q16" i="4" s="1"/>
  <c r="M16" i="4"/>
  <c r="N16" i="4" s="1"/>
  <c r="J16" i="4"/>
  <c r="K16" i="4" s="1"/>
  <c r="G16" i="4"/>
  <c r="H16" i="4" s="1"/>
  <c r="S15" i="4"/>
  <c r="T15" i="4" s="1"/>
  <c r="P15" i="4"/>
  <c r="Q15" i="4" s="1"/>
  <c r="M15" i="4"/>
  <c r="N15" i="4" s="1"/>
  <c r="J15" i="4"/>
  <c r="K15" i="4" s="1"/>
  <c r="G15" i="4"/>
  <c r="H15" i="4" s="1"/>
  <c r="S14" i="4"/>
  <c r="T14" i="4" s="1"/>
  <c r="P14" i="4"/>
  <c r="Q14" i="4" s="1"/>
  <c r="M14" i="4"/>
  <c r="N14" i="4" s="1"/>
  <c r="J14" i="4"/>
  <c r="K14" i="4" s="1"/>
  <c r="G14" i="4"/>
  <c r="H14" i="4" s="1"/>
  <c r="S13" i="4"/>
  <c r="T13" i="4" s="1"/>
  <c r="P13" i="4"/>
  <c r="Q13" i="4" s="1"/>
  <c r="M13" i="4"/>
  <c r="N13" i="4" s="1"/>
  <c r="J13" i="4"/>
  <c r="K13" i="4" s="1"/>
  <c r="G13" i="4"/>
  <c r="H13" i="4" s="1"/>
  <c r="S12" i="4"/>
  <c r="T12" i="4" s="1"/>
  <c r="P12" i="4"/>
  <c r="Q12" i="4" s="1"/>
  <c r="M12" i="4"/>
  <c r="N12" i="4" s="1"/>
  <c r="J12" i="4"/>
  <c r="K12" i="4" s="1"/>
  <c r="G12" i="4"/>
  <c r="H12" i="4" s="1"/>
  <c r="S11" i="4"/>
  <c r="T11" i="4" s="1"/>
  <c r="P11" i="4"/>
  <c r="Q11" i="4" s="1"/>
  <c r="M11" i="4"/>
  <c r="N11" i="4" s="1"/>
  <c r="J11" i="4"/>
  <c r="K11" i="4" s="1"/>
  <c r="G11" i="4"/>
  <c r="H11" i="4" s="1"/>
  <c r="S10" i="4"/>
  <c r="T10" i="4" s="1"/>
  <c r="P10" i="4"/>
  <c r="Q10" i="4" s="1"/>
  <c r="M10" i="4"/>
  <c r="N10" i="4" s="1"/>
  <c r="J10" i="4"/>
  <c r="K10" i="4" s="1"/>
  <c r="G10" i="4"/>
  <c r="H10" i="4" s="1"/>
  <c r="S9" i="4"/>
  <c r="T9" i="4" s="1"/>
  <c r="P9" i="4"/>
  <c r="Q9" i="4" s="1"/>
  <c r="M9" i="4"/>
  <c r="N9" i="4" s="1"/>
  <c r="J9" i="4"/>
  <c r="K9" i="4" s="1"/>
  <c r="G9" i="4"/>
  <c r="H9" i="4" s="1"/>
  <c r="S8" i="4"/>
  <c r="T8" i="4" s="1"/>
  <c r="P8" i="4"/>
  <c r="Q8" i="4" s="1"/>
  <c r="M8" i="4"/>
  <c r="N8" i="4" s="1"/>
  <c r="J8" i="4"/>
  <c r="K8" i="4" s="1"/>
  <c r="G8" i="4"/>
  <c r="H8" i="4" s="1"/>
  <c r="S7" i="4"/>
  <c r="T7" i="4" s="1"/>
  <c r="P7" i="4"/>
  <c r="Q7" i="4" s="1"/>
  <c r="M7" i="4"/>
  <c r="N7" i="4" s="1"/>
  <c r="J7" i="4"/>
  <c r="K7" i="4" s="1"/>
  <c r="G7" i="4"/>
  <c r="H7" i="4" s="1"/>
  <c r="S6" i="4"/>
  <c r="T6" i="4" s="1"/>
  <c r="P6" i="4"/>
  <c r="Q6" i="4" s="1"/>
  <c r="M6" i="4"/>
  <c r="N6" i="4" s="1"/>
  <c r="J6" i="4"/>
  <c r="K6" i="4" s="1"/>
  <c r="G6" i="4"/>
  <c r="H6" i="4" s="1"/>
  <c r="S5" i="4"/>
  <c r="T5" i="4" s="1"/>
  <c r="P5" i="4"/>
  <c r="Q5" i="4" s="1"/>
  <c r="M5" i="4"/>
  <c r="N5" i="4" s="1"/>
  <c r="J5" i="4"/>
  <c r="K5" i="4" s="1"/>
  <c r="G5" i="4"/>
  <c r="H5" i="4" s="1"/>
  <c r="S4" i="4"/>
  <c r="T4" i="4" s="1"/>
  <c r="P4" i="4"/>
  <c r="Q4" i="4" s="1"/>
  <c r="M4" i="4"/>
  <c r="N4" i="4" s="1"/>
  <c r="J4" i="4"/>
  <c r="K4" i="4" s="1"/>
  <c r="G4" i="4"/>
  <c r="H4" i="4" s="1"/>
  <c r="S3" i="4"/>
  <c r="T3" i="4" s="1"/>
  <c r="P3" i="4"/>
  <c r="Q3" i="4" s="1"/>
  <c r="M3" i="4"/>
  <c r="N3" i="4" s="1"/>
  <c r="J3" i="4"/>
  <c r="K3" i="4" s="1"/>
  <c r="G3" i="4"/>
  <c r="H3" i="4" s="1"/>
  <c r="S2" i="4"/>
  <c r="P2" i="4"/>
  <c r="Q2" i="4" s="1"/>
  <c r="M2" i="4"/>
  <c r="J2" i="4"/>
  <c r="K2" i="4" s="1"/>
  <c r="G2" i="4"/>
  <c r="G7" i="5"/>
  <c r="T45" i="3"/>
  <c r="U45" i="3" s="1"/>
  <c r="Q45" i="3"/>
  <c r="R45" i="3" s="1"/>
  <c r="N45" i="3"/>
  <c r="O45" i="3" s="1"/>
  <c r="K45" i="3"/>
  <c r="L45" i="3" s="1"/>
  <c r="H45" i="3"/>
  <c r="I45" i="3" s="1"/>
  <c r="T44" i="3"/>
  <c r="U44" i="3" s="1"/>
  <c r="Q44" i="3"/>
  <c r="R44" i="3" s="1"/>
  <c r="N44" i="3"/>
  <c r="O44" i="3" s="1"/>
  <c r="K44" i="3"/>
  <c r="L44" i="3" s="1"/>
  <c r="H44" i="3"/>
  <c r="I44" i="3" s="1"/>
  <c r="T43" i="3"/>
  <c r="U43" i="3" s="1"/>
  <c r="Q43" i="3"/>
  <c r="R43" i="3" s="1"/>
  <c r="N43" i="3"/>
  <c r="O43" i="3" s="1"/>
  <c r="K43" i="3"/>
  <c r="L43" i="3" s="1"/>
  <c r="H43" i="3"/>
  <c r="I43" i="3" s="1"/>
  <c r="T42" i="3"/>
  <c r="U42" i="3" s="1"/>
  <c r="Q42" i="3"/>
  <c r="R42" i="3" s="1"/>
  <c r="N42" i="3"/>
  <c r="O42" i="3" s="1"/>
  <c r="K42" i="3"/>
  <c r="L42" i="3" s="1"/>
  <c r="H42" i="3"/>
  <c r="I42" i="3" s="1"/>
  <c r="T41" i="3"/>
  <c r="U41" i="3" s="1"/>
  <c r="Q41" i="3"/>
  <c r="R41" i="3" s="1"/>
  <c r="N41" i="3"/>
  <c r="O41" i="3" s="1"/>
  <c r="K41" i="3"/>
  <c r="L41" i="3" s="1"/>
  <c r="H41" i="3"/>
  <c r="I41" i="3" s="1"/>
  <c r="T40" i="3"/>
  <c r="U40" i="3" s="1"/>
  <c r="Q40" i="3"/>
  <c r="R40" i="3" s="1"/>
  <c r="N40" i="3"/>
  <c r="O40" i="3" s="1"/>
  <c r="K40" i="3"/>
  <c r="L40" i="3" s="1"/>
  <c r="H40" i="3"/>
  <c r="I40" i="3" s="1"/>
  <c r="T39" i="3"/>
  <c r="U39" i="3" s="1"/>
  <c r="Q39" i="3"/>
  <c r="R39" i="3" s="1"/>
  <c r="N39" i="3"/>
  <c r="O39" i="3" s="1"/>
  <c r="K39" i="3"/>
  <c r="L39" i="3" s="1"/>
  <c r="H39" i="3"/>
  <c r="I39" i="3" s="1"/>
  <c r="T38" i="3"/>
  <c r="U38" i="3" s="1"/>
  <c r="Q38" i="3"/>
  <c r="R38" i="3" s="1"/>
  <c r="N38" i="3"/>
  <c r="O38" i="3" s="1"/>
  <c r="K38" i="3"/>
  <c r="L38" i="3" s="1"/>
  <c r="H38" i="3"/>
  <c r="I38" i="3" s="1"/>
  <c r="T37" i="3"/>
  <c r="U37" i="3" s="1"/>
  <c r="Q37" i="3"/>
  <c r="R37" i="3" s="1"/>
  <c r="N37" i="3"/>
  <c r="O37" i="3" s="1"/>
  <c r="K37" i="3"/>
  <c r="L37" i="3" s="1"/>
  <c r="H37" i="3"/>
  <c r="I37" i="3" s="1"/>
  <c r="T36" i="3"/>
  <c r="U36" i="3" s="1"/>
  <c r="Q36" i="3"/>
  <c r="R36" i="3" s="1"/>
  <c r="N36" i="3"/>
  <c r="O36" i="3" s="1"/>
  <c r="K36" i="3"/>
  <c r="L36" i="3" s="1"/>
  <c r="H36" i="3"/>
  <c r="I36" i="3" s="1"/>
  <c r="T35" i="3"/>
  <c r="U35" i="3" s="1"/>
  <c r="Q35" i="3"/>
  <c r="R35" i="3" s="1"/>
  <c r="N35" i="3"/>
  <c r="O35" i="3" s="1"/>
  <c r="K35" i="3"/>
  <c r="L35" i="3" s="1"/>
  <c r="H35" i="3"/>
  <c r="I35" i="3" s="1"/>
  <c r="T34" i="3"/>
  <c r="U34" i="3" s="1"/>
  <c r="Q34" i="3"/>
  <c r="R34" i="3" s="1"/>
  <c r="N34" i="3"/>
  <c r="O34" i="3" s="1"/>
  <c r="K34" i="3"/>
  <c r="L34" i="3" s="1"/>
  <c r="H34" i="3"/>
  <c r="I34" i="3" s="1"/>
  <c r="T33" i="3"/>
  <c r="U33" i="3" s="1"/>
  <c r="Q33" i="3"/>
  <c r="R33" i="3" s="1"/>
  <c r="N33" i="3"/>
  <c r="O33" i="3" s="1"/>
  <c r="K33" i="3"/>
  <c r="L33" i="3" s="1"/>
  <c r="H33" i="3"/>
  <c r="I33" i="3" s="1"/>
  <c r="T32" i="3"/>
  <c r="U32" i="3" s="1"/>
  <c r="Q32" i="3"/>
  <c r="R32" i="3" s="1"/>
  <c r="N32" i="3"/>
  <c r="O32" i="3" s="1"/>
  <c r="K32" i="3"/>
  <c r="L32" i="3" s="1"/>
  <c r="H32" i="3"/>
  <c r="I32" i="3" s="1"/>
  <c r="T31" i="3"/>
  <c r="U31" i="3" s="1"/>
  <c r="Q31" i="3"/>
  <c r="R31" i="3" s="1"/>
  <c r="N31" i="3"/>
  <c r="O31" i="3" s="1"/>
  <c r="K31" i="3"/>
  <c r="L31" i="3" s="1"/>
  <c r="H31" i="3"/>
  <c r="I31" i="3" s="1"/>
  <c r="T29" i="3"/>
  <c r="U29" i="3" s="1"/>
  <c r="Q29" i="3"/>
  <c r="R29" i="3" s="1"/>
  <c r="N29" i="3"/>
  <c r="O29" i="3" s="1"/>
  <c r="K29" i="3"/>
  <c r="L29" i="3" s="1"/>
  <c r="H29" i="3"/>
  <c r="I29" i="3" s="1"/>
  <c r="T28" i="3"/>
  <c r="U28" i="3" s="1"/>
  <c r="Q28" i="3"/>
  <c r="R28" i="3" s="1"/>
  <c r="N28" i="3"/>
  <c r="O28" i="3" s="1"/>
  <c r="K28" i="3"/>
  <c r="L28" i="3" s="1"/>
  <c r="H28" i="3"/>
  <c r="I28" i="3" s="1"/>
  <c r="T27" i="3"/>
  <c r="U27" i="3" s="1"/>
  <c r="Q27" i="3"/>
  <c r="R27" i="3" s="1"/>
  <c r="N27" i="3"/>
  <c r="O27" i="3" s="1"/>
  <c r="K27" i="3"/>
  <c r="L27" i="3" s="1"/>
  <c r="H27" i="3"/>
  <c r="I27" i="3" s="1"/>
  <c r="T26" i="3"/>
  <c r="U26" i="3" s="1"/>
  <c r="Q26" i="3"/>
  <c r="R26" i="3" s="1"/>
  <c r="N26" i="3"/>
  <c r="O26" i="3" s="1"/>
  <c r="K26" i="3"/>
  <c r="L26" i="3" s="1"/>
  <c r="H26" i="3"/>
  <c r="I26" i="3" s="1"/>
  <c r="T25" i="3"/>
  <c r="U25" i="3" s="1"/>
  <c r="Q25" i="3"/>
  <c r="R25" i="3" s="1"/>
  <c r="N25" i="3"/>
  <c r="O25" i="3" s="1"/>
  <c r="K25" i="3"/>
  <c r="L25" i="3" s="1"/>
  <c r="H25" i="3"/>
  <c r="I25" i="3" s="1"/>
  <c r="T24" i="3"/>
  <c r="U24" i="3" s="1"/>
  <c r="Q24" i="3"/>
  <c r="R24" i="3" s="1"/>
  <c r="N24" i="3"/>
  <c r="O24" i="3" s="1"/>
  <c r="K24" i="3"/>
  <c r="L24" i="3" s="1"/>
  <c r="H24" i="3"/>
  <c r="I24" i="3" s="1"/>
  <c r="T23" i="3"/>
  <c r="U23" i="3" s="1"/>
  <c r="Q23" i="3"/>
  <c r="R23" i="3" s="1"/>
  <c r="N23" i="3"/>
  <c r="O23" i="3" s="1"/>
  <c r="K23" i="3"/>
  <c r="L23" i="3" s="1"/>
  <c r="H23" i="3"/>
  <c r="I23" i="3" s="1"/>
  <c r="T22" i="3"/>
  <c r="U22" i="3" s="1"/>
  <c r="Q22" i="3"/>
  <c r="R22" i="3" s="1"/>
  <c r="N22" i="3"/>
  <c r="O22" i="3" s="1"/>
  <c r="K22" i="3"/>
  <c r="L22" i="3" s="1"/>
  <c r="H22" i="3"/>
  <c r="I22" i="3" s="1"/>
  <c r="T21" i="3"/>
  <c r="U21" i="3" s="1"/>
  <c r="Q21" i="3"/>
  <c r="R21" i="3" s="1"/>
  <c r="N21" i="3"/>
  <c r="O21" i="3" s="1"/>
  <c r="K21" i="3"/>
  <c r="L21" i="3" s="1"/>
  <c r="H21" i="3"/>
  <c r="I21" i="3" s="1"/>
  <c r="T20" i="3"/>
  <c r="U20" i="3" s="1"/>
  <c r="Q20" i="3"/>
  <c r="R20" i="3" s="1"/>
  <c r="N20" i="3"/>
  <c r="O20" i="3" s="1"/>
  <c r="K20" i="3"/>
  <c r="L20" i="3" s="1"/>
  <c r="H20" i="3"/>
  <c r="I20" i="3" s="1"/>
  <c r="T19" i="3"/>
  <c r="U19" i="3" s="1"/>
  <c r="Q19" i="3"/>
  <c r="R19" i="3" s="1"/>
  <c r="N19" i="3"/>
  <c r="O19" i="3" s="1"/>
  <c r="K19" i="3"/>
  <c r="L19" i="3" s="1"/>
  <c r="H19" i="3"/>
  <c r="I19" i="3" s="1"/>
  <c r="T18" i="3"/>
  <c r="U18" i="3" s="1"/>
  <c r="Q18" i="3"/>
  <c r="R18" i="3" s="1"/>
  <c r="N18" i="3"/>
  <c r="O18" i="3" s="1"/>
  <c r="K18" i="3"/>
  <c r="L18" i="3" s="1"/>
  <c r="H18" i="3"/>
  <c r="I18" i="3" s="1"/>
  <c r="T17" i="3"/>
  <c r="U17" i="3" s="1"/>
  <c r="Q17" i="3"/>
  <c r="R17" i="3" s="1"/>
  <c r="N17" i="3"/>
  <c r="O17" i="3" s="1"/>
  <c r="K17" i="3"/>
  <c r="L17" i="3" s="1"/>
  <c r="H17" i="3"/>
  <c r="I17" i="3" s="1"/>
  <c r="T16" i="3"/>
  <c r="U16" i="3" s="1"/>
  <c r="Q16" i="3"/>
  <c r="R16" i="3" s="1"/>
  <c r="N16" i="3"/>
  <c r="O16" i="3" s="1"/>
  <c r="K16" i="3"/>
  <c r="L16" i="3" s="1"/>
  <c r="H16" i="3"/>
  <c r="I16" i="3" s="1"/>
  <c r="T15" i="3"/>
  <c r="U15" i="3" s="1"/>
  <c r="Q15" i="3"/>
  <c r="R15" i="3" s="1"/>
  <c r="N15" i="3"/>
  <c r="O15" i="3" s="1"/>
  <c r="K15" i="3"/>
  <c r="L15" i="3" s="1"/>
  <c r="H15" i="3"/>
  <c r="I15" i="3" s="1"/>
  <c r="T14" i="3"/>
  <c r="U14" i="3" s="1"/>
  <c r="Q14" i="3"/>
  <c r="R14" i="3" s="1"/>
  <c r="N14" i="3"/>
  <c r="O14" i="3" s="1"/>
  <c r="K14" i="3"/>
  <c r="L14" i="3" s="1"/>
  <c r="H14" i="3"/>
  <c r="I14" i="3" s="1"/>
  <c r="T13" i="3"/>
  <c r="U13" i="3" s="1"/>
  <c r="Q13" i="3"/>
  <c r="R13" i="3" s="1"/>
  <c r="N13" i="3"/>
  <c r="O13" i="3" s="1"/>
  <c r="K13" i="3"/>
  <c r="L13" i="3" s="1"/>
  <c r="H13" i="3"/>
  <c r="I13" i="3" s="1"/>
  <c r="T12" i="3"/>
  <c r="U12" i="3" s="1"/>
  <c r="Q12" i="3"/>
  <c r="R12" i="3" s="1"/>
  <c r="N12" i="3"/>
  <c r="O12" i="3" s="1"/>
  <c r="K12" i="3"/>
  <c r="L12" i="3" s="1"/>
  <c r="H12" i="3"/>
  <c r="I12" i="3" s="1"/>
  <c r="T11" i="3"/>
  <c r="U11" i="3" s="1"/>
  <c r="Q11" i="3"/>
  <c r="R11" i="3" s="1"/>
  <c r="N11" i="3"/>
  <c r="O11" i="3" s="1"/>
  <c r="K11" i="3"/>
  <c r="L11" i="3" s="1"/>
  <c r="H11" i="3"/>
  <c r="I11" i="3" s="1"/>
  <c r="T10" i="3"/>
  <c r="U10" i="3" s="1"/>
  <c r="Q10" i="3"/>
  <c r="R10" i="3" s="1"/>
  <c r="N10" i="3"/>
  <c r="O10" i="3" s="1"/>
  <c r="K10" i="3"/>
  <c r="L10" i="3" s="1"/>
  <c r="H10" i="3"/>
  <c r="I10" i="3" s="1"/>
  <c r="T9" i="3"/>
  <c r="U9" i="3" s="1"/>
  <c r="Q9" i="3"/>
  <c r="R9" i="3" s="1"/>
  <c r="N9" i="3"/>
  <c r="O9" i="3" s="1"/>
  <c r="K9" i="3"/>
  <c r="L9" i="3" s="1"/>
  <c r="H9" i="3"/>
  <c r="I9" i="3" s="1"/>
  <c r="T8" i="3"/>
  <c r="U8" i="3" s="1"/>
  <c r="Q8" i="3"/>
  <c r="R8" i="3" s="1"/>
  <c r="N8" i="3"/>
  <c r="O8" i="3" s="1"/>
  <c r="K8" i="3"/>
  <c r="L8" i="3" s="1"/>
  <c r="H8" i="3"/>
  <c r="I8" i="3" s="1"/>
  <c r="T7" i="3"/>
  <c r="U7" i="3" s="1"/>
  <c r="Q7" i="3"/>
  <c r="R7" i="3" s="1"/>
  <c r="N7" i="3"/>
  <c r="O7" i="3" s="1"/>
  <c r="K7" i="3"/>
  <c r="L7" i="3" s="1"/>
  <c r="H7" i="3"/>
  <c r="I7" i="3" s="1"/>
  <c r="F6" i="3"/>
  <c r="T6" i="3" s="1"/>
  <c r="T5" i="3"/>
  <c r="U5" i="3" s="1"/>
  <c r="Q5" i="3"/>
  <c r="R5" i="3" s="1"/>
  <c r="N5" i="3"/>
  <c r="O5" i="3" s="1"/>
  <c r="K5" i="3"/>
  <c r="L5" i="3" s="1"/>
  <c r="H5" i="3"/>
  <c r="I5" i="3" s="1"/>
  <c r="F4" i="3"/>
  <c r="T4" i="3" s="1"/>
  <c r="U4" i="3" s="1"/>
  <c r="T3" i="3"/>
  <c r="U3" i="3" s="1"/>
  <c r="Q3" i="3"/>
  <c r="R3" i="3" s="1"/>
  <c r="N3" i="3"/>
  <c r="O3" i="3" s="1"/>
  <c r="K3" i="3"/>
  <c r="L3" i="3" s="1"/>
  <c r="H3" i="3"/>
  <c r="F2" i="3"/>
  <c r="H2" i="3" s="1"/>
  <c r="I2" i="3" s="1"/>
  <c r="V30" i="2"/>
  <c r="W30" i="2" s="1"/>
  <c r="S30" i="2"/>
  <c r="T30" i="2" s="1"/>
  <c r="P30" i="2"/>
  <c r="Q30" i="2" s="1"/>
  <c r="M30" i="2"/>
  <c r="N30" i="2" s="1"/>
  <c r="J30" i="2"/>
  <c r="K30" i="2" s="1"/>
  <c r="V29" i="2"/>
  <c r="W29" i="2" s="1"/>
  <c r="S29" i="2"/>
  <c r="T29" i="2" s="1"/>
  <c r="P29" i="2"/>
  <c r="Q29" i="2" s="1"/>
  <c r="M29" i="2"/>
  <c r="J29" i="2"/>
  <c r="K29" i="2" s="1"/>
  <c r="V28" i="2"/>
  <c r="S28" i="2"/>
  <c r="P28" i="2"/>
  <c r="M28" i="2"/>
  <c r="N28" i="2" s="1"/>
  <c r="J28" i="2"/>
  <c r="V27" i="2"/>
  <c r="W27" i="2" s="1"/>
  <c r="S27" i="2"/>
  <c r="T27" i="2" s="1"/>
  <c r="P27" i="2"/>
  <c r="Q27" i="2" s="1"/>
  <c r="M27" i="2"/>
  <c r="N27" i="2" s="1"/>
  <c r="J27" i="2"/>
  <c r="K27" i="2" s="1"/>
  <c r="V26" i="2"/>
  <c r="W26" i="2" s="1"/>
  <c r="S26" i="2"/>
  <c r="T26" i="2" s="1"/>
  <c r="P26" i="2"/>
  <c r="Q26" i="2" s="1"/>
  <c r="M26" i="2"/>
  <c r="N26" i="2" s="1"/>
  <c r="J26" i="2"/>
  <c r="K26" i="2" s="1"/>
  <c r="V25" i="2"/>
  <c r="W25" i="2" s="1"/>
  <c r="S25" i="2"/>
  <c r="T25" i="2" s="1"/>
  <c r="P25" i="2"/>
  <c r="Q25" i="2" s="1"/>
  <c r="M25" i="2"/>
  <c r="N25" i="2" s="1"/>
  <c r="J25" i="2"/>
  <c r="K25" i="2" s="1"/>
  <c r="V24" i="2"/>
  <c r="W24" i="2" s="1"/>
  <c r="S24" i="2"/>
  <c r="T24" i="2" s="1"/>
  <c r="P24" i="2"/>
  <c r="Q24" i="2" s="1"/>
  <c r="M24" i="2"/>
  <c r="N24" i="2" s="1"/>
  <c r="J24" i="2"/>
  <c r="K24" i="2" s="1"/>
  <c r="V23" i="2"/>
  <c r="W23" i="2" s="1"/>
  <c r="S23" i="2"/>
  <c r="T23" i="2" s="1"/>
  <c r="P23" i="2"/>
  <c r="Q23" i="2" s="1"/>
  <c r="M23" i="2"/>
  <c r="N23" i="2" s="1"/>
  <c r="J23" i="2"/>
  <c r="K23" i="2" s="1"/>
  <c r="V22" i="2"/>
  <c r="W22" i="2" s="1"/>
  <c r="S22" i="2"/>
  <c r="T22" i="2" s="1"/>
  <c r="P22" i="2"/>
  <c r="Q22" i="2" s="1"/>
  <c r="M22" i="2"/>
  <c r="N22" i="2" s="1"/>
  <c r="J22" i="2"/>
  <c r="K22" i="2" s="1"/>
  <c r="V21" i="2"/>
  <c r="W21" i="2" s="1"/>
  <c r="S21" i="2"/>
  <c r="T21" i="2" s="1"/>
  <c r="P21" i="2"/>
  <c r="Q21" i="2" s="1"/>
  <c r="M21" i="2"/>
  <c r="N21" i="2" s="1"/>
  <c r="J21" i="2"/>
  <c r="K21" i="2" s="1"/>
  <c r="V20" i="2"/>
  <c r="W20" i="2" s="1"/>
  <c r="S20" i="2"/>
  <c r="T20" i="2" s="1"/>
  <c r="P20" i="2"/>
  <c r="Q20" i="2" s="1"/>
  <c r="M20" i="2"/>
  <c r="N20" i="2" s="1"/>
  <c r="J20" i="2"/>
  <c r="K20" i="2" s="1"/>
  <c r="V19" i="2"/>
  <c r="W19" i="2" s="1"/>
  <c r="S19" i="2"/>
  <c r="T19" i="2" s="1"/>
  <c r="P19" i="2"/>
  <c r="Q19" i="2" s="1"/>
  <c r="M19" i="2"/>
  <c r="N19" i="2" s="1"/>
  <c r="J19" i="2"/>
  <c r="K19" i="2" s="1"/>
  <c r="V18" i="2"/>
  <c r="W18" i="2" s="1"/>
  <c r="S18" i="2"/>
  <c r="T18" i="2" s="1"/>
  <c r="P18" i="2"/>
  <c r="Q18" i="2" s="1"/>
  <c r="M18" i="2"/>
  <c r="N18" i="2" s="1"/>
  <c r="J18" i="2"/>
  <c r="K18" i="2" s="1"/>
  <c r="V17" i="2"/>
  <c r="W17" i="2" s="1"/>
  <c r="S17" i="2"/>
  <c r="T17" i="2" s="1"/>
  <c r="P17" i="2"/>
  <c r="Q17" i="2" s="1"/>
  <c r="M17" i="2"/>
  <c r="N17" i="2" s="1"/>
  <c r="J17" i="2"/>
  <c r="K17" i="2" s="1"/>
  <c r="V16" i="2"/>
  <c r="W16" i="2" s="1"/>
  <c r="S16" i="2"/>
  <c r="T16" i="2" s="1"/>
  <c r="P16" i="2"/>
  <c r="Q16" i="2" s="1"/>
  <c r="M16" i="2"/>
  <c r="N16" i="2" s="1"/>
  <c r="J16" i="2"/>
  <c r="K16" i="2" s="1"/>
  <c r="V15" i="2"/>
  <c r="W15" i="2" s="1"/>
  <c r="S15" i="2"/>
  <c r="T15" i="2" s="1"/>
  <c r="P15" i="2"/>
  <c r="Q15" i="2" s="1"/>
  <c r="M15" i="2"/>
  <c r="N15" i="2" s="1"/>
  <c r="J15" i="2"/>
  <c r="K15" i="2" s="1"/>
  <c r="V14" i="2"/>
  <c r="W14" i="2" s="1"/>
  <c r="S14" i="2"/>
  <c r="T14" i="2" s="1"/>
  <c r="P14" i="2"/>
  <c r="Q14" i="2" s="1"/>
  <c r="M14" i="2"/>
  <c r="N14" i="2" s="1"/>
  <c r="J14" i="2"/>
  <c r="K14" i="2" s="1"/>
  <c r="V13" i="2"/>
  <c r="W13" i="2" s="1"/>
  <c r="S13" i="2"/>
  <c r="T13" i="2" s="1"/>
  <c r="P13" i="2"/>
  <c r="Q13" i="2" s="1"/>
  <c r="M13" i="2"/>
  <c r="N13" i="2" s="1"/>
  <c r="J13" i="2"/>
  <c r="K13" i="2" s="1"/>
  <c r="V12" i="2"/>
  <c r="W12" i="2" s="1"/>
  <c r="S12" i="2"/>
  <c r="T12" i="2" s="1"/>
  <c r="P12" i="2"/>
  <c r="Q12" i="2" s="1"/>
  <c r="M12" i="2"/>
  <c r="N12" i="2" s="1"/>
  <c r="J12" i="2"/>
  <c r="K12" i="2" s="1"/>
  <c r="V11" i="2"/>
  <c r="W11" i="2" s="1"/>
  <c r="S11" i="2"/>
  <c r="T11" i="2" s="1"/>
  <c r="P11" i="2"/>
  <c r="Q11" i="2" s="1"/>
  <c r="M11" i="2"/>
  <c r="N11" i="2" s="1"/>
  <c r="J11" i="2"/>
  <c r="K11" i="2" s="1"/>
  <c r="V10" i="2"/>
  <c r="W10" i="2" s="1"/>
  <c r="S10" i="2"/>
  <c r="T10" i="2" s="1"/>
  <c r="P10" i="2"/>
  <c r="Q10" i="2" s="1"/>
  <c r="M10" i="2"/>
  <c r="N10" i="2" s="1"/>
  <c r="J10" i="2"/>
  <c r="K10" i="2" s="1"/>
  <c r="V9" i="2"/>
  <c r="W9" i="2" s="1"/>
  <c r="S9" i="2"/>
  <c r="T9" i="2" s="1"/>
  <c r="P9" i="2"/>
  <c r="Q9" i="2" s="1"/>
  <c r="M9" i="2"/>
  <c r="N9" i="2" s="1"/>
  <c r="J9" i="2"/>
  <c r="K9" i="2" s="1"/>
  <c r="V8" i="2"/>
  <c r="W8" i="2" s="1"/>
  <c r="S8" i="2"/>
  <c r="T8" i="2" s="1"/>
  <c r="P8" i="2"/>
  <c r="Q8" i="2" s="1"/>
  <c r="M8" i="2"/>
  <c r="N8" i="2" s="1"/>
  <c r="J8" i="2"/>
  <c r="K8" i="2" s="1"/>
  <c r="V7" i="2"/>
  <c r="W7" i="2" s="1"/>
  <c r="S7" i="2"/>
  <c r="T7" i="2" s="1"/>
  <c r="P7" i="2"/>
  <c r="Q7" i="2" s="1"/>
  <c r="M7" i="2"/>
  <c r="N7" i="2" s="1"/>
  <c r="J7" i="2"/>
  <c r="K7" i="2" s="1"/>
  <c r="V6" i="2"/>
  <c r="W6" i="2" s="1"/>
  <c r="S6" i="2"/>
  <c r="T6" i="2" s="1"/>
  <c r="P6" i="2"/>
  <c r="Q6" i="2" s="1"/>
  <c r="M6" i="2"/>
  <c r="N6" i="2" s="1"/>
  <c r="J6" i="2"/>
  <c r="K6" i="2" s="1"/>
  <c r="V5" i="2"/>
  <c r="W5" i="2" s="1"/>
  <c r="S5" i="2"/>
  <c r="T5" i="2" s="1"/>
  <c r="P5" i="2"/>
  <c r="M5" i="2"/>
  <c r="N5" i="2" s="1"/>
  <c r="J5" i="2"/>
  <c r="K5" i="2" s="1"/>
  <c r="V4" i="2"/>
  <c r="W4" i="2" s="1"/>
  <c r="S4" i="2"/>
  <c r="T4" i="2" s="1"/>
  <c r="P4" i="2"/>
  <c r="Q4" i="2" s="1"/>
  <c r="M4" i="2"/>
  <c r="N4" i="2" s="1"/>
  <c r="J4" i="2"/>
  <c r="K4" i="2" s="1"/>
  <c r="V3" i="2"/>
  <c r="W3" i="2" s="1"/>
  <c r="S3" i="2"/>
  <c r="P3" i="2"/>
  <c r="Q3" i="2" s="1"/>
  <c r="M3" i="2"/>
  <c r="N3" i="2" s="1"/>
  <c r="J3" i="2"/>
  <c r="K3" i="2" s="1"/>
  <c r="V2" i="2"/>
  <c r="S2" i="2"/>
  <c r="T2" i="2" s="1"/>
  <c r="P2" i="2"/>
  <c r="M2" i="2"/>
  <c r="J2" i="2"/>
  <c r="U80" i="1"/>
  <c r="V80" i="1" s="1"/>
  <c r="R80" i="1"/>
  <c r="S80" i="1" s="1"/>
  <c r="O80" i="1"/>
  <c r="P80" i="1" s="1"/>
  <c r="L80" i="1"/>
  <c r="M80" i="1" s="1"/>
  <c r="I80" i="1"/>
  <c r="J80" i="1" s="1"/>
  <c r="U79" i="1"/>
  <c r="V79" i="1" s="1"/>
  <c r="R79" i="1"/>
  <c r="S79" i="1" s="1"/>
  <c r="O79" i="1"/>
  <c r="P79" i="1" s="1"/>
  <c r="L79" i="1"/>
  <c r="M79" i="1" s="1"/>
  <c r="I79" i="1"/>
  <c r="J79" i="1" s="1"/>
  <c r="U78" i="1"/>
  <c r="V78" i="1" s="1"/>
  <c r="R78" i="1"/>
  <c r="S78" i="1" s="1"/>
  <c r="O78" i="1"/>
  <c r="P78" i="1" s="1"/>
  <c r="L78" i="1"/>
  <c r="M78" i="1" s="1"/>
  <c r="I78" i="1"/>
  <c r="J78" i="1" s="1"/>
  <c r="G77" i="1"/>
  <c r="R77" i="1" s="1"/>
  <c r="S77" i="1" s="1"/>
  <c r="G76" i="1"/>
  <c r="U76" i="1" s="1"/>
  <c r="V76" i="1" s="1"/>
  <c r="U74" i="1"/>
  <c r="V74" i="1" s="1"/>
  <c r="R74" i="1"/>
  <c r="S74" i="1" s="1"/>
  <c r="O74" i="1"/>
  <c r="P74" i="1" s="1"/>
  <c r="L74" i="1"/>
  <c r="M74" i="1" s="1"/>
  <c r="I74" i="1"/>
  <c r="J74" i="1" s="1"/>
  <c r="U73" i="1"/>
  <c r="V73" i="1" s="1"/>
  <c r="R73" i="1"/>
  <c r="S73" i="1" s="1"/>
  <c r="O73" i="1"/>
  <c r="P73" i="1" s="1"/>
  <c r="L73" i="1"/>
  <c r="M73" i="1" s="1"/>
  <c r="I73" i="1"/>
  <c r="J73" i="1" s="1"/>
  <c r="U72" i="1"/>
  <c r="V72" i="1" s="1"/>
  <c r="R72" i="1"/>
  <c r="S72" i="1" s="1"/>
  <c r="O72" i="1"/>
  <c r="P72" i="1" s="1"/>
  <c r="L72" i="1"/>
  <c r="M72" i="1" s="1"/>
  <c r="I72" i="1"/>
  <c r="J72" i="1" s="1"/>
  <c r="U71" i="1"/>
  <c r="V71" i="1" s="1"/>
  <c r="R71" i="1"/>
  <c r="S71" i="1" s="1"/>
  <c r="O71" i="1"/>
  <c r="P71" i="1" s="1"/>
  <c r="L71" i="1"/>
  <c r="M71" i="1" s="1"/>
  <c r="I71" i="1"/>
  <c r="J71" i="1" s="1"/>
  <c r="U70" i="1"/>
  <c r="V70" i="1" s="1"/>
  <c r="R70" i="1"/>
  <c r="S70" i="1" s="1"/>
  <c r="O70" i="1"/>
  <c r="P70" i="1" s="1"/>
  <c r="L70" i="1"/>
  <c r="M70" i="1" s="1"/>
  <c r="I70" i="1"/>
  <c r="J70" i="1" s="1"/>
  <c r="U69" i="1"/>
  <c r="V69" i="1" s="1"/>
  <c r="R69" i="1"/>
  <c r="S69" i="1" s="1"/>
  <c r="O69" i="1"/>
  <c r="P69" i="1" s="1"/>
  <c r="L69" i="1"/>
  <c r="M69" i="1" s="1"/>
  <c r="I69" i="1"/>
  <c r="J69" i="1" s="1"/>
  <c r="G68" i="1"/>
  <c r="O68" i="1" s="1"/>
  <c r="P68" i="1" s="1"/>
  <c r="G67" i="1"/>
  <c r="U67" i="1" s="1"/>
  <c r="V67" i="1" s="1"/>
  <c r="G66" i="1"/>
  <c r="U66" i="1" s="1"/>
  <c r="V66" i="1" s="1"/>
  <c r="G65" i="1"/>
  <c r="U65" i="1" s="1"/>
  <c r="V65" i="1" s="1"/>
  <c r="G64" i="1"/>
  <c r="U64" i="1" s="1"/>
  <c r="V64" i="1" s="1"/>
  <c r="G63" i="1"/>
  <c r="U63" i="1" s="1"/>
  <c r="V63" i="1" s="1"/>
  <c r="G62" i="1"/>
  <c r="U62" i="1" s="1"/>
  <c r="U61" i="1"/>
  <c r="V61" i="1" s="1"/>
  <c r="R61" i="1"/>
  <c r="S61" i="1" s="1"/>
  <c r="O61" i="1"/>
  <c r="P61" i="1" s="1"/>
  <c r="L61" i="1"/>
  <c r="M61" i="1" s="1"/>
  <c r="I61" i="1"/>
  <c r="J61" i="1" s="1"/>
  <c r="U60" i="1"/>
  <c r="V60" i="1" s="1"/>
  <c r="R60" i="1"/>
  <c r="S60" i="1" s="1"/>
  <c r="O60" i="1"/>
  <c r="P60" i="1" s="1"/>
  <c r="L60" i="1"/>
  <c r="M60" i="1" s="1"/>
  <c r="I60" i="1"/>
  <c r="J60" i="1" s="1"/>
  <c r="U59" i="1"/>
  <c r="V59" i="1" s="1"/>
  <c r="R59" i="1"/>
  <c r="S59" i="1" s="1"/>
  <c r="O59" i="1"/>
  <c r="P59" i="1" s="1"/>
  <c r="L59" i="1"/>
  <c r="M59" i="1" s="1"/>
  <c r="I59" i="1"/>
  <c r="J59" i="1" s="1"/>
  <c r="U58" i="1"/>
  <c r="V58" i="1" s="1"/>
  <c r="R58" i="1"/>
  <c r="S58" i="1" s="1"/>
  <c r="O58" i="1"/>
  <c r="P58" i="1" s="1"/>
  <c r="L58" i="1"/>
  <c r="M58" i="1" s="1"/>
  <c r="I58" i="1"/>
  <c r="J58" i="1" s="1"/>
  <c r="U57" i="1"/>
  <c r="V57" i="1" s="1"/>
  <c r="R57" i="1"/>
  <c r="S57" i="1" s="1"/>
  <c r="O57" i="1"/>
  <c r="P57" i="1" s="1"/>
  <c r="L57" i="1"/>
  <c r="M57" i="1" s="1"/>
  <c r="I57" i="1"/>
  <c r="J57" i="1" s="1"/>
  <c r="U56" i="1"/>
  <c r="V56" i="1" s="1"/>
  <c r="R56" i="1"/>
  <c r="S56" i="1" s="1"/>
  <c r="O56" i="1"/>
  <c r="P56" i="1" s="1"/>
  <c r="L56" i="1"/>
  <c r="M56" i="1" s="1"/>
  <c r="I56" i="1"/>
  <c r="J56" i="1" s="1"/>
  <c r="U55" i="1"/>
  <c r="V55" i="1" s="1"/>
  <c r="R55" i="1"/>
  <c r="S55" i="1" s="1"/>
  <c r="O55" i="1"/>
  <c r="P55" i="1" s="1"/>
  <c r="L55" i="1"/>
  <c r="M55" i="1" s="1"/>
  <c r="I55" i="1"/>
  <c r="J55" i="1" s="1"/>
  <c r="U54" i="1"/>
  <c r="V54" i="1" s="1"/>
  <c r="R54" i="1"/>
  <c r="S54" i="1" s="1"/>
  <c r="O54" i="1"/>
  <c r="P54" i="1" s="1"/>
  <c r="L54" i="1"/>
  <c r="M54" i="1" s="1"/>
  <c r="I54" i="1"/>
  <c r="J54" i="1" s="1"/>
  <c r="U53" i="1"/>
  <c r="V53" i="1" s="1"/>
  <c r="R53" i="1"/>
  <c r="S53" i="1" s="1"/>
  <c r="O53" i="1"/>
  <c r="P53" i="1" s="1"/>
  <c r="L53" i="1"/>
  <c r="M53" i="1" s="1"/>
  <c r="I53" i="1"/>
  <c r="J53" i="1" s="1"/>
  <c r="U52" i="1"/>
  <c r="V52" i="1" s="1"/>
  <c r="R52" i="1"/>
  <c r="S52" i="1" s="1"/>
  <c r="O52" i="1"/>
  <c r="P52" i="1" s="1"/>
  <c r="L52" i="1"/>
  <c r="M52" i="1" s="1"/>
  <c r="I52" i="1"/>
  <c r="J52" i="1" s="1"/>
  <c r="U51" i="1"/>
  <c r="V51" i="1" s="1"/>
  <c r="R51" i="1"/>
  <c r="S51" i="1" s="1"/>
  <c r="O51" i="1"/>
  <c r="P51" i="1" s="1"/>
  <c r="L51" i="1"/>
  <c r="M51" i="1" s="1"/>
  <c r="I51" i="1"/>
  <c r="J51" i="1" s="1"/>
  <c r="U50" i="1"/>
  <c r="V50" i="1" s="1"/>
  <c r="R50" i="1"/>
  <c r="S50" i="1" s="1"/>
  <c r="O50" i="1"/>
  <c r="P50" i="1" s="1"/>
  <c r="L50" i="1"/>
  <c r="M50" i="1" s="1"/>
  <c r="I50" i="1"/>
  <c r="J50" i="1" s="1"/>
  <c r="U49" i="1"/>
  <c r="V49" i="1" s="1"/>
  <c r="R49" i="1"/>
  <c r="S49" i="1" s="1"/>
  <c r="O49" i="1"/>
  <c r="P49" i="1" s="1"/>
  <c r="L49" i="1"/>
  <c r="M49" i="1" s="1"/>
  <c r="I49" i="1"/>
  <c r="J49" i="1" s="1"/>
  <c r="U48" i="1"/>
  <c r="V48" i="1" s="1"/>
  <c r="R48" i="1"/>
  <c r="S48" i="1" s="1"/>
  <c r="O48" i="1"/>
  <c r="P48" i="1" s="1"/>
  <c r="L48" i="1"/>
  <c r="M48" i="1" s="1"/>
  <c r="I48" i="1"/>
  <c r="J48" i="1" s="1"/>
  <c r="U47" i="1"/>
  <c r="V47" i="1" s="1"/>
  <c r="R47" i="1"/>
  <c r="S47" i="1" s="1"/>
  <c r="O47" i="1"/>
  <c r="P47" i="1" s="1"/>
  <c r="L47" i="1"/>
  <c r="M47" i="1" s="1"/>
  <c r="I47" i="1"/>
  <c r="J47" i="1" s="1"/>
  <c r="U46" i="1"/>
  <c r="V46" i="1" s="1"/>
  <c r="R46" i="1"/>
  <c r="S46" i="1" s="1"/>
  <c r="O46" i="1"/>
  <c r="P46" i="1" s="1"/>
  <c r="L46" i="1"/>
  <c r="M46" i="1" s="1"/>
  <c r="I46" i="1"/>
  <c r="J46" i="1" s="1"/>
  <c r="U44" i="1"/>
  <c r="V44" i="1" s="1"/>
  <c r="R44" i="1"/>
  <c r="S44" i="1" s="1"/>
  <c r="O44" i="1"/>
  <c r="P44" i="1" s="1"/>
  <c r="L44" i="1"/>
  <c r="M44" i="1" s="1"/>
  <c r="I44" i="1"/>
  <c r="J44" i="1" s="1"/>
  <c r="U42" i="1"/>
  <c r="V42" i="1" s="1"/>
  <c r="R42" i="1"/>
  <c r="S42" i="1" s="1"/>
  <c r="O42" i="1"/>
  <c r="P42" i="1" s="1"/>
  <c r="L42" i="1"/>
  <c r="M42" i="1" s="1"/>
  <c r="I42" i="1"/>
  <c r="J42" i="1" s="1"/>
  <c r="U41" i="1"/>
  <c r="V41" i="1" s="1"/>
  <c r="R41" i="1"/>
  <c r="S41" i="1" s="1"/>
  <c r="O41" i="1"/>
  <c r="P41" i="1" s="1"/>
  <c r="L41" i="1"/>
  <c r="M41" i="1" s="1"/>
  <c r="I41" i="1"/>
  <c r="J41" i="1" s="1"/>
  <c r="U40" i="1"/>
  <c r="V40" i="1" s="1"/>
  <c r="R40" i="1"/>
  <c r="S40" i="1" s="1"/>
  <c r="O40" i="1"/>
  <c r="P40" i="1" s="1"/>
  <c r="L40" i="1"/>
  <c r="M40" i="1" s="1"/>
  <c r="I40" i="1"/>
  <c r="J40" i="1" s="1"/>
  <c r="U39" i="1"/>
  <c r="V39" i="1" s="1"/>
  <c r="R39" i="1"/>
  <c r="S39" i="1" s="1"/>
  <c r="O39" i="1"/>
  <c r="P39" i="1" s="1"/>
  <c r="L39" i="1"/>
  <c r="M39" i="1" s="1"/>
  <c r="I39" i="1"/>
  <c r="J39" i="1" s="1"/>
  <c r="U38" i="1"/>
  <c r="V38" i="1" s="1"/>
  <c r="R38" i="1"/>
  <c r="S38" i="1" s="1"/>
  <c r="O38" i="1"/>
  <c r="P38" i="1" s="1"/>
  <c r="L38" i="1"/>
  <c r="M38" i="1" s="1"/>
  <c r="I38" i="1"/>
  <c r="J38" i="1" s="1"/>
  <c r="U37" i="1"/>
  <c r="V37" i="1" s="1"/>
  <c r="R37" i="1"/>
  <c r="S37" i="1" s="1"/>
  <c r="O37" i="1"/>
  <c r="P37" i="1" s="1"/>
  <c r="L37" i="1"/>
  <c r="M37" i="1" s="1"/>
  <c r="I37" i="1"/>
  <c r="J37" i="1" s="1"/>
  <c r="U35" i="1"/>
  <c r="V35" i="1" s="1"/>
  <c r="R35" i="1"/>
  <c r="S35" i="1" s="1"/>
  <c r="O35" i="1"/>
  <c r="P35" i="1" s="1"/>
  <c r="L35" i="1"/>
  <c r="M35" i="1" s="1"/>
  <c r="I35" i="1"/>
  <c r="J35" i="1" s="1"/>
  <c r="U33" i="1"/>
  <c r="V33" i="1" s="1"/>
  <c r="R33" i="1"/>
  <c r="S33" i="1" s="1"/>
  <c r="O33" i="1"/>
  <c r="P33" i="1" s="1"/>
  <c r="L33" i="1"/>
  <c r="M33" i="1" s="1"/>
  <c r="I33" i="1"/>
  <c r="J33" i="1" s="1"/>
  <c r="U32" i="1"/>
  <c r="V32" i="1" s="1"/>
  <c r="R32" i="1"/>
  <c r="S32" i="1" s="1"/>
  <c r="O32" i="1"/>
  <c r="P32" i="1" s="1"/>
  <c r="L32" i="1"/>
  <c r="M32" i="1" s="1"/>
  <c r="I32" i="1"/>
  <c r="J32" i="1" s="1"/>
  <c r="U31" i="1"/>
  <c r="V31" i="1" s="1"/>
  <c r="R31" i="1"/>
  <c r="S31" i="1" s="1"/>
  <c r="O31" i="1"/>
  <c r="P31" i="1" s="1"/>
  <c r="L31" i="1"/>
  <c r="M31" i="1" s="1"/>
  <c r="I31" i="1"/>
  <c r="J31" i="1" s="1"/>
  <c r="U29" i="1"/>
  <c r="V29" i="1" s="1"/>
  <c r="R29" i="1"/>
  <c r="S29" i="1" s="1"/>
  <c r="O29" i="1"/>
  <c r="P29" i="1" s="1"/>
  <c r="L29" i="1"/>
  <c r="M29" i="1" s="1"/>
  <c r="I29" i="1"/>
  <c r="J29" i="1" s="1"/>
  <c r="U27" i="1"/>
  <c r="V27" i="1" s="1"/>
  <c r="R27" i="1"/>
  <c r="S27" i="1" s="1"/>
  <c r="O27" i="1"/>
  <c r="P27" i="1" s="1"/>
  <c r="L27" i="1"/>
  <c r="M27" i="1" s="1"/>
  <c r="I27" i="1"/>
  <c r="J27" i="1" s="1"/>
  <c r="U26" i="1"/>
  <c r="V26" i="1" s="1"/>
  <c r="R26" i="1"/>
  <c r="S26" i="1" s="1"/>
  <c r="O26" i="1"/>
  <c r="P26" i="1" s="1"/>
  <c r="L26" i="1"/>
  <c r="M26" i="1" s="1"/>
  <c r="I26" i="1"/>
  <c r="J26" i="1" s="1"/>
  <c r="U25" i="1"/>
  <c r="V25" i="1" s="1"/>
  <c r="R25" i="1"/>
  <c r="S25" i="1" s="1"/>
  <c r="O25" i="1"/>
  <c r="P25" i="1" s="1"/>
  <c r="L25" i="1"/>
  <c r="M25" i="1" s="1"/>
  <c r="I25" i="1"/>
  <c r="J25" i="1" s="1"/>
  <c r="U24" i="1"/>
  <c r="V24" i="1" s="1"/>
  <c r="R24" i="1"/>
  <c r="S24" i="1" s="1"/>
  <c r="O24" i="1"/>
  <c r="P24" i="1" s="1"/>
  <c r="L24" i="1"/>
  <c r="M24" i="1" s="1"/>
  <c r="I24" i="1"/>
  <c r="J24" i="1" s="1"/>
  <c r="U22" i="1"/>
  <c r="V22" i="1" s="1"/>
  <c r="R22" i="1"/>
  <c r="S22" i="1" s="1"/>
  <c r="O22" i="1"/>
  <c r="P22" i="1" s="1"/>
  <c r="L22" i="1"/>
  <c r="M22" i="1" s="1"/>
  <c r="I22" i="1"/>
  <c r="J22" i="1" s="1"/>
  <c r="U20" i="1"/>
  <c r="V20" i="1" s="1"/>
  <c r="R20" i="1"/>
  <c r="S20" i="1" s="1"/>
  <c r="O20" i="1"/>
  <c r="P20" i="1" s="1"/>
  <c r="L20" i="1"/>
  <c r="M20" i="1" s="1"/>
  <c r="I20" i="1"/>
  <c r="J20" i="1" s="1"/>
  <c r="G19" i="1"/>
  <c r="R19" i="1" s="1"/>
  <c r="S19" i="1" s="1"/>
  <c r="U18" i="1"/>
  <c r="V18" i="1" s="1"/>
  <c r="R18" i="1"/>
  <c r="S18" i="1" s="1"/>
  <c r="O18" i="1"/>
  <c r="P18" i="1" s="1"/>
  <c r="L18" i="1"/>
  <c r="M18" i="1" s="1"/>
  <c r="I18" i="1"/>
  <c r="J18" i="1" s="1"/>
  <c r="U17" i="1"/>
  <c r="V17" i="1" s="1"/>
  <c r="R17" i="1"/>
  <c r="S17" i="1" s="1"/>
  <c r="O17" i="1"/>
  <c r="P17" i="1" s="1"/>
  <c r="L17" i="1"/>
  <c r="M17" i="1" s="1"/>
  <c r="I17" i="1"/>
  <c r="J17" i="1" s="1"/>
  <c r="U16" i="1"/>
  <c r="V16" i="1" s="1"/>
  <c r="R16" i="1"/>
  <c r="S16" i="1" s="1"/>
  <c r="O16" i="1"/>
  <c r="P16" i="1" s="1"/>
  <c r="L16" i="1"/>
  <c r="M16" i="1" s="1"/>
  <c r="I16" i="1"/>
  <c r="J16" i="1" s="1"/>
  <c r="U15" i="1"/>
  <c r="V15" i="1" s="1"/>
  <c r="R15" i="1"/>
  <c r="S15" i="1" s="1"/>
  <c r="O15" i="1"/>
  <c r="P15" i="1" s="1"/>
  <c r="L15" i="1"/>
  <c r="M15" i="1" s="1"/>
  <c r="I15" i="1"/>
  <c r="J15" i="1" s="1"/>
  <c r="U13" i="1"/>
  <c r="V13" i="1" s="1"/>
  <c r="R13" i="1"/>
  <c r="S13" i="1" s="1"/>
  <c r="O13" i="1"/>
  <c r="P13" i="1" s="1"/>
  <c r="L13" i="1"/>
  <c r="M13" i="1" s="1"/>
  <c r="I13" i="1"/>
  <c r="J13" i="1" s="1"/>
  <c r="U11" i="1"/>
  <c r="V11" i="1" s="1"/>
  <c r="R11" i="1"/>
  <c r="S11" i="1" s="1"/>
  <c r="O11" i="1"/>
  <c r="P11" i="1" s="1"/>
  <c r="L11" i="1"/>
  <c r="M11" i="1" s="1"/>
  <c r="I11" i="1"/>
  <c r="J11" i="1" s="1"/>
  <c r="U9" i="1"/>
  <c r="V9" i="1" s="1"/>
  <c r="R9" i="1"/>
  <c r="S9" i="1" s="1"/>
  <c r="O9" i="1"/>
  <c r="P9" i="1" s="1"/>
  <c r="L9" i="1"/>
  <c r="M9" i="1" s="1"/>
  <c r="I9" i="1"/>
  <c r="J9" i="1" s="1"/>
  <c r="U7" i="1"/>
  <c r="V7" i="1" s="1"/>
  <c r="R7" i="1"/>
  <c r="S7" i="1" s="1"/>
  <c r="O7" i="1"/>
  <c r="P7" i="1" s="1"/>
  <c r="L7" i="1"/>
  <c r="M7" i="1" s="1"/>
  <c r="I7" i="1"/>
  <c r="J7" i="1" s="1"/>
  <c r="U6" i="1"/>
  <c r="V6" i="1" s="1"/>
  <c r="R6" i="1"/>
  <c r="S6" i="1" s="1"/>
  <c r="O6" i="1"/>
  <c r="P6" i="1" s="1"/>
  <c r="L6" i="1"/>
  <c r="M6" i="1" s="1"/>
  <c r="I6" i="1"/>
  <c r="J6" i="1" s="1"/>
  <c r="G5" i="1"/>
  <c r="U5" i="1" s="1"/>
  <c r="V5" i="1" s="1"/>
  <c r="G4" i="1"/>
  <c r="O4" i="1" s="1"/>
  <c r="P4" i="1" s="1"/>
  <c r="P3" i="1" l="1"/>
  <c r="M3" i="1"/>
  <c r="J3" i="1"/>
  <c r="V3" i="1"/>
  <c r="S3" i="1"/>
  <c r="G42" i="4"/>
  <c r="J42" i="4"/>
  <c r="M42" i="4"/>
  <c r="P42" i="4"/>
  <c r="S42" i="4"/>
  <c r="K42" i="4"/>
  <c r="Q42" i="4"/>
  <c r="H2" i="4"/>
  <c r="H42" i="4" s="1"/>
  <c r="N2" i="4"/>
  <c r="N42" i="4" s="1"/>
  <c r="T2" i="4"/>
  <c r="T42" i="4" s="1"/>
  <c r="K2" i="3"/>
  <c r="L2" i="3" s="1"/>
  <c r="N2" i="3"/>
  <c r="O2" i="3" s="1"/>
  <c r="Q2" i="3"/>
  <c r="R2" i="3" s="1"/>
  <c r="K4" i="3"/>
  <c r="L4" i="3" s="1"/>
  <c r="T2" i="3"/>
  <c r="U2" i="3" s="1"/>
  <c r="I3" i="3"/>
  <c r="H6" i="3"/>
  <c r="I6" i="3" s="1"/>
  <c r="H4" i="3"/>
  <c r="I4" i="3" s="1"/>
  <c r="N4" i="3"/>
  <c r="O4" i="3" s="1"/>
  <c r="Q4" i="3"/>
  <c r="R4" i="3" s="1"/>
  <c r="U6" i="3"/>
  <c r="K6" i="3"/>
  <c r="L6" i="3" s="1"/>
  <c r="N6" i="3"/>
  <c r="O6" i="3" s="1"/>
  <c r="Q6" i="3"/>
  <c r="R6" i="3" s="1"/>
  <c r="J33" i="2"/>
  <c r="P32" i="2"/>
  <c r="P33" i="2"/>
  <c r="S33" i="2"/>
  <c r="V33" i="2"/>
  <c r="J31" i="2"/>
  <c r="M31" i="2"/>
  <c r="M33" i="2"/>
  <c r="P31" i="2"/>
  <c r="V31" i="2"/>
  <c r="S32" i="2"/>
  <c r="Q5" i="2"/>
  <c r="J32" i="2"/>
  <c r="M32" i="2"/>
  <c r="T3" i="2"/>
  <c r="S31" i="2"/>
  <c r="W2" i="2"/>
  <c r="V32" i="2"/>
  <c r="N29" i="2"/>
  <c r="N33" i="2" s="1"/>
  <c r="K28" i="2"/>
  <c r="K33" i="2" s="1"/>
  <c r="K2" i="2"/>
  <c r="K32" i="2" s="1"/>
  <c r="Q28" i="2"/>
  <c r="Q33" i="2" s="1"/>
  <c r="N2" i="2"/>
  <c r="T28" i="2"/>
  <c r="T33" i="2" s="1"/>
  <c r="Q2" i="2"/>
  <c r="W28" i="2"/>
  <c r="W33" i="2" s="1"/>
  <c r="I62" i="1"/>
  <c r="J62" i="1" s="1"/>
  <c r="I5" i="1"/>
  <c r="J5" i="1" s="1"/>
  <c r="L19" i="1"/>
  <c r="M19" i="1" s="1"/>
  <c r="R65" i="1"/>
  <c r="S65" i="1" s="1"/>
  <c r="L77" i="1"/>
  <c r="M77" i="1" s="1"/>
  <c r="U77" i="1"/>
  <c r="V77" i="1" s="1"/>
  <c r="I77" i="1"/>
  <c r="J77" i="1" s="1"/>
  <c r="O19" i="1"/>
  <c r="P19" i="1" s="1"/>
  <c r="R68" i="1"/>
  <c r="S68" i="1" s="1"/>
  <c r="U19" i="1"/>
  <c r="V19" i="1" s="1"/>
  <c r="I4" i="1"/>
  <c r="J4" i="1" s="1"/>
  <c r="R4" i="1"/>
  <c r="S4" i="1" s="1"/>
  <c r="L62" i="1"/>
  <c r="M62" i="1" s="1"/>
  <c r="I63" i="1"/>
  <c r="J63" i="1" s="1"/>
  <c r="L63" i="1"/>
  <c r="M63" i="1" s="1"/>
  <c r="I67" i="1"/>
  <c r="J67" i="1" s="1"/>
  <c r="L64" i="1"/>
  <c r="M64" i="1" s="1"/>
  <c r="O67" i="1"/>
  <c r="P67" i="1" s="1"/>
  <c r="O64" i="1"/>
  <c r="P64" i="1" s="1"/>
  <c r="L67" i="1"/>
  <c r="M67" i="1" s="1"/>
  <c r="R64" i="1"/>
  <c r="S64" i="1" s="1"/>
  <c r="R67" i="1"/>
  <c r="S67" i="1" s="1"/>
  <c r="I64" i="1"/>
  <c r="J64" i="1" s="1"/>
  <c r="I65" i="1"/>
  <c r="J65" i="1" s="1"/>
  <c r="L65" i="1"/>
  <c r="M65" i="1" s="1"/>
  <c r="U68" i="1"/>
  <c r="V68" i="1" s="1"/>
  <c r="I19" i="1"/>
  <c r="J19" i="1" s="1"/>
  <c r="O65" i="1"/>
  <c r="P65" i="1" s="1"/>
  <c r="R75" i="1"/>
  <c r="S75" i="1" s="1"/>
  <c r="I76" i="1"/>
  <c r="J76" i="1" s="1"/>
  <c r="I66" i="1"/>
  <c r="J66" i="1" s="1"/>
  <c r="L66" i="1"/>
  <c r="M66" i="1" s="1"/>
  <c r="O63" i="1"/>
  <c r="P63" i="1" s="1"/>
  <c r="O66" i="1"/>
  <c r="P66" i="1" s="1"/>
  <c r="R66" i="1"/>
  <c r="S66" i="1" s="1"/>
  <c r="R63" i="1"/>
  <c r="S63" i="1" s="1"/>
  <c r="P75" i="1"/>
  <c r="V62" i="1"/>
  <c r="U4" i="1"/>
  <c r="V4" i="1" s="1"/>
  <c r="U75" i="1"/>
  <c r="O62" i="1"/>
  <c r="L5" i="1"/>
  <c r="M5" i="1" s="1"/>
  <c r="R62" i="1"/>
  <c r="S82" i="1" s="1"/>
  <c r="L76" i="1"/>
  <c r="M76" i="1" s="1"/>
  <c r="O5" i="1"/>
  <c r="P5" i="1" s="1"/>
  <c r="O76" i="1"/>
  <c r="P76" i="1" s="1"/>
  <c r="R5" i="1"/>
  <c r="S5" i="1" s="1"/>
  <c r="R76" i="1"/>
  <c r="S76" i="1" s="1"/>
  <c r="I75" i="1"/>
  <c r="I68" i="1"/>
  <c r="J68" i="1" s="1"/>
  <c r="L4" i="1"/>
  <c r="L75" i="1"/>
  <c r="O77" i="1"/>
  <c r="P77" i="1" s="1"/>
  <c r="L68" i="1"/>
  <c r="M68" i="1" s="1"/>
  <c r="J82" i="1" l="1"/>
  <c r="M82" i="1"/>
  <c r="P82" i="1"/>
  <c r="Q82" i="1"/>
  <c r="N82" i="1"/>
  <c r="K82" i="1"/>
  <c r="T82" i="1"/>
  <c r="V82" i="1"/>
  <c r="U47" i="3"/>
  <c r="I47" i="3"/>
  <c r="L47" i="3"/>
  <c r="T47" i="3"/>
  <c r="O47" i="3"/>
  <c r="N47" i="3"/>
  <c r="R47" i="3"/>
  <c r="Q47" i="3"/>
  <c r="H47" i="3"/>
  <c r="K47" i="3"/>
  <c r="T31" i="2"/>
  <c r="N31" i="2"/>
  <c r="N32" i="2"/>
  <c r="Q31" i="2"/>
  <c r="Q32" i="2"/>
  <c r="K31" i="2"/>
  <c r="W32" i="2"/>
  <c r="W31" i="2"/>
  <c r="T32" i="2"/>
  <c r="Q83" i="1"/>
  <c r="T83" i="1"/>
  <c r="T85" i="1"/>
  <c r="M83" i="1"/>
  <c r="J83" i="1"/>
  <c r="K83" i="1"/>
  <c r="V84" i="1"/>
  <c r="M4" i="1"/>
  <c r="S84" i="1"/>
  <c r="S62" i="1"/>
  <c r="T84" i="1" s="1"/>
  <c r="J75" i="1"/>
  <c r="K84" i="1" s="1"/>
  <c r="J85" i="1"/>
  <c r="M84" i="1"/>
  <c r="P84" i="1"/>
  <c r="P62" i="1"/>
  <c r="Q84" i="1" s="1"/>
  <c r="J84" i="1"/>
  <c r="N84" i="1"/>
  <c r="V83" i="1"/>
  <c r="V85" i="1"/>
  <c r="V75" i="1"/>
  <c r="S85" i="1"/>
  <c r="P85" i="1"/>
  <c r="Q85" i="1"/>
  <c r="M75" i="1"/>
  <c r="N85" i="1" s="1"/>
  <c r="M85" i="1"/>
  <c r="P83" i="1"/>
  <c r="S83" i="1"/>
  <c r="N83" i="1" l="1"/>
  <c r="K85" i="1"/>
</calcChain>
</file>

<file path=xl/sharedStrings.xml><?xml version="1.0" encoding="utf-8"?>
<sst xmlns="http://schemas.openxmlformats.org/spreadsheetml/2006/main" count="1808" uniqueCount="539">
  <si>
    <t>Acids</t>
  </si>
  <si>
    <t>ID no.</t>
  </si>
  <si>
    <t>Compound Names</t>
  </si>
  <si>
    <t>Rf</t>
  </si>
  <si>
    <t>SMILES</t>
  </si>
  <si>
    <t>Expt (est.)</t>
  </si>
  <si>
    <t>Expt</t>
  </si>
  <si>
    <t>ChemAxon</t>
  </si>
  <si>
    <t>SPARC-web</t>
  </si>
  <si>
    <t>PkaSolver</t>
  </si>
  <si>
    <t>MolGpka</t>
  </si>
  <si>
    <t>OPERA</t>
  </si>
  <si>
    <t>trifluoroacetic acid</t>
  </si>
  <si>
    <t>TFA</t>
  </si>
  <si>
    <t>OC(=O)C(F)(F)F</t>
  </si>
  <si>
    <t>Pentafluoropropionic Acid</t>
  </si>
  <si>
    <t>PFPrA</t>
  </si>
  <si>
    <t>OC(=O)C(F)(F)C(F)(F)F</t>
  </si>
  <si>
    <t>heptafluorobutyric acid</t>
  </si>
  <si>
    <t>PFBA</t>
  </si>
  <si>
    <t>OC(=O)C(F)(F)C(F)(F)C(F)(F)F</t>
  </si>
  <si>
    <t>PFBA (C4-PFCA)</t>
  </si>
  <si>
    <t>≤1.60</t>
  </si>
  <si>
    <t>Perfluoropentanoic Acid</t>
  </si>
  <si>
    <t>PFPeA</t>
  </si>
  <si>
    <t>OC(=O)C(F)(F)C(F)(F)C(F)(F)C(F)(F)F</t>
  </si>
  <si>
    <t>Perfluorohexanoic Acid</t>
  </si>
  <si>
    <t>PFHxA</t>
  </si>
  <si>
    <t>OC(=O)C(F)(F)C(F)(F)C(F)(F)C(F)(F)C(F)(F)F</t>
  </si>
  <si>
    <t>Perfluoroheptanoic acid</t>
  </si>
  <si>
    <t>PFHpA</t>
  </si>
  <si>
    <t>OC(=O)C(F)(F)C(F)(F)C(F)(F)C(F)(F)C(F)(F)C(F)(F)F</t>
  </si>
  <si>
    <t>Perfluorooctanoic acid</t>
  </si>
  <si>
    <t>PFOA</t>
  </si>
  <si>
    <t>OC(=O)C(F)(F)C(F)(F)C(F)(F)C(F)(F)C(F)(F)C(F)(F)C(F)(F)F</t>
  </si>
  <si>
    <t>≤0.42</t>
  </si>
  <si>
    <t>&lt;1</t>
  </si>
  <si>
    <t>Perfluorononanoic Acid</t>
  </si>
  <si>
    <t>PFNA</t>
  </si>
  <si>
    <t>OC(=O)C(F)(F)C(F)(F)C(F)(F)C(F)(F)C(F)(F)C(F)(F)C(F)(F)C(F)(F)F</t>
  </si>
  <si>
    <t>Perfluorodecanoic Acid</t>
  </si>
  <si>
    <t>PFDA</t>
  </si>
  <si>
    <t>OC(=O)C(F)(F)C(F)(F)C(F)(F)C(F)(F)C(F)(F)C(F)(F)C(F)(F)C(F)(F)C(F)(F)F</t>
  </si>
  <si>
    <t>Perfluoroundecanoic acid</t>
  </si>
  <si>
    <t>PFUnDA</t>
  </si>
  <si>
    <t>C10</t>
  </si>
  <si>
    <t>OC(=O)C(F)(F)C(F)(F)C(F)(F)C(F)(F)C(F)(F)C(F)(F)C(F)(F)C(F)(F)C(F)(F)C(F)(F)F</t>
  </si>
  <si>
    <t>GenX (2,3,3,3-tetrafluoro-2-(heptafluoropropoxy)propanoate)</t>
  </si>
  <si>
    <t>HFPO-DA</t>
  </si>
  <si>
    <t>C(=O)(C(C(F)(F)F)(OC(C(C(F)(F)F)(F)F)(F)F)F)O</t>
  </si>
  <si>
    <t>3,3,3-trifluoropropanoic acid</t>
  </si>
  <si>
    <t>1:1 FTCA (TFP)</t>
  </si>
  <si>
    <t>OC(=O)CC(F)(F)F</t>
  </si>
  <si>
    <t>3,3,3-Trifluoropropionic Acid</t>
  </si>
  <si>
    <t>4,4,4-Trifluorobutyric Acid</t>
  </si>
  <si>
    <t>1:2 FTCA (TFB)</t>
  </si>
  <si>
    <t>OC(=O)CCC(F)(F)F</t>
  </si>
  <si>
    <t>5,5,5-Trifluorovaleric acid</t>
  </si>
  <si>
    <t>1:3 FTCA (TFV)</t>
  </si>
  <si>
    <t>C(CC(=O)O)CC(F)(F)F</t>
  </si>
  <si>
    <t>4,4,5,5,6,6,6-heptafluorohexanoic acid</t>
  </si>
  <si>
    <t>3:2 FTCA</t>
  </si>
  <si>
    <t>OC(=O)CCC(F)(F)C(F)(F)C(F)(F)F</t>
  </si>
  <si>
    <t>2‐Perfluorohexylethanoic acid</t>
  </si>
  <si>
    <t>6:2 FTCA</t>
  </si>
  <si>
    <t>OC(=O)CC(F)(F)C(F)(F)C(F)(F)C(F)(F)C(F)(F)C(F)(F)F</t>
  </si>
  <si>
    <t>2H,2H,3H,3H-Perfluorodecanoic acid</t>
  </si>
  <si>
    <t>7:3 FTCA</t>
  </si>
  <si>
    <t>O=C(O)CCC(F)(F)C(F)(F)C(F)(F)C(F)(F)C(F)(F)C(F)(F)C(F)(F)F</t>
  </si>
  <si>
    <t>5,5,6,6,7,7,8,8,9,9,10,10,11,11,11-pentadecafluoroundecanoic acid</t>
  </si>
  <si>
    <t>7:4 FTCA</t>
  </si>
  <si>
    <t>O=C(O)CCCC(F)(F)C(F)(F)C(F)(F)C(F)(F)C(F)(F)C(F)(F)C(F)(F)F</t>
  </si>
  <si>
    <t>6,6,7,7,8,8,9,9,10,10,11,11,12,12,12-pentadecafluorododecanoic acid</t>
  </si>
  <si>
    <t>7:5 FTCA</t>
  </si>
  <si>
    <t>O=C(O)CCCCC(F)(F)C(F)(F)C(F)(F)C(F)(F)C(F)(F)C(F)(F)C(F)(F)F</t>
  </si>
  <si>
    <t>7,7,8,8,9,9,10,10,11,11,12,12,13,13,13-pentadecafluorotridecanoic acid</t>
  </si>
  <si>
    <t>7:6 FTCA</t>
  </si>
  <si>
    <t>O=C(O)CCCCCC(F)(F)C(F)(F)C(F)(F)C(F)(F)C(F)(F)C(F)(F)C(F)(F)F</t>
  </si>
  <si>
    <t>8,8,9,9,10,10,11,11,12,12,13,13,14,14,14-pentadecafluorotetradecanoic acid</t>
  </si>
  <si>
    <t>7:7 FTCA</t>
  </si>
  <si>
    <t>O=C(O)CCCCCCC(F)(F)C(F)(F)C(F)(F)C(F)(F)C(F)(F)C(F)(F)C(F)(F)F</t>
  </si>
  <si>
    <t>(2E)-4,4,4-trifluorobut-2-enoic acid</t>
  </si>
  <si>
    <t>1:2 FTUCA</t>
  </si>
  <si>
    <t>OC(=O)\C=C\C(F)(F)F</t>
  </si>
  <si>
    <t>(2E)-4,4,5,5,6,6,6-heptafluorohex-2-enoic acid</t>
  </si>
  <si>
    <t>3:2 FTUCA</t>
  </si>
  <si>
    <t>OC(=O)\C=C\C(F)(F)C(F)(F)C(F)(F)F</t>
  </si>
  <si>
    <t>(E)-6,6,7,7,8,8,9,9,10,10,11,11,12,12,12-pentadecafluorododec-4-enoic acid</t>
  </si>
  <si>
    <t>7:4 FTUCA</t>
  </si>
  <si>
    <t>C(CC(=O)O)C=CC(C(C(C(C(C(C(F)(F)F)(F)F)(F)F)(F)F)(F)F)(F)F)(F)F</t>
  </si>
  <si>
    <t>(E)-7,7,8,8,9,9,10,10,11,11,12,12,13,13,13-pentadecafluorotridec-5-enoic acid</t>
  </si>
  <si>
    <t>7:5 FTUCA</t>
  </si>
  <si>
    <t>C(CC=CC(C(C(C(C(C(C(F)(F)F)(F)F)(F)F)(F)F)(F)F)(F)F)(F)F)CC(=O)O</t>
  </si>
  <si>
    <t>3-Trifluoromethylbenzoic acid</t>
  </si>
  <si>
    <t>C1=CC(=CC(=C1)C(F)(F)F)C(=O)O</t>
  </si>
  <si>
    <t>PFCAs (n=66)</t>
  </si>
  <si>
    <t>MAE/RMSE</t>
  </si>
  <si>
    <t>αPFCA (n=47)</t>
  </si>
  <si>
    <t>FTCAs (n=12)</t>
  </si>
  <si>
    <t>FTUCAs (n=5)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</si>
  <si>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</si>
  <si>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</si>
  <si>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</si>
  <si>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</si>
  <si>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</si>
  <si>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</si>
  <si>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</si>
  <si>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</si>
  <si>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</si>
  <si>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Name</t>
  </si>
  <si>
    <t>Abbr.</t>
  </si>
  <si>
    <t>Rf branching</t>
  </si>
  <si>
    <t xml:space="preserve">Expt. </t>
  </si>
  <si>
    <t>Chemaxon</t>
  </si>
  <si>
    <t>SPARC</t>
  </si>
  <si>
    <t>Pkasolver</t>
  </si>
  <si>
    <t>2,2,2-Trifluoroethanol</t>
  </si>
  <si>
    <t>C(C(F)(F)F)O</t>
  </si>
  <si>
    <t>1:1 FTOH</t>
  </si>
  <si>
    <t>1˚</t>
  </si>
  <si>
    <t>PFAS II</t>
  </si>
  <si>
    <t>train</t>
  </si>
  <si>
    <t>OCC(F)(F)F</t>
  </si>
  <si>
    <t>3-Amino-1,1,1-trifluoropropan-2-ol</t>
  </si>
  <si>
    <t>C(C(C(F)(F)F)O)N</t>
  </si>
  <si>
    <t>test</t>
  </si>
  <si>
    <t>3-(Diethylamino)-1,1,1-trifluoro-2-propanol</t>
  </si>
  <si>
    <t>CCN(CC)CC(C(F)(F)F)O</t>
  </si>
  <si>
    <t>Hexafluoro-2-methyl-2-propanol</t>
  </si>
  <si>
    <t>CC(C(F)(F)F)(C(F)(F)F)O</t>
  </si>
  <si>
    <t>2˚</t>
  </si>
  <si>
    <t>2H-Perfluoro-2-propanol</t>
  </si>
  <si>
    <t>C(C(F)(F)F)(C(F)(F)F)O</t>
  </si>
  <si>
    <t>1-Chloro-1,1,3,3,3-pentafluoro-2-(trifluoromethyl)propan-2-ol</t>
  </si>
  <si>
    <t>ClC(F)(F)C(C(F)(F)F)(C(F)(F)F)O</t>
  </si>
  <si>
    <t>3˚</t>
  </si>
  <si>
    <t>1,1,1,3,3,3-Hexafluoro-2-(trichloromethyl)propan-2-ol</t>
  </si>
  <si>
    <t>ClC(Cl)(Cl)C(C(F)(F)F)(C(F)(F)F)O</t>
  </si>
  <si>
    <t>Perfluoropinacol</t>
  </si>
  <si>
    <t>C(C(C(F)(F)F)(C(F)(F)F)O)(C(F)(F)F)(C(F)(F)F)O</t>
  </si>
  <si>
    <r>
      <t>2˚,2</t>
    </r>
    <r>
      <rPr>
        <sz val="11"/>
        <color theme="1"/>
        <rFont val="Calibri"/>
        <family val="2"/>
      </rPr>
      <t>˚</t>
    </r>
  </si>
  <si>
    <t>1,1,1,3,3,3-Hexafluoropropane-2,2-diol</t>
  </si>
  <si>
    <t>OC(O)(C(F)(F)F)C(F)(F)F</t>
  </si>
  <si>
    <t>3,3-Dibromo-1,1,1-Trifluoropropane-2,2-Diol</t>
  </si>
  <si>
    <t>OC(O)(C(F)(F)F)C(Br)(Br)</t>
  </si>
  <si>
    <t>1,1,1-Trifluoro-2-propanol</t>
  </si>
  <si>
    <t>OC(C)C(F)(F)F</t>
  </si>
  <si>
    <t>CC(O)C(F)(F)F</t>
  </si>
  <si>
    <t>1,1,1-Trifluoro-2-methylpropan-2-ol</t>
  </si>
  <si>
    <t>OC(C)(C)C(F)(F)F</t>
  </si>
  <si>
    <t>Perfluoro-tert-butanol</t>
  </si>
  <si>
    <t>FC(F)(F)C(C(F)(F)F)(C(F)(F)F)O</t>
  </si>
  <si>
    <t>OC(C(F)(F)F)(C(F)(F)F)C(F)(F)F</t>
  </si>
  <si>
    <t>1,1,1,3,3,3-hexafluoro-2-(pyridin-2-ylamino)propan-2-ol</t>
  </si>
  <si>
    <t>OC(NC1=NC=CC=C1)(C(F)(F)F)C(F)(F)F</t>
  </si>
  <si>
    <t>2-(aminomethyl)-1,1,1,3,3,3-hexafluoropropan-2-ol</t>
  </si>
  <si>
    <t>NCC(O)(C(F)(F)F)C(F)(F)F</t>
  </si>
  <si>
    <t>1,1,1,3,3,3-Hexafluoro-2-[(methylamino)methyl]propan-2-ol</t>
  </si>
  <si>
    <t>CNCC(O)(C(F)(F)F)C(F)(F)F</t>
  </si>
  <si>
    <t>4-amino-1,1,1-trifluoro-2-(trifluoromethyl)butan-2-ol</t>
  </si>
  <si>
    <t>NCCC(O)(C(F)(F)F)C(F)(F)F</t>
  </si>
  <si>
    <t>2,2,3,3-tetrafluoro-1-propanol</t>
  </si>
  <si>
    <t>OCC(F)(F)C(F)F</t>
  </si>
  <si>
    <t>Heptafluorobutanol</t>
  </si>
  <si>
    <t>OCC(F)(F)C(F)(F)C(F)(F)F</t>
  </si>
  <si>
    <t>3:1 FTOH</t>
  </si>
  <si>
    <t>PFAS I &amp; II</t>
  </si>
  <si>
    <t>1,1,1,2,2,3,3,5,5,6,6,7,7,7-tetradecafluoroheptan-4-ol</t>
  </si>
  <si>
    <t>OC(C(F)(F)C(F)(F)C(F)(F)F)C(F)(F)C(F)(F)C(F)(F)F</t>
  </si>
  <si>
    <t>2,2,3,3,3-Pentafluoro-1-propanol</t>
  </si>
  <si>
    <t>OCC(F)(F)C(F)(F)F</t>
  </si>
  <si>
    <t>2:1 FTOH</t>
  </si>
  <si>
    <t>PFAS</t>
  </si>
  <si>
    <t xml:space="preserve">PFAS II </t>
  </si>
  <si>
    <t>PFAS I</t>
  </si>
  <si>
    <t>NAME</t>
  </si>
  <si>
    <t>Cn</t>
  </si>
  <si>
    <t>Acetic Acid</t>
  </si>
  <si>
    <t>CC(O)=O</t>
  </si>
  <si>
    <t>Propanoic acid</t>
  </si>
  <si>
    <t>CCC(O)=O</t>
  </si>
  <si>
    <t>Butanoic acid</t>
  </si>
  <si>
    <t>CCCC(O)=O</t>
  </si>
  <si>
    <t>Pentanoic acid</t>
  </si>
  <si>
    <t>CCCCC(O)=O</t>
  </si>
  <si>
    <t>Hexanoic</t>
  </si>
  <si>
    <t>CCCCCC(O)=O</t>
  </si>
  <si>
    <t>HEPTANOIC ACID</t>
  </si>
  <si>
    <t>CCCCCCC(O)=O</t>
  </si>
  <si>
    <t>Octanoic Acid</t>
  </si>
  <si>
    <t>CCCCCCCC(=O)O</t>
  </si>
  <si>
    <t>NONANOIC ACID</t>
  </si>
  <si>
    <t>CCCCCCCCC(=O)O</t>
  </si>
  <si>
    <t>Decanoic acid</t>
  </si>
  <si>
    <t>CCCCCCCCCC(=O)O</t>
  </si>
  <si>
    <t>Decanoic Acid</t>
  </si>
  <si>
    <t>CCCCCCCCCC(O)=O</t>
  </si>
  <si>
    <t>Lauric Acid</t>
  </si>
  <si>
    <t>C12</t>
  </si>
  <si>
    <t>CCCCCCCCCCCC(O)=O</t>
  </si>
  <si>
    <t>CCCCCCCCCCCC(=O)O</t>
  </si>
  <si>
    <t>Tetradecanoic Acid</t>
  </si>
  <si>
    <t>C14</t>
  </si>
  <si>
    <t>CCCCCCCCCCCCCC(O)=O</t>
  </si>
  <si>
    <t>Palmitic acid</t>
  </si>
  <si>
    <t>C16</t>
  </si>
  <si>
    <t>CCCCCCCCCCCCCCCC(=O)O</t>
  </si>
  <si>
    <t>Stearic acid</t>
  </si>
  <si>
    <t>C18</t>
  </si>
  <si>
    <t>CCCCCCCCCCCCCCCCCC(=O)O</t>
  </si>
  <si>
    <t>Arachidic acid</t>
  </si>
  <si>
    <t>C20</t>
  </si>
  <si>
    <t>CCCCCCCCCCCCCCCCCCCC(=O)O</t>
  </si>
  <si>
    <t>Intrinsic: independent of all other titratable groups</t>
  </si>
  <si>
    <t>Intrinsic pKa ~ Bulk pKa</t>
  </si>
  <si>
    <t>Microelectrophoresis used to determine pKa for C10–C18 saturated fatty acids.</t>
  </si>
  <si>
    <t>Average value of surface pKa is 4.0 for C10–C18 saturated fatty acids</t>
  </si>
  <si>
    <t xml:space="preserve">Pentadecafluorooctanoic Acid Ammonium Salt (Ammonium Pentadecafluorooctanoate) </t>
  </si>
  <si>
    <t xml:space="preserve">APFO </t>
  </si>
  <si>
    <t>3825-26-1</t>
  </si>
  <si>
    <t>C(=O)(C(C(C(C(C(C(C(F)(F)F)(F)F)(F)F)(F)F)(F)F)(F)F)(F)F)O</t>
  </si>
  <si>
    <t>1H, 1H, 2H, 2H-Perfluorooctanesulfonic Acid</t>
  </si>
  <si>
    <t>H4-PFOS (6:2 FTS)</t>
  </si>
  <si>
    <t>27619‐97‐2</t>
  </si>
  <si>
    <t>C(CS(=O)(=O)O)C(C(C(C(C(C(F)(F)F)(F)F)(F)F)(F)F)(F)F)(F)F</t>
  </si>
  <si>
    <t>1H, 1H, 2H, 2H-Perfluorodecanesulfonic Acid</t>
  </si>
  <si>
    <t xml:space="preserve"> H4-PFDeS (8:2 FTS)</t>
  </si>
  <si>
    <t>39108-34-4</t>
  </si>
  <si>
    <t>C(CS(=O)(=O)O)C(C(C(C(C(C(C(C(F)(F)F)(F)F)(F)F)(F)F)(F)F)(F)F)(F)F)(F)F</t>
  </si>
  <si>
    <t>Perfluorobutane Sulfonic Acid</t>
  </si>
  <si>
    <t xml:space="preserve">PFBS </t>
  </si>
  <si>
    <t>375-73-5</t>
  </si>
  <si>
    <t>C(C(C(F)(F)S(=O)(=O)O)(F)F)(C(F)(F)F)(F)F</t>
  </si>
  <si>
    <t>Perfluorohexane Sulfonic Acid</t>
  </si>
  <si>
    <t xml:space="preserve">PFHxS </t>
  </si>
  <si>
    <t>432-50-8</t>
  </si>
  <si>
    <t>C(C(C(C(F)(F)S(=O)(=O)O)(F)F)(F)F)(C(C(F)(F)F)(F)F)(F)F</t>
  </si>
  <si>
    <t>Perfluorooctane Sulfonic Acid</t>
  </si>
  <si>
    <t xml:space="preserve">PFOS </t>
  </si>
  <si>
    <t>1763-23-1</t>
  </si>
  <si>
    <t>C(C(C(C(C(F)(F)S(=O)(=O)O)(F)F)(F)F)(F)F)(C(C(C(F)(F)F)(F)F)(F)F)(F)F</t>
  </si>
  <si>
    <t xml:space="preserve">Trifluoromethanesulfonic acid </t>
  </si>
  <si>
    <t>PFMS</t>
  </si>
  <si>
    <t>C(F)(F)(F)S(=O)(=O)O</t>
  </si>
  <si>
    <t>2,2,2-trifluoroethylamine</t>
  </si>
  <si>
    <t>NCC(F)(F)F</t>
  </si>
  <si>
    <t>3,3,3-trifluoropropylamine</t>
  </si>
  <si>
    <t>NCCC(F)(F)F</t>
  </si>
  <si>
    <t>Abbrev.</t>
  </si>
  <si>
    <t>CAS#</t>
  </si>
  <si>
    <t>Smiles</t>
  </si>
  <si>
    <t>Expt. pKa</t>
  </si>
  <si>
    <t>1,1,1-trifluoro-N-methylmethanesulfonamide</t>
  </si>
  <si>
    <t>CNS(=O)(=O)C(F)(F)F</t>
  </si>
  <si>
    <t xml:space="preserve">Trifluoromethanesulfonamide </t>
  </si>
  <si>
    <t>PFMSA</t>
  </si>
  <si>
    <t>C(F)(F)(F)S(=O)(=O)N</t>
  </si>
  <si>
    <t>1,1,1-Trifluoro-N-phenylmethanesulfonamide</t>
  </si>
  <si>
    <t>C1=CC=C(C=C1)NS(=O)(=O)C(F)(F)F</t>
  </si>
  <si>
    <t>N-4-Chlorophenyl-1,1,1-trifluoromethanesulfonamide</t>
  </si>
  <si>
    <t>C1=CC(=CC=C1NS(=O)(=O)C(F)(F)F)Cl</t>
  </si>
  <si>
    <t>N-3-methylphenyl-1,1,1-trifluoromethanesulfonamide</t>
  </si>
  <si>
    <t>CC1=CC(NS(=O)(=O)C(F)(F)F)=CC=C1</t>
  </si>
  <si>
    <t>1,1,1-Trifluoro-N-3-trifluoromethylphenylmethanesulfonamide</t>
  </si>
  <si>
    <t>C1=CC(=CC(=C1)NS(=O)(=O)C(F)(F)F)C(F)(F)F</t>
  </si>
  <si>
    <t>1,1,1-trifluoro-N-(4-methylsulfonylphenyl)methanesulfonamide</t>
  </si>
  <si>
    <t>CS(=O)(=O)C1=CC=C(NS(=O)(=O)C(F)(F)F)C=C1</t>
  </si>
  <si>
    <t xml:space="preserve">Trifluoromethylphosphonic acid </t>
  </si>
  <si>
    <t>PFMP</t>
  </si>
  <si>
    <t>C(F)(F)(F)P(=O)(O)O</t>
  </si>
  <si>
    <t>Ref</t>
  </si>
  <si>
    <t>Yu et al-J. Chem. Inf. Model. 2011, 51, 9, 2336–2344-SI.pdf</t>
  </si>
  <si>
    <t>methanol</t>
  </si>
  <si>
    <t>OC</t>
  </si>
  <si>
    <t>acs.jpca.7b03907.pdf</t>
  </si>
  <si>
    <t>Evans</t>
  </si>
  <si>
    <t>CO</t>
  </si>
  <si>
    <t>ethanol</t>
  </si>
  <si>
    <t>OCC</t>
  </si>
  <si>
    <t>propan-1-ol</t>
  </si>
  <si>
    <t>OCCC</t>
  </si>
  <si>
    <t>propanol</t>
  </si>
  <si>
    <t>CCCO</t>
  </si>
  <si>
    <t>propan-2-ol</t>
  </si>
  <si>
    <t>OC(C)C</t>
  </si>
  <si>
    <t>butan-1-ol</t>
  </si>
  <si>
    <t>OCCCC</t>
  </si>
  <si>
    <t>1-Butanol _ C4H9OH _ CID 263 - PubChem.pdf||https://pubchem.ncbi.nlm.nih.gov/compound/1-Butanol#section=Refractive-Index</t>
  </si>
  <si>
    <t>butan-2-ol</t>
  </si>
  <si>
    <t>OC(C)CC</t>
  </si>
  <si>
    <t>2-methylpropan-1-ol</t>
  </si>
  <si>
    <t>OCC(C)C</t>
  </si>
  <si>
    <t>2-methylpropan-2-ol</t>
  </si>
  <si>
    <t>C(C)(C)(C)O</t>
  </si>
  <si>
    <t>2-methyl-2-propanol</t>
  </si>
  <si>
    <t>CC(C)(C)O</t>
  </si>
  <si>
    <t>hexan-1-ol</t>
  </si>
  <si>
    <t>OCCCCCC</t>
  </si>
  <si>
    <t>1-Hexadecanol _ C16H34O _ CID 2682 - PubChem.pdf||https://pubchem.ncbi.nlm.nih.gov/compound/2682#section=LogP</t>
  </si>
  <si>
    <t>1-Hexadecanol</t>
  </si>
  <si>
    <t>OCCCCCCCCCCCCCCCC</t>
  </si>
  <si>
    <t>prop-2-yn-1-ol</t>
  </si>
  <si>
    <t>C(CO)#C</t>
  </si>
  <si>
    <t>NaN</t>
  </si>
  <si>
    <t>prop-2-en-1-ol</t>
  </si>
  <si>
    <t>OCC=C</t>
  </si>
  <si>
    <t>propane-1,3-diol</t>
  </si>
  <si>
    <t>OCCCO</t>
  </si>
  <si>
    <t>butane-1,4-diol</t>
  </si>
  <si>
    <t>OCCCCO</t>
  </si>
  <si>
    <t>butane-1,3-diol</t>
  </si>
  <si>
    <t>OCCC(O)C</t>
  </si>
  <si>
    <t>2-methoxyethan-1-ol</t>
  </si>
  <si>
    <t>COCCO</t>
  </si>
  <si>
    <t>OCCOCC</t>
  </si>
  <si>
    <t>C#CCO</t>
  </si>
  <si>
    <t>phenylmethanol</t>
  </si>
  <si>
    <t>OCC1=CC=CC=C1</t>
  </si>
  <si>
    <t>cyclohexanol</t>
  </si>
  <si>
    <t>OC1CCCCC1</t>
  </si>
  <si>
    <t>c-hex3COH</t>
  </si>
  <si>
    <t>OC(C1CCCCC1)(C1CCCCC1)C1CCCCC1</t>
  </si>
  <si>
    <t>diphenylmethanol</t>
  </si>
  <si>
    <t>OC(C1=CC=CC=C1)C1=CC=CC=C1</t>
  </si>
  <si>
    <t>C(O)C(S)CS</t>
  </si>
  <si>
    <t>NC(C)O</t>
  </si>
  <si>
    <t>C(CN)SCCO</t>
  </si>
  <si>
    <t>C(O)CCN</t>
  </si>
  <si>
    <t>C(N(CC)CC)CCO</t>
  </si>
  <si>
    <t>C(CCO)CCN</t>
  </si>
  <si>
    <t>C(CO)CCN</t>
  </si>
  <si>
    <t>NCCCCCCO</t>
  </si>
  <si>
    <t>3-Fluorobenzoic acid</t>
  </si>
  <si>
    <t>455-38-9</t>
  </si>
  <si>
    <t>C1=CC(=CC(=C1)F)C(=O)O</t>
  </si>
  <si>
    <t>4-Fluorobenzoic acid</t>
  </si>
  <si>
    <t>456-22-4</t>
  </si>
  <si>
    <t>C1=CC(=CC=C1C(=O)O)F</t>
  </si>
  <si>
    <t>433-68-1</t>
  </si>
  <si>
    <t>OC(=O)C(F)=C(F)F</t>
  </si>
  <si>
    <t>2-fluoroprop-2-enoic acid</t>
  </si>
  <si>
    <t>OC(=O)C(F)=C</t>
  </si>
  <si>
    <t>3,3-difluoroprop-2-enoic acid</t>
  </si>
  <si>
    <t>OC(=O)C=C(F)F</t>
  </si>
  <si>
    <t>2,3,3-trifluoroprop-2-enoic acid</t>
  </si>
  <si>
    <t>DIFLUOROACETIC ACID</t>
  </si>
  <si>
    <t>144-49-0</t>
  </si>
  <si>
    <t>OC(=O)C(F)F</t>
  </si>
  <si>
    <t>FLUOROACETIC ACID</t>
  </si>
  <si>
    <t>381-73-7</t>
  </si>
  <si>
    <t>OC(=O)CF</t>
  </si>
  <si>
    <t>Pentafluorobenzoic acid</t>
  </si>
  <si>
    <t>C1(=C(C(=C(C(=C1F)F)F)F)F)C(=O)O</t>
  </si>
  <si>
    <t>C0</t>
  </si>
  <si>
    <t>Perfluorinated carbons</t>
  </si>
  <si>
    <t>359-13-7</t>
  </si>
  <si>
    <t>DTXSID90189459</t>
  </si>
  <si>
    <t>2,2-Difluoroethanol</t>
  </si>
  <si>
    <t>OCC(F)F</t>
  </si>
  <si>
    <t>993-58-8</t>
  </si>
  <si>
    <t>DTXSID50840539</t>
  </si>
  <si>
    <t>1,3-Dichloro-1,1,3,3-tetrafluoropropane-2,2-diol</t>
  </si>
  <si>
    <t>OC(O)(C(F)(F)Cl)C(F)(F)Cl</t>
  </si>
  <si>
    <t>BAIZHLMNBIHQNW-UHFFFAOYSA-N</t>
  </si>
  <si>
    <t>1,1,3-Trichloro-1,3,3-trifluoropropane-2,2-diol</t>
  </si>
  <si>
    <t>OC(O)(C(F)(F)Cl)C(Cl)(Cl)F</t>
  </si>
  <si>
    <t>677-70-3</t>
  </si>
  <si>
    <t>DTXSID0060983</t>
  </si>
  <si>
    <t>2,2-Propanediol, 1,1,3,3-tetrachloro-1,3-difluoro-</t>
  </si>
  <si>
    <t>OC(O)(C(Cl)(Cl)F)C(Cl)(Cl)F</t>
  </si>
  <si>
    <t>KODPWAQOSRGQFM-UHFFFAOYSA-N</t>
  </si>
  <si>
    <t>1-chloro-1,1,3,3,3-pentafluoropropane-2,2-diol</t>
  </si>
  <si>
    <t>C(C(F)(F)F)(C(F)(F)Cl)(O)O</t>
  </si>
  <si>
    <t>NEVZTUDIKNCVNE-UHFFFAOYSA-N</t>
  </si>
  <si>
    <t>1,1,3,3-tetrafluoropropane-2,2-diol</t>
  </si>
  <si>
    <t>OC(O)(C(F)(F))C(F)(F)</t>
  </si>
  <si>
    <t>C(C(F)F)O</t>
  </si>
  <si>
    <t>DTXID/InChlKey</t>
  </si>
  <si>
    <t>Expt pKa</t>
  </si>
  <si>
    <t>PkaSolver (low)</t>
  </si>
  <si>
    <t>Trifluoroacrylic acid/2,3,3-trifluoroprop-2-enoic acid</t>
  </si>
  <si>
    <t>Ref.</t>
  </si>
  <si>
    <t>pKa type</t>
  </si>
  <si>
    <t xml:space="preserve">bulk </t>
  </si>
  <si>
    <t xml:space="preserve">surf </t>
  </si>
  <si>
    <t>intrinsic  (Bulk)</t>
  </si>
  <si>
    <t xml:space="preserve">intrinsic </t>
  </si>
  <si>
    <t>DOI</t>
  </si>
  <si>
    <t>10.1021/j150568a034</t>
  </si>
  <si>
    <t>10.1021/ja01514a010</t>
  </si>
  <si>
    <t>10.1021/ja01126a019</t>
  </si>
  <si>
    <t>10.1021/acs.jpca.1c01330</t>
  </si>
  <si>
    <t>10.1021/jo01279a081</t>
  </si>
  <si>
    <t>10.1021/jo01118a008</t>
  </si>
  <si>
    <t>10.1021/ja01076a041</t>
  </si>
  <si>
    <t>10.1139/v77-337</t>
  </si>
  <si>
    <t>10.1016/j.atmosenv.2007.11.009</t>
  </si>
  <si>
    <t>10.1021/ja01149a122</t>
  </si>
  <si>
    <t>10.1016/0045-6535(95)00330-4</t>
  </si>
  <si>
    <t>10.1246/bcsj.74.667</t>
  </si>
  <si>
    <t>10.1039/d3cp01390a</t>
  </si>
  <si>
    <t>10.1021/jo01059a090</t>
  </si>
  <si>
    <t>10.1007/s00706-017-1970-4</t>
  </si>
  <si>
    <t>10.1021/es402691z</t>
  </si>
  <si>
    <t>10.1021/es802047v</t>
  </si>
  <si>
    <t>10.1021/es702192c</t>
  </si>
  <si>
    <t>10.1007/BF01242697</t>
  </si>
  <si>
    <t>Santoro_etal_2003.pdf</t>
  </si>
  <si>
    <t>10.1002/etc.4519</t>
  </si>
  <si>
    <t>10.1007/s00396-004-1228-7</t>
  </si>
  <si>
    <t>10.1021/jp9051352</t>
  </si>
  <si>
    <t>svhc_msc_supdoc_hfpo-da_20190626_final_12819_e.pdf</t>
  </si>
  <si>
    <t>10.1021/ja01643a038</t>
  </si>
  <si>
    <t>10.1021/ja01118a519</t>
  </si>
  <si>
    <t>10.1021/ja01631a043</t>
  </si>
  <si>
    <t>10.1021/acs.jpcc.0c03785</t>
  </si>
  <si>
    <t>10.1002/HEP.1840040814</t>
  </si>
  <si>
    <t>10.1039/c7cp04527a</t>
  </si>
  <si>
    <t>10.1016/j.bpj.2018.04.011</t>
  </si>
  <si>
    <t>10.1006/jcis.2001.8009</t>
  </si>
  <si>
    <t xml:space="preserve"> </t>
  </si>
  <si>
    <t>BF00650404.pdf</t>
  </si>
  <si>
    <t>10.1021/ci200233s</t>
  </si>
  <si>
    <t>10.1021/acs.jpca.7b03907</t>
  </si>
  <si>
    <t>evans_pKa_table.pdf</t>
  </si>
  <si>
    <t>1-Butanol.pdf</t>
  </si>
  <si>
    <t>1-Hexadecanol.pdf</t>
  </si>
  <si>
    <t>10.1021/jo00922a017</t>
  </si>
  <si>
    <t>10.1002/047084289X.rn00682</t>
  </si>
  <si>
    <t>Column Label</t>
  </si>
  <si>
    <t>Column Heading</t>
  </si>
  <si>
    <t>Description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</si>
  <si>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</si>
  <si>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</si>
  <si>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</si>
  <si>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</si>
  <si>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</si>
  <si>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</si>
  <si>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</si>
  <si>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</si>
  <si>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</si>
  <si>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</si>
  <si>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</si>
  <si>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</si>
  <si>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</si>
  <si>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</si>
  <si>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</si>
  <si>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</si>
  <si>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</si>
  <si>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</si>
  <si>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</si>
  <si>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</si>
  <si>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</si>
  <si>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</si>
  <si>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</si>
  <si>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</si>
  <si>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</si>
  <si>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ID number</t>
  </si>
  <si>
    <t>Experimental pka values</t>
  </si>
  <si>
    <t>Perfluorinated carbon chain lengths</t>
  </si>
  <si>
    <t>Chemical names</t>
  </si>
  <si>
    <t>calculated pka values using ChemAxon</t>
  </si>
  <si>
    <t>calculated pka values using Sparc</t>
  </si>
  <si>
    <t>Absolute error: ABS(Experimental pka - ChemAxon pka)</t>
  </si>
  <si>
    <t>Residual squared for ChemAxon values (Experimental pka - ChemAxon pka)^2</t>
  </si>
  <si>
    <t>Residual squared for ChemAxon values (Experimental pka - SPARC pka)^2</t>
  </si>
  <si>
    <t>Absolute error: ABS(Experimental pka - SPARC pka)</t>
  </si>
  <si>
    <t>Residual squared for ChemAxon values (Experimental pka - OPERA pka)^2</t>
  </si>
  <si>
    <t>Residual squared for ChemAxon values (Experimental pka - MolGpka pka)^2</t>
  </si>
  <si>
    <t>Absolute error: ABS(Experimental pka - MolGpka pka)</t>
  </si>
  <si>
    <t>Absolute error: ABS(Experimental pka - OPERA pka)</t>
  </si>
  <si>
    <t>Absolute error: ABS(Experimental pka - PkaSolver pka)</t>
  </si>
  <si>
    <t>Residual squared for ChemAxon values (Experimental pka - PkaSolver)^2</t>
  </si>
  <si>
    <t>calculated pka values using PkaSolver</t>
  </si>
  <si>
    <t>PFAS acronyms</t>
  </si>
  <si>
    <t>PFAS Type</t>
  </si>
  <si>
    <t>PFAS1/PFASII</t>
  </si>
  <si>
    <t>ABS(X-Y)_SPARC</t>
  </si>
  <si>
    <t>(X-Y)^2_SPARC</t>
  </si>
  <si>
    <t>ABS(X-Y)_PkaSolver</t>
  </si>
  <si>
    <t>(X-Y)^2_PkaSolver</t>
  </si>
  <si>
    <t>ABS(X-Y)_MolGpka</t>
  </si>
  <si>
    <t>(X-Y)^2_MolGpka</t>
  </si>
  <si>
    <t>ABS(X-Y)_OPERA</t>
  </si>
  <si>
    <t>(X-Y)^2_OPERA</t>
  </si>
  <si>
    <t>ABS(X-Y)_ChemAxon</t>
  </si>
  <si>
    <t>(X-Y)^2_ChemAxon</t>
  </si>
  <si>
    <t>Reference document names</t>
  </si>
  <si>
    <t>Acronyms</t>
  </si>
  <si>
    <t>calculated pka values using SPARC</t>
  </si>
  <si>
    <t>calculated pka values using MolGpka</t>
  </si>
  <si>
    <t>calculated pka values using OPERA</t>
  </si>
  <si>
    <t>Carbon chain length</t>
  </si>
  <si>
    <t>Number of perfluorinated carbons</t>
  </si>
  <si>
    <t>Chemical identifiers</t>
  </si>
  <si>
    <t>PkaSolver (high)</t>
  </si>
  <si>
    <t xml:space="preserve">calculated lowest pka values using PkaSolver </t>
  </si>
  <si>
    <t>calculated highest pka values using PkaSolver</t>
  </si>
  <si>
    <t>Estimated experimental values (maximum value)</t>
  </si>
  <si>
    <t>link  to reference</t>
  </si>
  <si>
    <t>1st, 2nd, or 3rd degree branching (primary, secondary, and tertiary)</t>
  </si>
  <si>
    <t>Bulk, surface, or intrinsic pka</t>
  </si>
  <si>
    <t>MolGpKa</t>
  </si>
  <si>
    <t>MAE</t>
  </si>
  <si>
    <t>RMSE</t>
  </si>
  <si>
    <t>calculated pka values using PkaSolver (NaN indicates limitation in capability)</t>
  </si>
  <si>
    <t>calculated pka values using OPERA (NaN indicates limitation in capability)</t>
  </si>
  <si>
    <t>10.1021/ja055816k; Boswell_et_al-J. AM. CHEM. SOC. 2005, 127, 16976-16984</t>
  </si>
  <si>
    <t>10.1021/ja01076a041; Middleton&amp;Lindsey-J. Am. Chem. Soc. 1964, 86, 22, 4948–4952.</t>
  </si>
  <si>
    <t>10.1021/ja01514a010; Ballinger P.; Long F.A. J. Am. Chem. Soc. 1959</t>
  </si>
  <si>
    <t>https://www.concawe.eu/wp-content/uploads/rpt_16-8.pdf</t>
  </si>
  <si>
    <t>TableS15</t>
  </si>
  <si>
    <t>TableS16</t>
  </si>
  <si>
    <t>Dataset</t>
  </si>
  <si>
    <t>training or test dataset identifier</t>
  </si>
  <si>
    <t>Key</t>
  </si>
  <si>
    <t>Wang et al. (2011)</t>
  </si>
  <si>
    <t>Average</t>
  </si>
  <si>
    <t>Min</t>
  </si>
  <si>
    <t>Max</t>
  </si>
  <si>
    <t>COSMOtherm</t>
  </si>
  <si>
    <t>Rayne &amp; Forest (2010)</t>
  </si>
  <si>
    <t>DFT</t>
  </si>
  <si>
    <t>-0.6 to 0.2</t>
  </si>
  <si>
    <t>-0.5 to 0.2</t>
  </si>
  <si>
    <t>-0.6 to 0.0</t>
  </si>
  <si>
    <t>-0.4 to 0.0</t>
  </si>
  <si>
    <t>-0.4 to -0.1</t>
  </si>
  <si>
    <t>-0.7 to -0.2</t>
  </si>
  <si>
    <t>n/a</t>
  </si>
  <si>
    <t>-2.35 to 1.57</t>
  </si>
  <si>
    <t>-0.9 to 0.2</t>
  </si>
  <si>
    <t>Baggioli et al. (2018)</t>
  </si>
  <si>
    <t>Experimental pKa</t>
  </si>
  <si>
    <t>Table S13</t>
  </si>
  <si>
    <t>Table S14</t>
  </si>
  <si>
    <t>TableS17</t>
  </si>
  <si>
    <t>TableS18</t>
  </si>
  <si>
    <t>TableS19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</si>
</sst>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0" fillId="0" borderId="0" xfId="0" applyNumberFormat="1"/>
    <xf numFmtId="2" fontId="3" fillId="0" borderId="0" xfId="0" applyNumberFormat="1" applyFont="1"/>
    <xf numFmtId="2" fontId="2" fillId="0" borderId="1" xfId="0" applyNumberFormat="1" applyFont="1" applyBorder="1"/>
    <xf numFmtId="2" fontId="0" fillId="0" borderId="1" xfId="0" applyNumberFormat="1" applyBorder="1"/>
    <xf numFmtId="20" fontId="2" fillId="0" borderId="0" xfId="0" applyNumberFormat="1" applyFont="1"/>
    <xf numFmtId="0" fontId="4" fillId="0" borderId="0" xfId="0" applyFont="1"/>
    <xf numFmtId="0" fontId="0" fillId="0" borderId="1" xfId="0" applyBorder="1"/>
    <xf numFmtId="0" fontId="1" fillId="0" borderId="0" xfId="0" applyFont="1"/>
    <xf numFmtId="0" fontId="2" fillId="0" borderId="0" xfId="0" applyFont="1" applyBorder="1"/>
    <xf numFmtId="2" fontId="2" fillId="0" borderId="0" xfId="0" applyNumberFormat="1" applyFont="1" applyBorder="1"/>
    <xf numFmtId="0" fontId="1" fillId="0" borderId="0" xfId="0" applyFont="1" applyBorder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0" fillId="0" borderId="0" xfId="0" applyNumberFormat="1"/>
    <xf numFmtId="49" fontId="2" fillId="0" borderId="0" xfId="0" applyNumberFormat="1" applyFont="1" applyAlignment="1"/>
    <xf numFmtId="0" fontId="2" fillId="0" borderId="0" xfId="0" applyFont="1" applyAlignment="1"/>
    <xf numFmtId="2" fontId="2" fillId="0" borderId="0" xfId="0" applyNumberFormat="1" applyFont="1" applyAlignment="1"/>
    <xf numFmtId="0" fontId="0" fillId="0" borderId="0" xfId="0" applyAlignment="1"/>
    <xf numFmtId="2" fontId="0" fillId="0" borderId="0" xfId="0" applyNumberFormat="1" applyAlignment="1"/>
    <xf numFmtId="0" fontId="0" fillId="0" borderId="0" xfId="0" applyFont="1"/>
    <xf numFmtId="1" fontId="2" fillId="0" borderId="0" xfId="0" applyNumberFormat="1" applyFont="1"/>
    <xf numFmtId="2" fontId="0" fillId="0" borderId="0" xfId="0" applyNumberFormat="1" applyFont="1"/>
    <xf numFmtId="0" fontId="0" fillId="0" borderId="0" xfId="0" applyFill="1"/>
    <xf numFmtId="2" fontId="2" fillId="2" borderId="0" xfId="0" applyNumberFormat="1" applyFont="1" applyFill="1"/>
    <xf numFmtId="0" fontId="0" fillId="2" borderId="0" xfId="0" applyFill="1"/>
    <xf numFmtId="0" fontId="0" fillId="2" borderId="1" xfId="0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2" fillId="2" borderId="0" xfId="0" applyFont="1" applyFill="1"/>
    <xf numFmtId="2" fontId="3" fillId="2" borderId="0" xfId="0" applyNumberFormat="1" applyFont="1" applyFill="1"/>
    <xf numFmtId="2" fontId="2" fillId="2" borderId="1" xfId="0" applyNumberFormat="1" applyFont="1" applyFill="1" applyBorder="1"/>
    <xf numFmtId="0" fontId="0" fillId="2" borderId="0" xfId="0" applyFont="1" applyFill="1"/>
    <xf numFmtId="0" fontId="2" fillId="2" borderId="0" xfId="0" applyFont="1" applyFill="1" applyBorder="1"/>
    <xf numFmtId="2" fontId="2" fillId="2" borderId="0" xfId="0" applyNumberFormat="1" applyFont="1" applyFill="1" applyBorder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0" fillId="2" borderId="0" xfId="0" applyFill="1" applyAlignment="1"/>
    <xf numFmtId="0" fontId="0" fillId="0" borderId="2" xfId="0" applyBorder="1"/>
    <xf numFmtId="0" fontId="2" fillId="0" borderId="2" xfId="0" applyFont="1" applyBorder="1"/>
    <xf numFmtId="0" fontId="2" fillId="2" borderId="2" xfId="0" applyFont="1" applyFill="1" applyBorder="1"/>
    <xf numFmtId="2" fontId="2" fillId="0" borderId="2" xfId="0" applyNumberFormat="1" applyFont="1" applyBorder="1"/>
    <xf numFmtId="2" fontId="2" fillId="2" borderId="2" xfId="0" applyNumberFormat="1" applyFont="1" applyFill="1" applyBorder="1"/>
    <xf numFmtId="2" fontId="0" fillId="0" borderId="2" xfId="0" applyNumberFormat="1" applyBorder="1"/>
    <xf numFmtId="0" fontId="0" fillId="2" borderId="2" xfId="0" applyFill="1" applyBorder="1"/>
    <xf numFmtId="0" fontId="0" fillId="0" borderId="2" xfId="0" applyBorder="1" applyAlignment="1">
      <alignment wrapText="1"/>
    </xf>
    <xf numFmtId="0" fontId="6" fillId="0" borderId="0" xfId="0" applyFont="1" applyFill="1"/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/>
    </xf>
    <xf numFmtId="2" fontId="0" fillId="2" borderId="2" xfId="0" applyNumberFormat="1" applyFill="1" applyBorder="1" applyAlignment="1">
      <alignment horizontal="left"/>
    </xf>
    <xf numFmtId="0" fontId="0" fillId="0" borderId="2" xfId="0" applyFont="1" applyBorder="1"/>
    <xf numFmtId="0" fontId="0" fillId="2" borderId="2" xfId="0" applyFont="1" applyFill="1" applyBorder="1"/>
    <xf numFmtId="0" fontId="0" fillId="0" borderId="2" xfId="0" applyFill="1" applyBorder="1"/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49" fontId="2" fillId="0" borderId="2" xfId="0" applyNumberFormat="1" applyFont="1" applyBorder="1" applyAlignment="1"/>
    <xf numFmtId="0" fontId="2" fillId="0" borderId="2" xfId="0" applyFont="1" applyBorder="1" applyAlignment="1"/>
    <xf numFmtId="0" fontId="2" fillId="2" borderId="2" xfId="0" applyFont="1" applyFill="1" applyBorder="1" applyAlignment="1"/>
    <xf numFmtId="2" fontId="2" fillId="0" borderId="2" xfId="0" applyNumberFormat="1" applyFont="1" applyBorder="1" applyAlignment="1"/>
    <xf numFmtId="0" fontId="0" fillId="0" borderId="2" xfId="0" applyBorder="1" applyAlignment="1"/>
    <xf numFmtId="0" fontId="2" fillId="0" borderId="3" xfId="0" applyFont="1" applyBorder="1"/>
    <xf numFmtId="0" fontId="2" fillId="2" borderId="3" xfId="0" applyFont="1" applyFill="1" applyBorder="1"/>
    <xf numFmtId="2" fontId="2" fillId="0" borderId="3" xfId="0" applyNumberFormat="1" applyFont="1" applyBorder="1"/>
    <xf numFmtId="2" fontId="2" fillId="2" borderId="3" xfId="0" applyNumberFormat="1" applyFont="1" applyFill="1" applyBorder="1"/>
    <xf numFmtId="2" fontId="0" fillId="0" borderId="3" xfId="0" applyNumberFormat="1" applyBorder="1"/>
    <xf numFmtId="0" fontId="2" fillId="0" borderId="4" xfId="0" applyFont="1" applyBorder="1"/>
    <xf numFmtId="0" fontId="2" fillId="2" borderId="4" xfId="0" applyFont="1" applyFill="1" applyBorder="1"/>
    <xf numFmtId="2" fontId="2" fillId="0" borderId="4" xfId="0" applyNumberFormat="1" applyFont="1" applyBorder="1"/>
    <xf numFmtId="2" fontId="2" fillId="2" borderId="4" xfId="0" applyNumberFormat="1" applyFont="1" applyFill="1" applyBorder="1"/>
    <xf numFmtId="2" fontId="0" fillId="0" borderId="4" xfId="0" applyNumberFormat="1" applyBorder="1"/>
    <xf numFmtId="0" fontId="7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2" fontId="2" fillId="0" borderId="2" xfId="0" applyNumberFormat="1" applyFon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122">
    <dxf>
      <alignment horizontal="general" vertical="bottom" textRotation="0" wrapText="0" indent="0" justifyLastLine="0" shrinkToFit="0" readingOrder="0"/>
    </dxf>
    <dxf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2" formatCode="0.0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fill>
        <patternFill>
          <fgColor indexed="64"/>
          <bgColor theme="4" tint="0.79998168889431442"/>
        </patternFill>
      </fill>
    </dxf>
    <dxf>
      <fill>
        <patternFill>
          <fgColor indexed="64"/>
          <bgColor theme="4" tint="0.79998168889431442"/>
        </patternFill>
      </fill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DDE8F9-3A70-4869-B9F5-ABFA489C44F9}" name="Table1" displayName="Table1" ref="A2:V80" totalsRowShown="0" headerRowDxfId="121">
  <autoFilter ref="A2:V80" xr:uid="{0EDDE8F9-3A70-4869-B9F5-ABFA489C44F9}"/>
  <tableColumns count="22">
    <tableColumn id="4" xr3:uid="{1D88BA5F-B9FA-46C7-9482-FBC587AE855D}" name="ID no." dataDxfId="120"/>
    <tableColumn id="5" xr3:uid="{BECED906-9EDC-4CAB-B197-32E9ECE91F09}" name="Compound Names" dataDxfId="119"/>
    <tableColumn id="6" xr3:uid="{95881591-62DD-4B2A-806D-48E2FEF1DEF6}" name="Abbrev." dataDxfId="118"/>
    <tableColumn id="7" xr3:uid="{B2993F60-C34A-404E-B7B5-D219A934B6FE}" name="Rf" dataDxfId="117"/>
    <tableColumn id="8" xr3:uid="{168E3487-2F8F-4483-8E0E-7355F7E113DB}" name="SMILES" dataDxfId="116"/>
    <tableColumn id="9" xr3:uid="{EA801F30-A237-43C5-89EE-DDA7AF33F323}" name="Expt (est.)" dataDxfId="115"/>
    <tableColumn id="10" xr3:uid="{A47BD492-201F-4E4C-8A68-1D7AA66F6560}" name="Expt" dataDxfId="114"/>
    <tableColumn id="11" xr3:uid="{0D520849-288F-42D2-B01E-37B7B6D51B34}" name="ChemAxon" dataDxfId="113"/>
    <tableColumn id="12" xr3:uid="{A198A75A-4F71-4213-857D-954A06F7D7C4}" name="ABS(X-Y)_ChemAxon" dataDxfId="112">
      <calculatedColumnFormula>ABS(G3-H3)</calculatedColumnFormula>
    </tableColumn>
    <tableColumn id="13" xr3:uid="{F068FE79-4AEE-4ED1-BA48-DED694F8C238}" name="(X-Y)^2_ChemAxon" dataDxfId="111">
      <calculatedColumnFormula>I3^2</calculatedColumnFormula>
    </tableColumn>
    <tableColumn id="14" xr3:uid="{FB0E3A98-1805-493E-86D0-08F05C667AC6}" name="SPARC-web" dataDxfId="110"/>
    <tableColumn id="15" xr3:uid="{B0AA1FAB-510A-46CC-9B61-CCF423B68708}" name="ABS(X-Y)_SPARC" dataDxfId="109">
      <calculatedColumnFormula>ABS(G3-K3)</calculatedColumnFormula>
    </tableColumn>
    <tableColumn id="16" xr3:uid="{0D98C679-028D-4EE0-8422-2375B4B81692}" name="(X-Y)^2_SPARC" dataDxfId="108">
      <calculatedColumnFormula>L3^2</calculatedColumnFormula>
    </tableColumn>
    <tableColumn id="17" xr3:uid="{43D32351-D199-4861-A69D-6DA0CBAD81C8}" name="PkaSolver" dataDxfId="107"/>
    <tableColumn id="18" xr3:uid="{2A2D9CF2-E859-4881-852C-BC633936E4DA}" name="ABS(X-Y)_PkaSolver" dataDxfId="106">
      <calculatedColumnFormula>ABS(G3-N3)</calculatedColumnFormula>
    </tableColumn>
    <tableColumn id="19" xr3:uid="{92D34F55-4305-4BA4-8B81-C9F4A6688775}" name="(X-Y)^2_PkaSolver" dataDxfId="105">
      <calculatedColumnFormula>O3^2</calculatedColumnFormula>
    </tableColumn>
    <tableColumn id="20" xr3:uid="{042A874D-959C-4A3C-8D26-FDA33307515C}" name="MolGpka" dataDxfId="104"/>
    <tableColumn id="21" xr3:uid="{82739276-4D44-48BD-B0C9-F0B3B1EA7A9E}" name="ABS(X-Y)_MolGpka" dataDxfId="103">
      <calculatedColumnFormula>ABS(G3-Q3)</calculatedColumnFormula>
    </tableColumn>
    <tableColumn id="22" xr3:uid="{2982266B-87E0-4688-8132-8E47A9FBD7AC}" name="(X-Y)^2_MolGpka" dataDxfId="102">
      <calculatedColumnFormula>R3^2</calculatedColumnFormula>
    </tableColumn>
    <tableColumn id="23" xr3:uid="{F5EBE56B-60FE-4247-99AF-C99B46044646}" name="OPERA" dataDxfId="101"/>
    <tableColumn id="24" xr3:uid="{73E7FC90-057A-4FFC-9CCE-8D40672252D9}" name="ABS(X-Y)_OPERA" dataDxfId="100">
      <calculatedColumnFormula>ABS(G3-T3)</calculatedColumnFormula>
    </tableColumn>
    <tableColumn id="25" xr3:uid="{9596D561-A98D-4F19-A345-2D584A099701}" name="(X-Y)^2_OPERA" dataDxfId="99">
      <calculatedColumnFormula>U3^2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C89A82-B58F-4D7D-BBAF-E6BB8F13AE82}" name="Table2" displayName="Table2" ref="A1:X30" totalsRowShown="0" headerRowDxfId="98">
  <autoFilter ref="A1:X30" xr:uid="{28C89A82-B58F-4D7D-BBAF-E6BB8F13AE82}"/>
  <tableColumns count="24">
    <tableColumn id="4" xr3:uid="{CAE1151B-14C8-4151-ABF3-45C80B3EC97E}" name="ID no."/>
    <tableColumn id="5" xr3:uid="{AAC3A077-1DBB-4C55-B415-09A9BEE50CF0}" name="Name"/>
    <tableColumn id="6" xr3:uid="{F17C17DB-5DA3-4379-BC6A-A15979978FCF}" name="Smiles" dataDxfId="97"/>
    <tableColumn id="7" xr3:uid="{39FDD7B6-38AD-4E30-B9F3-290AF66F375A}" name="Abbr."/>
    <tableColumn id="8" xr3:uid="{92152F62-F188-4EF7-AA8C-77247009136D}" name="Rf"/>
    <tableColumn id="9" xr3:uid="{1200C669-12AD-4F7A-A035-02B8B0604E31}" name="Rf branching"/>
    <tableColumn id="10" xr3:uid="{DEAF3A32-DF00-483D-A5EF-57EE37AA449F}" name="PFAS Type"/>
    <tableColumn id="11" xr3:uid="{E8AD1F30-C43A-4D0A-A408-ADE583723273}" name="Expt. " dataDxfId="96"/>
    <tableColumn id="12" xr3:uid="{68723E80-C2DC-45C3-A112-5107D045444F}" name="ChemAxon" dataDxfId="95"/>
    <tableColumn id="13" xr3:uid="{B51B5F1B-208C-434C-8141-DDBE2B9C7E85}" name="ABS(X-Y)_ChemAxon">
      <calculatedColumnFormula>ABS(H2-I2)</calculatedColumnFormula>
    </tableColumn>
    <tableColumn id="14" xr3:uid="{692E5E07-E03B-4B08-B8DD-DC227F4D0B11}" name="(X-Y)^2_ChemAxon">
      <calculatedColumnFormula>J2^2</calculatedColumnFormula>
    </tableColumn>
    <tableColumn id="15" xr3:uid="{391B290E-F166-4EF9-AA56-1FFB4BC660A7}" name="SPARC-web" dataDxfId="94"/>
    <tableColumn id="16" xr3:uid="{2F4AE815-74A0-416C-BECE-8927DFCF319F}" name="ABS(X-Y)_SPARC" dataDxfId="93">
      <calculatedColumnFormula>ABS(H2-L2)</calculatedColumnFormula>
    </tableColumn>
    <tableColumn id="17" xr3:uid="{604CDAEB-0D3A-44BB-8E7B-8C1B0B7C14E4}" name="(X-Y)^2_SPARC" dataDxfId="92">
      <calculatedColumnFormula>M2^2</calculatedColumnFormula>
    </tableColumn>
    <tableColumn id="18" xr3:uid="{711FE0F9-B781-4252-AB63-B1111F1BE6F3}" name="PkaSolver" dataDxfId="91"/>
    <tableColumn id="19" xr3:uid="{BA270E3A-D40F-4E3F-B189-793F9B4DD2EB}" name="ABS(X-Y)_PkaSolver" dataDxfId="90">
      <calculatedColumnFormula>ABS(H2-O2)</calculatedColumnFormula>
    </tableColumn>
    <tableColumn id="20" xr3:uid="{BC5A34AC-AFCA-44CB-9C59-087CBDF37BCE}" name="(X-Y)^2_PkaSolver" dataDxfId="89">
      <calculatedColumnFormula>P2^2</calculatedColumnFormula>
    </tableColumn>
    <tableColumn id="21" xr3:uid="{E77C545D-A84D-4FF7-B353-CD5C8A844A19}" name="MolGpka" dataDxfId="88"/>
    <tableColumn id="22" xr3:uid="{6BE05223-1112-4F9B-8532-D84838264CE8}" name="ABS(X-Y)_MolGpka" dataDxfId="87">
      <calculatedColumnFormula>ABS(H2-R2)</calculatedColumnFormula>
    </tableColumn>
    <tableColumn id="23" xr3:uid="{627CC72B-8933-4BEA-A7C5-27F8D24A523F}" name="(X-Y)^2_MolGpka" dataDxfId="86">
      <calculatedColumnFormula>S2^2</calculatedColumnFormula>
    </tableColumn>
    <tableColumn id="24" xr3:uid="{A75D7F86-AF17-4E51-9572-CB4AA7401F65}" name="OPERA" dataDxfId="85"/>
    <tableColumn id="25" xr3:uid="{D1B7EF70-C861-4384-9270-1DAFAEE9A98F}" name="ABS(X-Y)_OPERA" dataDxfId="84">
      <calculatedColumnFormula>ABS(H2-U2)</calculatedColumnFormula>
    </tableColumn>
    <tableColumn id="26" xr3:uid="{6E9DFACF-15E4-40F5-9C0D-437C27A8CC93}" name="(X-Y)^2_OPERA" dataDxfId="83">
      <calculatedColumnFormula>V2^2</calculatedColumnFormula>
    </tableColumn>
    <tableColumn id="27" xr3:uid="{5B6B2CA5-B888-4359-801B-C68F92955D19}" name="Datase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258E3A-D18A-4B2B-921C-C6216DA5554A}" name="Table3" displayName="Table3" ref="A1:U45" totalsRowShown="0" headerRowDxfId="82">
  <autoFilter ref="A1:U45" xr:uid="{01258E3A-D18A-4B2B-921C-C6216DA5554A}"/>
  <tableColumns count="21">
    <tableColumn id="5" xr3:uid="{A4B4132A-9837-4216-A156-B40963F0B884}" name="ID no." dataDxfId="81"/>
    <tableColumn id="6" xr3:uid="{77CF3895-B49E-4134-9439-895FE54A9012}" name="NAME"/>
    <tableColumn id="7" xr3:uid="{E94C544D-6581-4A35-880A-8080FBDBC800}" name="Cn"/>
    <tableColumn id="8" xr3:uid="{205977D9-6B70-4633-80F3-74AF67E35C8D}" name="pKa type"/>
    <tableColumn id="9" xr3:uid="{9BD39986-6E18-472D-8F79-7C5C5CECBB83}" name="SMILES" dataDxfId="80"/>
    <tableColumn id="10" xr3:uid="{CBE8A462-EA03-41B6-BB2A-F9304E4F72F2}" name="Expt" dataDxfId="79"/>
    <tableColumn id="11" xr3:uid="{22C30BCE-B82C-4279-A65E-BDE0B1FA758A}" name="ChemAxon" dataDxfId="78"/>
    <tableColumn id="12" xr3:uid="{B9B61AB1-98CE-4DA8-8D64-5AFADD6ACBCB}" name="ABS(X-Y)_ChemAxon" dataDxfId="77">
      <calculatedColumnFormula>ABS(F2-G2)</calculatedColumnFormula>
    </tableColumn>
    <tableColumn id="13" xr3:uid="{624A659C-D7A6-4C5B-9902-CFBD12360A13}" name="(X-Y)^2_ChemAxon" dataDxfId="76">
      <calculatedColumnFormula>H2^2</calculatedColumnFormula>
    </tableColumn>
    <tableColumn id="14" xr3:uid="{72C3403A-721D-4945-9F0E-C929D84D0501}" name="SPARC-web" dataDxfId="75"/>
    <tableColumn id="15" xr3:uid="{926B40B8-E6CB-43EE-BFCD-C4BCE43ED624}" name="ABS(X-Y)_SPARC" dataDxfId="74">
      <calculatedColumnFormula>ABS(F2-J2)</calculatedColumnFormula>
    </tableColumn>
    <tableColumn id="16" xr3:uid="{A32C851F-E2F4-4734-BD5A-54315196406E}" name="(X-Y)^2_SPARC" dataDxfId="73">
      <calculatedColumnFormula>K2^2</calculatedColumnFormula>
    </tableColumn>
    <tableColumn id="17" xr3:uid="{027319F6-5AA0-467A-831C-4BE83F3CAD7A}" name="PkaSolver" dataDxfId="72"/>
    <tableColumn id="18" xr3:uid="{C5B6CF18-E7BD-408E-B4E5-B3DA0795FE11}" name="ABS(X-Y)_PkaSolver" dataDxfId="71">
      <calculatedColumnFormula>ABS(F2-M2)</calculatedColumnFormula>
    </tableColumn>
    <tableColumn id="19" xr3:uid="{B6D8944F-D9DA-4AEF-9AFD-EF0860B118AA}" name="(X-Y)^2_PkaSolver" dataDxfId="70">
      <calculatedColumnFormula>N2^2</calculatedColumnFormula>
    </tableColumn>
    <tableColumn id="20" xr3:uid="{EAF8CEB9-FC57-4F1F-BEB6-0395914D0BB6}" name="MolGpka" dataDxfId="69"/>
    <tableColumn id="21" xr3:uid="{E6743B13-68D7-4B95-93B0-21786AB706FB}" name="ABS(X-Y)_MolGpka" dataDxfId="68">
      <calculatedColumnFormula>ABS(F2-P2)</calculatedColumnFormula>
    </tableColumn>
    <tableColumn id="22" xr3:uid="{EC18B803-93CE-4089-9304-B5299563362F}" name="(X-Y)^2_MolGpka" dataDxfId="67">
      <calculatedColumnFormula>Q2^2</calculatedColumnFormula>
    </tableColumn>
    <tableColumn id="23" xr3:uid="{8928346D-8813-4535-A1F8-3FC5E8B311BF}" name="OPERA" dataDxfId="66"/>
    <tableColumn id="24" xr3:uid="{8302C3B3-D662-49FA-BDB7-633957A57B84}" name="ABS(X-Y)_OPERA" dataDxfId="65">
      <calculatedColumnFormula>ABS(F2-S2)</calculatedColumnFormula>
    </tableColumn>
    <tableColumn id="25" xr3:uid="{20E4504C-E3BF-40B7-AAE9-9567EFDEAAD6}" name="(X-Y)^2_OPERA" dataDxfId="64">
      <calculatedColumnFormula>T2^2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0CFCA7-3906-4F21-AC49-A38A5AA74F6D}" name="Table4" displayName="Table4" ref="A1:V40" totalsRowShown="0" headerRowDxfId="63" dataDxfId="62">
  <autoFilter ref="A1:V40" xr:uid="{240CFCA7-3906-4F21-AC49-A38A5AA74F6D}"/>
  <tableColumns count="22">
    <tableColumn id="6" xr3:uid="{D63E7770-7DCD-4932-A7DC-A9BD74CD6AE9}" name="ID no." dataDxfId="61"/>
    <tableColumn id="7" xr3:uid="{53D7B304-BAED-4FB1-BB6F-924035582924}" name="Name" dataDxfId="60"/>
    <tableColumn id="8" xr3:uid="{5A75D752-CE0F-44A4-A857-33F94EF7D3A0}" name="Cn" dataDxfId="59"/>
    <tableColumn id="9" xr3:uid="{E3F8D029-5F37-4336-A0F2-975AACAD20E4}" name="Smiles" dataDxfId="58"/>
    <tableColumn id="10" xr3:uid="{CD64F074-9A38-4D34-8F20-2E3843FA747C}" name="Expt" dataDxfId="57"/>
    <tableColumn id="11" xr3:uid="{50D5977F-6C83-4D8A-A141-2AE41985166A}" name="ChemAxon" dataDxfId="56"/>
    <tableColumn id="12" xr3:uid="{A7077F98-22F9-498F-B9FD-0166DB16FC2C}" name="ABS(X-Y)_ChemAxon" dataDxfId="55">
      <calculatedColumnFormula>ABS(E2-F2)</calculatedColumnFormula>
    </tableColumn>
    <tableColumn id="13" xr3:uid="{EF1E4E67-7A9B-4031-9D84-39AAF9B5ED7B}" name="(X-Y)^2_ChemAxon" dataDxfId="54">
      <calculatedColumnFormula>G2^2</calculatedColumnFormula>
    </tableColumn>
    <tableColumn id="14" xr3:uid="{350BADFA-0104-424A-8BC2-A88B42E5E914}" name="SPARC-web" dataDxfId="53"/>
    <tableColumn id="15" xr3:uid="{96CAE54D-F026-464D-BEF3-70732CEF79E7}" name="ABS(X-Y)_SPARC" dataDxfId="52">
      <calculatedColumnFormula>ABS(E2-I2)</calculatedColumnFormula>
    </tableColumn>
    <tableColumn id="16" xr3:uid="{8210C6E9-46AE-4ED9-89E3-BE6A10B538E7}" name="(X-Y)^2_SPARC" dataDxfId="51">
      <calculatedColumnFormula>J2^2</calculatedColumnFormula>
    </tableColumn>
    <tableColumn id="17" xr3:uid="{67809921-B1E3-4E72-9DD8-15E8AFDC52CA}" name="PkaSolver" dataDxfId="50"/>
    <tableColumn id="18" xr3:uid="{B7AFAAF2-F0BD-4DD5-97EA-1208EB23B3DC}" name="ABS(X-Y)_PkaSolver" dataDxfId="49">
      <calculatedColumnFormula>ABS(E2-L2)</calculatedColumnFormula>
    </tableColumn>
    <tableColumn id="19" xr3:uid="{AAFB4367-044B-4EFB-A39D-AE1DAE836174}" name="(X-Y)^2_PkaSolver" dataDxfId="48">
      <calculatedColumnFormula>M2^2</calculatedColumnFormula>
    </tableColumn>
    <tableColumn id="20" xr3:uid="{5CE8756A-3FCD-4EE0-A675-92809F6383A6}" name="MolGpka" dataDxfId="47"/>
    <tableColumn id="21" xr3:uid="{EB37878A-32D8-4A4E-A701-68C2BA24324D}" name="ABS(X-Y)_MolGpka" dataDxfId="46">
      <calculatedColumnFormula>ABS(E2-O2)</calculatedColumnFormula>
    </tableColumn>
    <tableColumn id="22" xr3:uid="{8C00AEA2-ED0A-4AC3-A185-A0872CC9E52F}" name="(X-Y)^2_MolGpka" dataDxfId="45">
      <calculatedColumnFormula>P2^2</calculatedColumnFormula>
    </tableColumn>
    <tableColumn id="23" xr3:uid="{E51801DA-BD1E-4228-8233-806681787AC6}" name="OPERA" dataDxfId="44"/>
    <tableColumn id="24" xr3:uid="{9C803546-F9A3-4ED9-A9EF-019014EA679A}" name="ABS(X-Y)_OPERA" dataDxfId="43">
      <calculatedColumnFormula>ABS(E2-R2)</calculatedColumnFormula>
    </tableColumn>
    <tableColumn id="25" xr3:uid="{B6A9FE82-482F-4A82-9E0A-A097BA2AD314}" name="(X-Y)^2_OPERA" dataDxfId="42">
      <calculatedColumnFormula>S2^2</calculatedColumnFormula>
    </tableColumn>
    <tableColumn id="28" xr3:uid="{1E41628D-BD07-4E9E-8897-00013A6B5064}" name="Ref" dataDxfId="41"/>
    <tableColumn id="27" xr3:uid="{1999F236-F5A4-4F53-89D1-37E3A7B35AA3}" name="DOI" dataDxfId="4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60CD8E-5150-4F64-8BFF-6F7E0FEF2C16}" name="Table5" displayName="Table5" ref="A1:M18" totalsRowShown="0" dataDxfId="39">
  <autoFilter ref="A1:M18" xr:uid="{D860CD8E-5150-4F64-8BFF-6F7E0FEF2C16}"/>
  <tableColumns count="13">
    <tableColumn id="5" xr3:uid="{A01B4AAC-D289-4032-91EC-91DF5CC1F372}" name="ID no." dataDxfId="38"/>
    <tableColumn id="6" xr3:uid="{3E880EB8-83EA-40B7-880B-F60D87FB4F3F}" name="Name" dataDxfId="37"/>
    <tableColumn id="7" xr3:uid="{A67FFE51-C770-4B9C-8EC9-E320738CCF6D}" name="Abbrev." dataDxfId="36"/>
    <tableColumn id="8" xr3:uid="{6795C47C-0B0C-41A3-B85E-3CBA4BA74CBD}" name="Rf" dataDxfId="35"/>
    <tableColumn id="9" xr3:uid="{24557980-DDFC-478A-90BC-45750A548CC3}" name="CAS#" dataDxfId="34"/>
    <tableColumn id="10" xr3:uid="{AB9A7C8C-0EE4-474E-B40B-FEB3ECB8B232}" name="Smiles" dataDxfId="33"/>
    <tableColumn id="11" xr3:uid="{AA71E99F-E037-47BF-94AC-7063F0537155}" name="Expt. pKa" dataDxfId="32"/>
    <tableColumn id="12" xr3:uid="{64E979CA-8D4C-46FC-BE3E-1CC415E1872F}" name="Chemaxon" dataDxfId="31"/>
    <tableColumn id="13" xr3:uid="{9D772835-714A-4615-846E-4C8E8F008349}" name="SPARC" dataDxfId="30"/>
    <tableColumn id="14" xr3:uid="{819D7230-C685-43B5-AD12-DE43F0B27079}" name="Pkasolver" dataDxfId="29"/>
    <tableColumn id="15" xr3:uid="{64671496-06A5-46A2-AC93-836F2E1EEC67}" name="MolGpka" dataDxfId="28"/>
    <tableColumn id="16" xr3:uid="{5D0EB803-79D0-4971-963F-909CB6067DC3}" name="OPERA" dataDxfId="27"/>
    <tableColumn id="17" xr3:uid="{CD638595-AD50-4F89-B12D-2844891DDAA0}" name="Ref." dataDxfId="2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18EC51-A523-405B-92C4-6FBC57C751E4}" name="Table6" displayName="Table6" ref="A1:L10" totalsRowShown="0" headerRowDxfId="25" dataDxfId="24">
  <autoFilter ref="A1:L10" xr:uid="{8E18EC51-A523-405B-92C4-6FBC57C751E4}"/>
  <tableColumns count="12">
    <tableColumn id="5" xr3:uid="{46B9304F-B1A4-40F7-922C-64A2DAFC38E4}" name="ID no." dataDxfId="23"/>
    <tableColumn id="6" xr3:uid="{075D2F99-0605-404C-8632-CD32CF49F29E}" name="Name" dataDxfId="22"/>
    <tableColumn id="7" xr3:uid="{3F223562-1F30-4A3E-BBFB-51407C9C98A7}" name="Perfluorinated carbons" dataDxfId="21"/>
    <tableColumn id="8" xr3:uid="{54DF6221-6F36-42D8-BD49-6EAA8B64507F}" name="CAS#" dataDxfId="20"/>
    <tableColumn id="9" xr3:uid="{123BDF3D-EF26-43CD-961B-498D201D27A4}" name="Smiles" dataDxfId="19"/>
    <tableColumn id="10" xr3:uid="{B08D18EC-48D1-41B7-A983-FDFE98E9C190}" name="Expt. pKa" dataDxfId="18"/>
    <tableColumn id="11" xr3:uid="{26BDD181-DDAF-4BEA-9649-57D4B775B81F}" name="Chemaxon" dataDxfId="17"/>
    <tableColumn id="12" xr3:uid="{CFA5422F-3189-4B23-B3F2-6F8F7857D668}" name="SPARC" dataDxfId="16"/>
    <tableColumn id="13" xr3:uid="{C4E5A0DA-B331-4EF2-81A5-701CC5FF0C08}" name="Pkasolver" dataDxfId="15"/>
    <tableColumn id="14" xr3:uid="{233E5182-D345-4812-9EA6-B11BAF61A2AB}" name="MolGpka" dataDxfId="14"/>
    <tableColumn id="15" xr3:uid="{CAE27801-CDEF-4CD0-93A2-8BE6B25F5004}" name="OPERA" dataDxfId="13"/>
    <tableColumn id="16" xr3:uid="{1CF43016-B923-4B4D-A7F4-A5D3924D0C90}" name="Ref." dataDxfId="1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A2F4D9B-B5BC-4293-844E-A745E71F1729}" name="Table7" displayName="Table7" ref="A1:N8" totalsRowShown="0" headerRowDxfId="11">
  <autoFilter ref="A1:N8" xr:uid="{8A2F4D9B-B5BC-4293-844E-A745E71F1729}"/>
  <tableColumns count="14">
    <tableColumn id="5" xr3:uid="{BCBB27EF-A754-4E84-9AF4-A53591A67524}" name="ID no." dataDxfId="10"/>
    <tableColumn id="6" xr3:uid="{4DBDBD9D-A423-4448-A3DA-427C552C3DF7}" name="CAS#" dataDxfId="9"/>
    <tableColumn id="7" xr3:uid="{F6537C5B-7E86-4AF9-85BC-C4A52E4A7757}" name="DTXID/InChlKey"/>
    <tableColumn id="8" xr3:uid="{429F5F4D-CE02-4415-BB83-B919570AF499}" name="Name"/>
    <tableColumn id="9" xr3:uid="{5EB05017-575E-4660-B650-5B5D92E8AF54}" name="Abbr."/>
    <tableColumn id="10" xr3:uid="{1CD1A5FA-05E6-4080-8B96-71ADEA27E32A}" name="Rf" dataDxfId="8"/>
    <tableColumn id="11" xr3:uid="{1D5E10D4-6C6C-4DA2-A409-D5CCE8A097BA}" name="SMILES" dataDxfId="7"/>
    <tableColumn id="12" xr3:uid="{E921F68E-596A-4102-9FC7-EB6E6ADCBEB3}" name="Expt pKa" dataDxfId="6"/>
    <tableColumn id="13" xr3:uid="{6CB84360-F4A8-438A-9EEE-3F5536A21223}" name="ChemAxon" dataDxfId="5"/>
    <tableColumn id="14" xr3:uid="{5706AE0E-A703-4027-9AB7-403568145D3C}" name="SPARC" dataDxfId="4"/>
    <tableColumn id="15" xr3:uid="{89E5BAB4-0401-4FC2-AD1A-118D803A0A56}" name="PkaSolver (low)" dataDxfId="3"/>
    <tableColumn id="16" xr3:uid="{0EABA467-583B-4A35-87F2-506B486787CD}" name="MolGpka" dataDxfId="2"/>
    <tableColumn id="17" xr3:uid="{17957E33-97C5-4EC1-91F0-135846AB481D}" name="OPERA" dataDxfId="1"/>
    <tableColumn id="18" xr3:uid="{628F4FDC-89DC-4D14-9121-95727441DB10}" name="PkaSolver (high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ECEA-2DC7-4F7B-848F-F0D60C44F7FF}">
  <dimension ref="A1:C155"/>
  <sheetViews>
    <sheetView tabSelected="1" workbookViewId="0"/>
  </sheetViews>
  <sheetFormatPr defaultRowHeight="14.4" x14ac:dyDescent="0.3"/>
  <cols>
    <col min="1" max="1" width="7.5546875" style="25" bestFit="1" customWidth="1"/>
    <col min="2" max="2" width="28" bestFit="1" customWidth="1"/>
    <col min="3" max="3" width="56.88671875" customWidth="1"/>
  </cols>
  <sheetData>
    <row r="1" spans="1:3" x14ac:dyDescent="0.3">
      <c r="A1" s="25" t="s">
        <v>515</v>
      </c>
    </row>
    <row r="3" spans="1:3" x14ac:dyDescent="0.3">
      <c r="A3" s="48" t="s">
        <v>534</v>
      </c>
    </row>
    <row r="4" spans="1:3" ht="28.8" x14ac:dyDescent="0.3">
      <c r="A4" s="55" t="s">
        <v>429</v>
      </c>
      <c r="B4" s="56" t="s">
        <v>430</v>
      </c>
      <c r="C4" s="56" t="s">
        <v>431</v>
      </c>
    </row>
    <row r="5" spans="1:3" x14ac:dyDescent="0.3">
      <c r="A5" s="57" t="s">
        <v>432</v>
      </c>
      <c r="B5" s="41" t="s">
        <v>1</v>
      </c>
      <c r="C5" s="40" t="s">
        <v>457</v>
      </c>
    </row>
    <row r="6" spans="1:3" x14ac:dyDescent="0.3">
      <c r="A6" s="57" t="s">
        <v>433</v>
      </c>
      <c r="B6" s="41" t="s">
        <v>2</v>
      </c>
      <c r="C6" s="40" t="s">
        <v>460</v>
      </c>
    </row>
    <row r="7" spans="1:3" x14ac:dyDescent="0.3">
      <c r="A7" s="57" t="s">
        <v>434</v>
      </c>
      <c r="B7" s="41" t="s">
        <v>248</v>
      </c>
      <c r="C7" s="40" t="s">
        <v>474</v>
      </c>
    </row>
    <row r="8" spans="1:3" x14ac:dyDescent="0.3">
      <c r="A8" s="57" t="s">
        <v>435</v>
      </c>
      <c r="B8" s="41" t="s">
        <v>3</v>
      </c>
      <c r="C8" s="40" t="s">
        <v>459</v>
      </c>
    </row>
    <row r="9" spans="1:3" x14ac:dyDescent="0.3">
      <c r="A9" s="57" t="s">
        <v>436</v>
      </c>
      <c r="B9" s="50" t="s">
        <v>4</v>
      </c>
      <c r="C9" s="40" t="s">
        <v>494</v>
      </c>
    </row>
    <row r="10" spans="1:3" x14ac:dyDescent="0.3">
      <c r="A10" s="57" t="s">
        <v>437</v>
      </c>
      <c r="B10" s="81" t="s">
        <v>5</v>
      </c>
      <c r="C10" s="40" t="s">
        <v>498</v>
      </c>
    </row>
    <row r="11" spans="1:3" x14ac:dyDescent="0.3">
      <c r="A11" s="57" t="s">
        <v>438</v>
      </c>
      <c r="B11" s="51" t="s">
        <v>112</v>
      </c>
      <c r="C11" s="40" t="s">
        <v>458</v>
      </c>
    </row>
    <row r="12" spans="1:3" x14ac:dyDescent="0.3">
      <c r="A12" s="58" t="s">
        <v>439</v>
      </c>
      <c r="B12" s="43" t="s">
        <v>7</v>
      </c>
      <c r="C12" s="40" t="s">
        <v>461</v>
      </c>
    </row>
    <row r="13" spans="1:3" x14ac:dyDescent="0.3">
      <c r="A13" s="57" t="s">
        <v>440</v>
      </c>
      <c r="B13" s="40" t="s">
        <v>485</v>
      </c>
      <c r="C13" s="40" t="s">
        <v>463</v>
      </c>
    </row>
    <row r="14" spans="1:3" ht="28.8" x14ac:dyDescent="0.3">
      <c r="A14" s="57" t="s">
        <v>441</v>
      </c>
      <c r="B14" s="40" t="s">
        <v>486</v>
      </c>
      <c r="C14" s="47" t="s">
        <v>464</v>
      </c>
    </row>
    <row r="15" spans="1:3" x14ac:dyDescent="0.3">
      <c r="A15" s="57" t="s">
        <v>442</v>
      </c>
      <c r="B15" s="43" t="s">
        <v>8</v>
      </c>
      <c r="C15" s="40" t="s">
        <v>462</v>
      </c>
    </row>
    <row r="16" spans="1:3" x14ac:dyDescent="0.3">
      <c r="A16" s="57" t="s">
        <v>443</v>
      </c>
      <c r="B16" s="45" t="s">
        <v>477</v>
      </c>
      <c r="C16" s="40" t="s">
        <v>466</v>
      </c>
    </row>
    <row r="17" spans="1:3" ht="28.8" x14ac:dyDescent="0.3">
      <c r="A17" s="57" t="s">
        <v>444</v>
      </c>
      <c r="B17" s="45" t="s">
        <v>478</v>
      </c>
      <c r="C17" s="47" t="s">
        <v>465</v>
      </c>
    </row>
    <row r="18" spans="1:3" x14ac:dyDescent="0.3">
      <c r="A18" s="57" t="s">
        <v>445</v>
      </c>
      <c r="B18" s="43" t="s">
        <v>9</v>
      </c>
      <c r="C18" s="40" t="s">
        <v>473</v>
      </c>
    </row>
    <row r="19" spans="1:3" x14ac:dyDescent="0.3">
      <c r="A19" s="57" t="s">
        <v>446</v>
      </c>
      <c r="B19" s="45" t="s">
        <v>479</v>
      </c>
      <c r="C19" s="40" t="s">
        <v>471</v>
      </c>
    </row>
    <row r="20" spans="1:3" ht="28.8" x14ac:dyDescent="0.3">
      <c r="A20" s="57" t="s">
        <v>447</v>
      </c>
      <c r="B20" s="45" t="s">
        <v>480</v>
      </c>
      <c r="C20" s="47" t="s">
        <v>472</v>
      </c>
    </row>
    <row r="21" spans="1:3" x14ac:dyDescent="0.3">
      <c r="A21" s="57" t="s">
        <v>448</v>
      </c>
      <c r="B21" s="43" t="s">
        <v>10</v>
      </c>
      <c r="C21" s="40"/>
    </row>
    <row r="22" spans="1:3" x14ac:dyDescent="0.3">
      <c r="A22" s="57" t="s">
        <v>449</v>
      </c>
      <c r="B22" s="45" t="s">
        <v>481</v>
      </c>
      <c r="C22" s="40" t="s">
        <v>469</v>
      </c>
    </row>
    <row r="23" spans="1:3" ht="28.8" x14ac:dyDescent="0.3">
      <c r="A23" s="57" t="s">
        <v>450</v>
      </c>
      <c r="B23" s="45" t="s">
        <v>482</v>
      </c>
      <c r="C23" s="47" t="s">
        <v>468</v>
      </c>
    </row>
    <row r="24" spans="1:3" x14ac:dyDescent="0.3">
      <c r="A24" s="57" t="s">
        <v>451</v>
      </c>
      <c r="B24" s="43" t="s">
        <v>11</v>
      </c>
      <c r="C24" s="40"/>
    </row>
    <row r="25" spans="1:3" x14ac:dyDescent="0.3">
      <c r="A25" s="57" t="s">
        <v>452</v>
      </c>
      <c r="B25" s="45" t="s">
        <v>483</v>
      </c>
      <c r="C25" s="40" t="s">
        <v>470</v>
      </c>
    </row>
    <row r="26" spans="1:3" ht="28.8" x14ac:dyDescent="0.3">
      <c r="A26" s="57" t="s">
        <v>453</v>
      </c>
      <c r="B26" s="45" t="s">
        <v>484</v>
      </c>
      <c r="C26" s="47" t="s">
        <v>467</v>
      </c>
    </row>
    <row r="27" spans="1:3" x14ac:dyDescent="0.3">
      <c r="A27" s="57" t="s">
        <v>454</v>
      </c>
      <c r="B27" s="45" t="s">
        <v>387</v>
      </c>
      <c r="C27" s="47" t="s">
        <v>499</v>
      </c>
    </row>
    <row r="28" spans="1:3" x14ac:dyDescent="0.3">
      <c r="A28"/>
    </row>
    <row r="29" spans="1:3" x14ac:dyDescent="0.3">
      <c r="A29" s="59" t="s">
        <v>535</v>
      </c>
      <c r="B29" s="45"/>
      <c r="C29" s="47"/>
    </row>
    <row r="30" spans="1:3" ht="28.8" x14ac:dyDescent="0.3">
      <c r="A30" s="55" t="s">
        <v>429</v>
      </c>
      <c r="B30" s="56" t="s">
        <v>430</v>
      </c>
      <c r="C30" s="56" t="s">
        <v>431</v>
      </c>
    </row>
    <row r="31" spans="1:3" x14ac:dyDescent="0.3">
      <c r="A31" s="57" t="s">
        <v>432</v>
      </c>
      <c r="B31" s="49" t="s">
        <v>1</v>
      </c>
      <c r="C31" s="40" t="s">
        <v>457</v>
      </c>
    </row>
    <row r="32" spans="1:3" x14ac:dyDescent="0.3">
      <c r="A32" s="57" t="s">
        <v>433</v>
      </c>
      <c r="B32" s="49" t="s">
        <v>109</v>
      </c>
      <c r="C32" s="40" t="s">
        <v>460</v>
      </c>
    </row>
    <row r="33" spans="1:3" x14ac:dyDescent="0.3">
      <c r="A33" s="57" t="s">
        <v>434</v>
      </c>
      <c r="B33" s="50" t="s">
        <v>4</v>
      </c>
      <c r="C33" s="40" t="s">
        <v>494</v>
      </c>
    </row>
    <row r="34" spans="1:3" x14ac:dyDescent="0.3">
      <c r="A34" s="57" t="s">
        <v>435</v>
      </c>
      <c r="B34" s="49" t="s">
        <v>110</v>
      </c>
      <c r="C34" s="40" t="s">
        <v>474</v>
      </c>
    </row>
    <row r="35" spans="1:3" x14ac:dyDescent="0.3">
      <c r="A35" s="57" t="s">
        <v>436</v>
      </c>
      <c r="B35" s="49" t="s">
        <v>3</v>
      </c>
      <c r="C35" s="40" t="s">
        <v>459</v>
      </c>
    </row>
    <row r="36" spans="1:3" x14ac:dyDescent="0.3">
      <c r="A36" s="57" t="s">
        <v>437</v>
      </c>
      <c r="B36" s="49" t="s">
        <v>111</v>
      </c>
      <c r="C36" s="40" t="s">
        <v>500</v>
      </c>
    </row>
    <row r="37" spans="1:3" x14ac:dyDescent="0.3">
      <c r="A37" s="57" t="s">
        <v>438</v>
      </c>
      <c r="B37" s="49" t="s">
        <v>475</v>
      </c>
      <c r="C37" s="40" t="s">
        <v>476</v>
      </c>
    </row>
    <row r="38" spans="1:3" x14ac:dyDescent="0.3">
      <c r="A38" s="58" t="s">
        <v>439</v>
      </c>
      <c r="B38" s="51" t="s">
        <v>112</v>
      </c>
      <c r="C38" s="40" t="s">
        <v>458</v>
      </c>
    </row>
    <row r="39" spans="1:3" x14ac:dyDescent="0.3">
      <c r="A39" s="57" t="s">
        <v>440</v>
      </c>
      <c r="B39" s="43" t="s">
        <v>7</v>
      </c>
      <c r="C39" s="40" t="s">
        <v>461</v>
      </c>
    </row>
    <row r="40" spans="1:3" x14ac:dyDescent="0.3">
      <c r="A40" s="57" t="s">
        <v>441</v>
      </c>
      <c r="B40" s="40" t="s">
        <v>485</v>
      </c>
      <c r="C40" s="40" t="s">
        <v>463</v>
      </c>
    </row>
    <row r="41" spans="1:3" ht="28.8" x14ac:dyDescent="0.3">
      <c r="A41" s="57" t="s">
        <v>442</v>
      </c>
      <c r="B41" s="40" t="s">
        <v>486</v>
      </c>
      <c r="C41" s="47" t="s">
        <v>464</v>
      </c>
    </row>
    <row r="42" spans="1:3" x14ac:dyDescent="0.3">
      <c r="A42" s="57" t="s">
        <v>443</v>
      </c>
      <c r="B42" s="43" t="s">
        <v>8</v>
      </c>
      <c r="C42" s="40" t="s">
        <v>462</v>
      </c>
    </row>
    <row r="43" spans="1:3" x14ac:dyDescent="0.3">
      <c r="A43" s="57" t="s">
        <v>444</v>
      </c>
      <c r="B43" s="45" t="s">
        <v>477</v>
      </c>
      <c r="C43" s="40" t="s">
        <v>466</v>
      </c>
    </row>
    <row r="44" spans="1:3" ht="28.8" x14ac:dyDescent="0.3">
      <c r="A44" s="57" t="s">
        <v>445</v>
      </c>
      <c r="B44" s="45" t="s">
        <v>478</v>
      </c>
      <c r="C44" s="47" t="s">
        <v>465</v>
      </c>
    </row>
    <row r="45" spans="1:3" x14ac:dyDescent="0.3">
      <c r="A45" s="57" t="s">
        <v>446</v>
      </c>
      <c r="B45" s="43" t="s">
        <v>9</v>
      </c>
      <c r="C45" s="40" t="s">
        <v>473</v>
      </c>
    </row>
    <row r="46" spans="1:3" x14ac:dyDescent="0.3">
      <c r="A46" s="57" t="s">
        <v>447</v>
      </c>
      <c r="B46" s="45" t="s">
        <v>479</v>
      </c>
      <c r="C46" s="40" t="s">
        <v>471</v>
      </c>
    </row>
    <row r="47" spans="1:3" ht="28.8" x14ac:dyDescent="0.3">
      <c r="A47" s="57" t="s">
        <v>448</v>
      </c>
      <c r="B47" s="45" t="s">
        <v>480</v>
      </c>
      <c r="C47" s="47" t="s">
        <v>472</v>
      </c>
    </row>
    <row r="48" spans="1:3" x14ac:dyDescent="0.3">
      <c r="A48" s="57" t="s">
        <v>449</v>
      </c>
      <c r="B48" s="43" t="s">
        <v>10</v>
      </c>
      <c r="C48" s="40"/>
    </row>
    <row r="49" spans="1:3" x14ac:dyDescent="0.3">
      <c r="A49" s="57" t="s">
        <v>450</v>
      </c>
      <c r="B49" s="45" t="s">
        <v>481</v>
      </c>
      <c r="C49" s="40" t="s">
        <v>469</v>
      </c>
    </row>
    <row r="50" spans="1:3" ht="28.8" x14ac:dyDescent="0.3">
      <c r="A50" s="57" t="s">
        <v>451</v>
      </c>
      <c r="B50" s="45" t="s">
        <v>482</v>
      </c>
      <c r="C50" s="47" t="s">
        <v>468</v>
      </c>
    </row>
    <row r="51" spans="1:3" x14ac:dyDescent="0.3">
      <c r="A51" s="57" t="s">
        <v>452</v>
      </c>
      <c r="B51" s="43" t="s">
        <v>11</v>
      </c>
      <c r="C51" s="40"/>
    </row>
    <row r="52" spans="1:3" x14ac:dyDescent="0.3">
      <c r="A52" s="57" t="s">
        <v>453</v>
      </c>
      <c r="B52" s="45" t="s">
        <v>483</v>
      </c>
      <c r="C52" s="40" t="s">
        <v>470</v>
      </c>
    </row>
    <row r="53" spans="1:3" ht="28.8" x14ac:dyDescent="0.3">
      <c r="A53" s="57" t="s">
        <v>454</v>
      </c>
      <c r="B53" s="45" t="s">
        <v>484</v>
      </c>
      <c r="C53" s="47" t="s">
        <v>467</v>
      </c>
    </row>
    <row r="54" spans="1:3" x14ac:dyDescent="0.3">
      <c r="A54" s="57" t="s">
        <v>455</v>
      </c>
      <c r="B54" s="45" t="s">
        <v>513</v>
      </c>
      <c r="C54" s="47" t="s">
        <v>514</v>
      </c>
    </row>
    <row r="55" spans="1:3" x14ac:dyDescent="0.3">
      <c r="A55" s="57" t="s">
        <v>456</v>
      </c>
      <c r="B55" s="45" t="s">
        <v>387</v>
      </c>
      <c r="C55" s="47" t="s">
        <v>499</v>
      </c>
    </row>
    <row r="56" spans="1:3" x14ac:dyDescent="0.3">
      <c r="A56"/>
    </row>
    <row r="57" spans="1:3" x14ac:dyDescent="0.3">
      <c r="A57" s="60" t="s">
        <v>511</v>
      </c>
      <c r="B57" s="49"/>
      <c r="C57" s="40"/>
    </row>
    <row r="58" spans="1:3" ht="28.8" x14ac:dyDescent="0.3">
      <c r="A58" s="55" t="s">
        <v>429</v>
      </c>
      <c r="B58" s="56" t="s">
        <v>430</v>
      </c>
      <c r="C58" s="56" t="s">
        <v>431</v>
      </c>
    </row>
    <row r="59" spans="1:3" x14ac:dyDescent="0.3">
      <c r="A59" s="57" t="s">
        <v>432</v>
      </c>
      <c r="B59" s="49" t="s">
        <v>1</v>
      </c>
      <c r="C59" s="40" t="s">
        <v>457</v>
      </c>
    </row>
    <row r="60" spans="1:3" x14ac:dyDescent="0.3">
      <c r="A60" s="57" t="s">
        <v>433</v>
      </c>
      <c r="B60" s="49" t="s">
        <v>175</v>
      </c>
      <c r="C60" s="40" t="s">
        <v>460</v>
      </c>
    </row>
    <row r="61" spans="1:3" x14ac:dyDescent="0.3">
      <c r="A61" s="57" t="s">
        <v>434</v>
      </c>
      <c r="B61" s="49" t="s">
        <v>176</v>
      </c>
      <c r="C61" s="40" t="s">
        <v>474</v>
      </c>
    </row>
    <row r="62" spans="1:3" x14ac:dyDescent="0.3">
      <c r="A62" s="57" t="s">
        <v>435</v>
      </c>
      <c r="B62" s="49" t="s">
        <v>382</v>
      </c>
      <c r="C62" s="40" t="s">
        <v>501</v>
      </c>
    </row>
    <row r="63" spans="1:3" x14ac:dyDescent="0.3">
      <c r="A63" s="57" t="s">
        <v>436</v>
      </c>
      <c r="B63" s="50" t="s">
        <v>4</v>
      </c>
      <c r="C63" s="40" t="s">
        <v>494</v>
      </c>
    </row>
    <row r="64" spans="1:3" x14ac:dyDescent="0.3">
      <c r="A64" s="57" t="s">
        <v>437</v>
      </c>
      <c r="B64" s="44" t="s">
        <v>6</v>
      </c>
      <c r="C64" s="40" t="s">
        <v>458</v>
      </c>
    </row>
    <row r="65" spans="1:3" x14ac:dyDescent="0.3">
      <c r="A65" s="57" t="s">
        <v>438</v>
      </c>
      <c r="B65" s="43" t="s">
        <v>7</v>
      </c>
      <c r="C65" s="40" t="s">
        <v>461</v>
      </c>
    </row>
    <row r="66" spans="1:3" x14ac:dyDescent="0.3">
      <c r="A66" s="58" t="s">
        <v>439</v>
      </c>
      <c r="B66" s="40" t="s">
        <v>485</v>
      </c>
      <c r="C66" s="40" t="s">
        <v>463</v>
      </c>
    </row>
    <row r="67" spans="1:3" ht="28.8" x14ac:dyDescent="0.3">
      <c r="A67" s="57" t="s">
        <v>440</v>
      </c>
      <c r="B67" s="40" t="s">
        <v>486</v>
      </c>
      <c r="C67" s="47" t="s">
        <v>464</v>
      </c>
    </row>
    <row r="68" spans="1:3" x14ac:dyDescent="0.3">
      <c r="A68" s="57" t="s">
        <v>441</v>
      </c>
      <c r="B68" s="43" t="s">
        <v>8</v>
      </c>
      <c r="C68" s="40" t="s">
        <v>462</v>
      </c>
    </row>
    <row r="69" spans="1:3" x14ac:dyDescent="0.3">
      <c r="A69" s="57" t="s">
        <v>442</v>
      </c>
      <c r="B69" s="45" t="s">
        <v>477</v>
      </c>
      <c r="C69" s="40" t="s">
        <v>466</v>
      </c>
    </row>
    <row r="70" spans="1:3" ht="28.8" x14ac:dyDescent="0.3">
      <c r="A70" s="57" t="s">
        <v>443</v>
      </c>
      <c r="B70" s="45" t="s">
        <v>478</v>
      </c>
      <c r="C70" s="47" t="s">
        <v>465</v>
      </c>
    </row>
    <row r="71" spans="1:3" x14ac:dyDescent="0.3">
      <c r="A71" s="57" t="s">
        <v>444</v>
      </c>
      <c r="B71" s="43" t="s">
        <v>9</v>
      </c>
      <c r="C71" s="40" t="s">
        <v>473</v>
      </c>
    </row>
    <row r="72" spans="1:3" x14ac:dyDescent="0.3">
      <c r="A72" s="57" t="s">
        <v>445</v>
      </c>
      <c r="B72" s="45" t="s">
        <v>479</v>
      </c>
      <c r="C72" s="40" t="s">
        <v>471</v>
      </c>
    </row>
    <row r="73" spans="1:3" ht="28.8" x14ac:dyDescent="0.3">
      <c r="A73" s="57" t="s">
        <v>446</v>
      </c>
      <c r="B73" s="45" t="s">
        <v>480</v>
      </c>
      <c r="C73" s="47" t="s">
        <v>472</v>
      </c>
    </row>
    <row r="74" spans="1:3" x14ac:dyDescent="0.3">
      <c r="A74" s="57" t="s">
        <v>447</v>
      </c>
      <c r="B74" s="43" t="s">
        <v>10</v>
      </c>
      <c r="C74" s="40"/>
    </row>
    <row r="75" spans="1:3" x14ac:dyDescent="0.3">
      <c r="A75" s="57" t="s">
        <v>448</v>
      </c>
      <c r="B75" s="45" t="s">
        <v>481</v>
      </c>
      <c r="C75" s="40" t="s">
        <v>469</v>
      </c>
    </row>
    <row r="76" spans="1:3" ht="28.8" x14ac:dyDescent="0.3">
      <c r="A76" s="57" t="s">
        <v>449</v>
      </c>
      <c r="B76" s="45" t="s">
        <v>482</v>
      </c>
      <c r="C76" s="47" t="s">
        <v>468</v>
      </c>
    </row>
    <row r="77" spans="1:3" x14ac:dyDescent="0.3">
      <c r="A77" s="57" t="s">
        <v>450</v>
      </c>
      <c r="B77" s="43" t="s">
        <v>11</v>
      </c>
      <c r="C77" s="40"/>
    </row>
    <row r="78" spans="1:3" x14ac:dyDescent="0.3">
      <c r="A78" s="57" t="s">
        <v>451</v>
      </c>
      <c r="B78" s="45" t="s">
        <v>483</v>
      </c>
      <c r="C78" s="40" t="s">
        <v>470</v>
      </c>
    </row>
    <row r="79" spans="1:3" ht="28.8" x14ac:dyDescent="0.3">
      <c r="A79" s="57" t="s">
        <v>452</v>
      </c>
      <c r="B79" s="45" t="s">
        <v>484</v>
      </c>
      <c r="C79" s="47" t="s">
        <v>467</v>
      </c>
    </row>
    <row r="80" spans="1:3" x14ac:dyDescent="0.3">
      <c r="A80" s="57" t="s">
        <v>453</v>
      </c>
      <c r="B80" s="45" t="s">
        <v>387</v>
      </c>
      <c r="C80" s="47" t="s">
        <v>499</v>
      </c>
    </row>
    <row r="81" spans="1:3" x14ac:dyDescent="0.3">
      <c r="A81"/>
    </row>
    <row r="82" spans="1:3" x14ac:dyDescent="0.3">
      <c r="A82" s="60" t="s">
        <v>512</v>
      </c>
      <c r="B82" s="49"/>
      <c r="C82" s="40"/>
    </row>
    <row r="83" spans="1:3" ht="28.8" x14ac:dyDescent="0.3">
      <c r="A83" s="55" t="s">
        <v>429</v>
      </c>
      <c r="B83" s="56" t="s">
        <v>430</v>
      </c>
      <c r="C83" s="56" t="s">
        <v>431</v>
      </c>
    </row>
    <row r="84" spans="1:3" x14ac:dyDescent="0.3">
      <c r="A84" s="57" t="s">
        <v>432</v>
      </c>
      <c r="B84" s="52" t="s">
        <v>1</v>
      </c>
      <c r="C84" s="40" t="s">
        <v>457</v>
      </c>
    </row>
    <row r="85" spans="1:3" x14ac:dyDescent="0.3">
      <c r="A85" s="57" t="s">
        <v>433</v>
      </c>
      <c r="B85" s="52" t="s">
        <v>109</v>
      </c>
      <c r="C85" s="40" t="s">
        <v>460</v>
      </c>
    </row>
    <row r="86" spans="1:3" x14ac:dyDescent="0.3">
      <c r="A86" s="57" t="s">
        <v>434</v>
      </c>
      <c r="B86" s="52" t="s">
        <v>176</v>
      </c>
      <c r="C86" s="54" t="s">
        <v>492</v>
      </c>
    </row>
    <row r="87" spans="1:3" x14ac:dyDescent="0.3">
      <c r="A87" s="57" t="s">
        <v>435</v>
      </c>
      <c r="B87" s="53" t="s">
        <v>250</v>
      </c>
      <c r="C87" s="40" t="s">
        <v>494</v>
      </c>
    </row>
    <row r="88" spans="1:3" x14ac:dyDescent="0.3">
      <c r="A88" s="57" t="s">
        <v>436</v>
      </c>
      <c r="B88" s="53" t="s">
        <v>6</v>
      </c>
      <c r="C88" s="40" t="s">
        <v>458</v>
      </c>
    </row>
    <row r="89" spans="1:3" x14ac:dyDescent="0.3">
      <c r="A89" s="57" t="s">
        <v>437</v>
      </c>
      <c r="B89" s="43" t="s">
        <v>7</v>
      </c>
      <c r="C89" s="40" t="s">
        <v>461</v>
      </c>
    </row>
    <row r="90" spans="1:3" x14ac:dyDescent="0.3">
      <c r="A90" s="57" t="s">
        <v>438</v>
      </c>
      <c r="B90" s="40" t="s">
        <v>485</v>
      </c>
      <c r="C90" s="40" t="s">
        <v>463</v>
      </c>
    </row>
    <row r="91" spans="1:3" ht="28.8" x14ac:dyDescent="0.3">
      <c r="A91" s="58" t="s">
        <v>439</v>
      </c>
      <c r="B91" s="40" t="s">
        <v>486</v>
      </c>
      <c r="C91" s="47" t="s">
        <v>464</v>
      </c>
    </row>
    <row r="92" spans="1:3" x14ac:dyDescent="0.3">
      <c r="A92" s="57" t="s">
        <v>440</v>
      </c>
      <c r="B92" s="43" t="s">
        <v>8</v>
      </c>
      <c r="C92" s="40" t="s">
        <v>462</v>
      </c>
    </row>
    <row r="93" spans="1:3" x14ac:dyDescent="0.3">
      <c r="A93" s="57" t="s">
        <v>441</v>
      </c>
      <c r="B93" s="45" t="s">
        <v>477</v>
      </c>
      <c r="C93" s="40" t="s">
        <v>466</v>
      </c>
    </row>
    <row r="94" spans="1:3" ht="28.8" x14ac:dyDescent="0.3">
      <c r="A94" s="57" t="s">
        <v>442</v>
      </c>
      <c r="B94" s="45" t="s">
        <v>478</v>
      </c>
      <c r="C94" s="47" t="s">
        <v>465</v>
      </c>
    </row>
    <row r="95" spans="1:3" x14ac:dyDescent="0.3">
      <c r="A95" s="57" t="s">
        <v>443</v>
      </c>
      <c r="B95" s="43" t="s">
        <v>9</v>
      </c>
      <c r="C95" s="40" t="s">
        <v>473</v>
      </c>
    </row>
    <row r="96" spans="1:3" x14ac:dyDescent="0.3">
      <c r="A96" s="57" t="s">
        <v>444</v>
      </c>
      <c r="B96" s="45" t="s">
        <v>479</v>
      </c>
      <c r="C96" s="40" t="s">
        <v>471</v>
      </c>
    </row>
    <row r="97" spans="1:3" ht="28.8" x14ac:dyDescent="0.3">
      <c r="A97" s="57" t="s">
        <v>445</v>
      </c>
      <c r="B97" s="45" t="s">
        <v>480</v>
      </c>
      <c r="C97" s="47" t="s">
        <v>472</v>
      </c>
    </row>
    <row r="98" spans="1:3" x14ac:dyDescent="0.3">
      <c r="A98" s="57" t="s">
        <v>446</v>
      </c>
      <c r="B98" s="43" t="s">
        <v>10</v>
      </c>
      <c r="C98" s="40" t="s">
        <v>490</v>
      </c>
    </row>
    <row r="99" spans="1:3" x14ac:dyDescent="0.3">
      <c r="A99" s="57" t="s">
        <v>447</v>
      </c>
      <c r="B99" s="45" t="s">
        <v>481</v>
      </c>
      <c r="C99" s="40" t="s">
        <v>469</v>
      </c>
    </row>
    <row r="100" spans="1:3" ht="28.8" x14ac:dyDescent="0.3">
      <c r="A100" s="57" t="s">
        <v>448</v>
      </c>
      <c r="B100" s="45" t="s">
        <v>482</v>
      </c>
      <c r="C100" s="47" t="s">
        <v>468</v>
      </c>
    </row>
    <row r="101" spans="1:3" x14ac:dyDescent="0.3">
      <c r="A101" s="57" t="s">
        <v>449</v>
      </c>
      <c r="B101" s="43" t="s">
        <v>11</v>
      </c>
      <c r="C101" s="40" t="s">
        <v>506</v>
      </c>
    </row>
    <row r="102" spans="1:3" x14ac:dyDescent="0.3">
      <c r="A102" s="57" t="s">
        <v>450</v>
      </c>
      <c r="B102" s="45" t="s">
        <v>483</v>
      </c>
      <c r="C102" s="40" t="s">
        <v>470</v>
      </c>
    </row>
    <row r="103" spans="1:3" ht="28.8" x14ac:dyDescent="0.3">
      <c r="A103" s="57" t="s">
        <v>451</v>
      </c>
      <c r="B103" s="45" t="s">
        <v>484</v>
      </c>
      <c r="C103" s="47" t="s">
        <v>467</v>
      </c>
    </row>
    <row r="104" spans="1:3" x14ac:dyDescent="0.3">
      <c r="A104" s="57" t="s">
        <v>452</v>
      </c>
      <c r="B104" s="52" t="s">
        <v>270</v>
      </c>
      <c r="C104" s="54" t="s">
        <v>487</v>
      </c>
    </row>
    <row r="105" spans="1:3" x14ac:dyDescent="0.3">
      <c r="A105" s="57" t="s">
        <v>453</v>
      </c>
      <c r="B105" s="45" t="s">
        <v>387</v>
      </c>
      <c r="C105" s="47" t="s">
        <v>499</v>
      </c>
    </row>
    <row r="106" spans="1:3" x14ac:dyDescent="0.3">
      <c r="A106"/>
    </row>
    <row r="107" spans="1:3" x14ac:dyDescent="0.3">
      <c r="A107" s="60" t="s">
        <v>536</v>
      </c>
      <c r="B107" s="49"/>
      <c r="C107" s="40"/>
    </row>
    <row r="108" spans="1:3" ht="28.8" x14ac:dyDescent="0.3">
      <c r="A108" s="55" t="s">
        <v>429</v>
      </c>
      <c r="B108" s="56" t="s">
        <v>430</v>
      </c>
      <c r="C108" s="56" t="s">
        <v>431</v>
      </c>
    </row>
    <row r="109" spans="1:3" x14ac:dyDescent="0.3">
      <c r="A109" s="57" t="s">
        <v>432</v>
      </c>
      <c r="B109" s="52" t="s">
        <v>1</v>
      </c>
      <c r="C109" s="40" t="s">
        <v>457</v>
      </c>
    </row>
    <row r="110" spans="1:3" x14ac:dyDescent="0.3">
      <c r="A110" s="57" t="s">
        <v>433</v>
      </c>
      <c r="B110" s="40" t="s">
        <v>109</v>
      </c>
      <c r="C110" s="40" t="s">
        <v>460</v>
      </c>
    </row>
    <row r="111" spans="1:3" x14ac:dyDescent="0.3">
      <c r="A111" s="57" t="s">
        <v>434</v>
      </c>
      <c r="B111" s="40" t="s">
        <v>248</v>
      </c>
      <c r="C111" s="40" t="s">
        <v>488</v>
      </c>
    </row>
    <row r="112" spans="1:3" x14ac:dyDescent="0.3">
      <c r="A112" s="57" t="s">
        <v>435</v>
      </c>
      <c r="B112" s="40" t="s">
        <v>3</v>
      </c>
      <c r="C112" s="40" t="s">
        <v>459</v>
      </c>
    </row>
    <row r="113" spans="1:3" x14ac:dyDescent="0.3">
      <c r="A113" s="57" t="s">
        <v>436</v>
      </c>
      <c r="B113" s="40" t="s">
        <v>249</v>
      </c>
      <c r="C113" s="40" t="s">
        <v>494</v>
      </c>
    </row>
    <row r="114" spans="1:3" x14ac:dyDescent="0.3">
      <c r="A114" s="57" t="s">
        <v>437</v>
      </c>
      <c r="B114" s="46" t="s">
        <v>250</v>
      </c>
      <c r="C114" s="40" t="s">
        <v>494</v>
      </c>
    </row>
    <row r="115" spans="1:3" x14ac:dyDescent="0.3">
      <c r="A115" s="57" t="s">
        <v>438</v>
      </c>
      <c r="B115" s="46" t="s">
        <v>251</v>
      </c>
      <c r="C115" s="40" t="s">
        <v>458</v>
      </c>
    </row>
    <row r="116" spans="1:3" x14ac:dyDescent="0.3">
      <c r="A116" s="58" t="s">
        <v>439</v>
      </c>
      <c r="B116" s="40" t="s">
        <v>113</v>
      </c>
      <c r="C116" s="40" t="s">
        <v>461</v>
      </c>
    </row>
    <row r="117" spans="1:3" x14ac:dyDescent="0.3">
      <c r="A117" s="57" t="s">
        <v>440</v>
      </c>
      <c r="B117" s="40" t="s">
        <v>114</v>
      </c>
      <c r="C117" s="40" t="s">
        <v>489</v>
      </c>
    </row>
    <row r="118" spans="1:3" x14ac:dyDescent="0.3">
      <c r="A118" s="57" t="s">
        <v>441</v>
      </c>
      <c r="B118" s="40" t="s">
        <v>115</v>
      </c>
      <c r="C118" s="40" t="s">
        <v>505</v>
      </c>
    </row>
    <row r="119" spans="1:3" x14ac:dyDescent="0.3">
      <c r="A119" s="57" t="s">
        <v>442</v>
      </c>
      <c r="B119" s="40" t="s">
        <v>10</v>
      </c>
      <c r="C119" s="40" t="s">
        <v>490</v>
      </c>
    </row>
    <row r="120" spans="1:3" x14ac:dyDescent="0.3">
      <c r="A120" s="57" t="s">
        <v>443</v>
      </c>
      <c r="B120" s="40" t="s">
        <v>11</v>
      </c>
      <c r="C120" s="40" t="s">
        <v>491</v>
      </c>
    </row>
    <row r="121" spans="1:3" x14ac:dyDescent="0.3">
      <c r="A121" s="57" t="s">
        <v>444</v>
      </c>
      <c r="B121" s="40" t="s">
        <v>381</v>
      </c>
      <c r="C121" s="47" t="s">
        <v>499</v>
      </c>
    </row>
    <row r="122" spans="1:3" x14ac:dyDescent="0.3">
      <c r="A122"/>
    </row>
    <row r="123" spans="1:3" x14ac:dyDescent="0.3">
      <c r="A123" s="60" t="s">
        <v>537</v>
      </c>
      <c r="B123" s="49"/>
      <c r="C123" s="40"/>
    </row>
    <row r="124" spans="1:3" ht="28.8" x14ac:dyDescent="0.3">
      <c r="A124" s="55" t="s">
        <v>429</v>
      </c>
      <c r="B124" s="56" t="s">
        <v>430</v>
      </c>
      <c r="C124" s="56" t="s">
        <v>431</v>
      </c>
    </row>
    <row r="125" spans="1:3" x14ac:dyDescent="0.3">
      <c r="A125" s="57" t="s">
        <v>432</v>
      </c>
      <c r="B125" s="52" t="s">
        <v>1</v>
      </c>
      <c r="C125" s="40" t="s">
        <v>457</v>
      </c>
    </row>
    <row r="126" spans="1:3" x14ac:dyDescent="0.3">
      <c r="A126" s="57" t="s">
        <v>433</v>
      </c>
      <c r="B126" s="41" t="s">
        <v>109</v>
      </c>
      <c r="C126" s="40" t="s">
        <v>460</v>
      </c>
    </row>
    <row r="127" spans="1:3" x14ac:dyDescent="0.3">
      <c r="A127" s="57" t="s">
        <v>434</v>
      </c>
      <c r="B127" s="41" t="s">
        <v>354</v>
      </c>
      <c r="C127" s="40" t="s">
        <v>493</v>
      </c>
    </row>
    <row r="128" spans="1:3" x14ac:dyDescent="0.3">
      <c r="A128" s="57" t="s">
        <v>435</v>
      </c>
      <c r="B128" s="41" t="s">
        <v>249</v>
      </c>
      <c r="C128" s="40" t="s">
        <v>494</v>
      </c>
    </row>
    <row r="129" spans="1:3" x14ac:dyDescent="0.3">
      <c r="A129" s="57" t="s">
        <v>436</v>
      </c>
      <c r="B129" s="42" t="s">
        <v>250</v>
      </c>
      <c r="C129" s="40" t="s">
        <v>494</v>
      </c>
    </row>
    <row r="130" spans="1:3" x14ac:dyDescent="0.3">
      <c r="A130" s="57" t="s">
        <v>437</v>
      </c>
      <c r="B130" s="42" t="s">
        <v>251</v>
      </c>
      <c r="C130" s="40" t="s">
        <v>458</v>
      </c>
    </row>
    <row r="131" spans="1:3" x14ac:dyDescent="0.3">
      <c r="A131" s="57" t="s">
        <v>438</v>
      </c>
      <c r="B131" s="41" t="s">
        <v>113</v>
      </c>
      <c r="C131" s="40" t="s">
        <v>461</v>
      </c>
    </row>
    <row r="132" spans="1:3" x14ac:dyDescent="0.3">
      <c r="A132" s="58" t="s">
        <v>439</v>
      </c>
      <c r="B132" s="41" t="s">
        <v>114</v>
      </c>
      <c r="C132" s="40" t="s">
        <v>489</v>
      </c>
    </row>
    <row r="133" spans="1:3" x14ac:dyDescent="0.3">
      <c r="A133" s="57" t="s">
        <v>440</v>
      </c>
      <c r="B133" s="41" t="s">
        <v>115</v>
      </c>
      <c r="C133" s="40" t="s">
        <v>473</v>
      </c>
    </row>
    <row r="134" spans="1:3" x14ac:dyDescent="0.3">
      <c r="A134" s="57" t="s">
        <v>441</v>
      </c>
      <c r="B134" s="41" t="s">
        <v>10</v>
      </c>
      <c r="C134" s="40" t="s">
        <v>490</v>
      </c>
    </row>
    <row r="135" spans="1:3" x14ac:dyDescent="0.3">
      <c r="A135" s="57" t="s">
        <v>442</v>
      </c>
      <c r="B135" s="41" t="s">
        <v>11</v>
      </c>
      <c r="C135" s="40" t="s">
        <v>491</v>
      </c>
    </row>
    <row r="136" spans="1:3" x14ac:dyDescent="0.3">
      <c r="A136" s="57" t="s">
        <v>443</v>
      </c>
      <c r="B136" s="41" t="s">
        <v>381</v>
      </c>
      <c r="C136" s="47" t="s">
        <v>499</v>
      </c>
    </row>
    <row r="137" spans="1:3" x14ac:dyDescent="0.3">
      <c r="A137"/>
    </row>
    <row r="138" spans="1:3" x14ac:dyDescent="0.3">
      <c r="A138" s="60" t="s">
        <v>538</v>
      </c>
      <c r="B138" s="49"/>
      <c r="C138" s="40"/>
    </row>
    <row r="139" spans="1:3" ht="28.8" x14ac:dyDescent="0.3">
      <c r="A139" s="55" t="s">
        <v>429</v>
      </c>
      <c r="B139" s="56" t="s">
        <v>430</v>
      </c>
      <c r="C139" s="56" t="s">
        <v>431</v>
      </c>
    </row>
    <row r="140" spans="1:3" x14ac:dyDescent="0.3">
      <c r="A140" s="57" t="s">
        <v>432</v>
      </c>
      <c r="B140" s="52" t="s">
        <v>1</v>
      </c>
      <c r="C140" s="40" t="s">
        <v>457</v>
      </c>
    </row>
    <row r="141" spans="1:3" x14ac:dyDescent="0.3">
      <c r="A141" s="57" t="s">
        <v>433</v>
      </c>
      <c r="B141" s="61" t="s">
        <v>249</v>
      </c>
      <c r="C141" s="40" t="s">
        <v>494</v>
      </c>
    </row>
    <row r="142" spans="1:3" x14ac:dyDescent="0.3">
      <c r="A142" s="57" t="s">
        <v>434</v>
      </c>
      <c r="B142" s="62" t="s">
        <v>377</v>
      </c>
      <c r="C142" s="40" t="s">
        <v>494</v>
      </c>
    </row>
    <row r="143" spans="1:3" x14ac:dyDescent="0.3">
      <c r="A143" s="57" t="s">
        <v>435</v>
      </c>
      <c r="B143" s="62" t="s">
        <v>109</v>
      </c>
      <c r="C143" s="40" t="s">
        <v>460</v>
      </c>
    </row>
    <row r="144" spans="1:3" x14ac:dyDescent="0.3">
      <c r="A144" s="57" t="s">
        <v>436</v>
      </c>
      <c r="B144" s="62" t="s">
        <v>110</v>
      </c>
      <c r="C144" s="40" t="s">
        <v>488</v>
      </c>
    </row>
    <row r="145" spans="1:3" x14ac:dyDescent="0.3">
      <c r="A145" s="57" t="s">
        <v>437</v>
      </c>
      <c r="B145" s="62" t="s">
        <v>3</v>
      </c>
      <c r="C145" s="40" t="s">
        <v>459</v>
      </c>
    </row>
    <row r="146" spans="1:3" x14ac:dyDescent="0.3">
      <c r="A146" s="57" t="s">
        <v>438</v>
      </c>
      <c r="B146" s="63" t="s">
        <v>4</v>
      </c>
      <c r="C146" s="40" t="s">
        <v>494</v>
      </c>
    </row>
    <row r="147" spans="1:3" x14ac:dyDescent="0.3">
      <c r="A147" s="58" t="s">
        <v>439</v>
      </c>
      <c r="B147" s="63" t="s">
        <v>378</v>
      </c>
      <c r="C147" s="40" t="s">
        <v>458</v>
      </c>
    </row>
    <row r="148" spans="1:3" x14ac:dyDescent="0.3">
      <c r="A148" s="57" t="s">
        <v>440</v>
      </c>
      <c r="B148" s="62" t="s">
        <v>7</v>
      </c>
      <c r="C148" s="40" t="s">
        <v>461</v>
      </c>
    </row>
    <row r="149" spans="1:3" x14ac:dyDescent="0.3">
      <c r="A149" s="57" t="s">
        <v>441</v>
      </c>
      <c r="B149" s="64" t="s">
        <v>114</v>
      </c>
      <c r="C149" s="40" t="s">
        <v>489</v>
      </c>
    </row>
    <row r="150" spans="1:3" x14ac:dyDescent="0.3">
      <c r="A150" s="57" t="s">
        <v>442</v>
      </c>
      <c r="B150" s="64" t="s">
        <v>379</v>
      </c>
      <c r="C150" s="40" t="s">
        <v>496</v>
      </c>
    </row>
    <row r="151" spans="1:3" x14ac:dyDescent="0.3">
      <c r="A151" s="57" t="s">
        <v>443</v>
      </c>
      <c r="B151" s="65" t="s">
        <v>10</v>
      </c>
      <c r="C151" s="40" t="s">
        <v>490</v>
      </c>
    </row>
    <row r="152" spans="1:3" x14ac:dyDescent="0.3">
      <c r="A152" s="57" t="s">
        <v>444</v>
      </c>
      <c r="B152" s="64" t="s">
        <v>11</v>
      </c>
      <c r="C152" s="40" t="s">
        <v>491</v>
      </c>
    </row>
    <row r="153" spans="1:3" x14ac:dyDescent="0.3">
      <c r="A153" s="57" t="s">
        <v>445</v>
      </c>
      <c r="B153" s="64" t="s">
        <v>495</v>
      </c>
      <c r="C153" s="40" t="s">
        <v>497</v>
      </c>
    </row>
    <row r="154" spans="1:3" x14ac:dyDescent="0.3">
      <c r="A154" s="57" t="s">
        <v>446</v>
      </c>
      <c r="B154" s="45" t="s">
        <v>387</v>
      </c>
      <c r="C154" s="47" t="s">
        <v>499</v>
      </c>
    </row>
    <row r="155" spans="1:3" x14ac:dyDescent="0.3">
      <c r="B15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AD54-7586-463C-AACE-28E3899BBC29}">
  <dimension ref="A1:W87"/>
  <sheetViews>
    <sheetView zoomScale="90" zoomScaleNormal="90" workbookViewId="0"/>
  </sheetViews>
  <sheetFormatPr defaultColWidth="8.88671875" defaultRowHeight="14.4" x14ac:dyDescent="0.3"/>
  <cols>
    <col min="2" max="2" width="8.88671875" style="1"/>
    <col min="3" max="3" width="42.88671875" style="1" customWidth="1"/>
    <col min="4" max="4" width="13" style="1" bestFit="1" customWidth="1"/>
    <col min="5" max="5" width="8.88671875" style="1"/>
    <col min="6" max="6" width="20.5546875" style="1" customWidth="1"/>
    <col min="7" max="7" width="12.109375" style="2" customWidth="1"/>
    <col min="8" max="8" width="8.88671875" style="2"/>
    <col min="9" max="9" width="12.88671875" style="2" customWidth="1"/>
    <col min="10" max="10" width="11" style="2" customWidth="1"/>
    <col min="11" max="11" width="9.5546875" style="2" customWidth="1"/>
    <col min="12" max="12" width="13.44140625" style="2" customWidth="1"/>
    <col min="13" max="13" width="12" style="2" customWidth="1"/>
    <col min="14" max="14" width="10.5546875" style="2" customWidth="1"/>
    <col min="15" max="15" width="11.88671875" style="2" customWidth="1"/>
    <col min="16" max="16" width="12" style="2" customWidth="1"/>
    <col min="17" max="17" width="10.5546875" style="2" customWidth="1"/>
    <col min="18" max="18" width="11.33203125" style="2" customWidth="1"/>
    <col min="19" max="19" width="12" style="2" customWidth="1"/>
    <col min="20" max="20" width="10.5546875" style="2" customWidth="1"/>
    <col min="21" max="21" width="9.109375" style="2" customWidth="1"/>
    <col min="22" max="22" width="12" style="1" customWidth="1"/>
    <col min="23" max="23" width="13.109375" style="78" customWidth="1"/>
    <col min="24" max="16384" width="8.88671875" style="1"/>
  </cols>
  <sheetData>
    <row r="1" spans="1:23" x14ac:dyDescent="0.3">
      <c r="A1" s="1"/>
      <c r="E1" s="1" t="s">
        <v>0</v>
      </c>
      <c r="F1" s="2"/>
      <c r="U1" s="1"/>
    </row>
    <row r="2" spans="1:23" x14ac:dyDescent="0.3">
      <c r="A2" s="1" t="s">
        <v>1</v>
      </c>
      <c r="B2" s="1" t="s">
        <v>2</v>
      </c>
      <c r="C2" s="1" t="s">
        <v>248</v>
      </c>
      <c r="D2" s="1" t="s">
        <v>3</v>
      </c>
      <c r="E2" s="31" t="s">
        <v>4</v>
      </c>
      <c r="F2" s="2" t="s">
        <v>5</v>
      </c>
      <c r="G2" s="26" t="s">
        <v>6</v>
      </c>
      <c r="H2" s="2" t="s">
        <v>7</v>
      </c>
      <c r="I2" t="s">
        <v>485</v>
      </c>
      <c r="J2" t="s">
        <v>486</v>
      </c>
      <c r="K2" s="2" t="s">
        <v>8</v>
      </c>
      <c r="L2" s="3" t="s">
        <v>477</v>
      </c>
      <c r="M2" s="3" t="s">
        <v>478</v>
      </c>
      <c r="N2" s="2" t="s">
        <v>9</v>
      </c>
      <c r="O2" s="3" t="s">
        <v>479</v>
      </c>
      <c r="P2" s="3" t="s">
        <v>480</v>
      </c>
      <c r="Q2" s="2" t="s">
        <v>10</v>
      </c>
      <c r="R2" s="3" t="s">
        <v>481</v>
      </c>
      <c r="S2" s="3" t="s">
        <v>482</v>
      </c>
      <c r="T2" s="2" t="s">
        <v>11</v>
      </c>
      <c r="U2" s="3" t="s">
        <v>483</v>
      </c>
      <c r="V2" s="3" t="s">
        <v>484</v>
      </c>
      <c r="W2" s="76" t="s">
        <v>387</v>
      </c>
    </row>
    <row r="3" spans="1:23" x14ac:dyDescent="0.3">
      <c r="A3" s="1">
        <v>1</v>
      </c>
      <c r="B3" s="1" t="s">
        <v>12</v>
      </c>
      <c r="C3" s="1" t="s">
        <v>13</v>
      </c>
      <c r="D3" s="1" t="s">
        <v>100</v>
      </c>
      <c r="E3" s="31" t="s">
        <v>14</v>
      </c>
      <c r="F3" s="2"/>
      <c r="G3" s="26">
        <v>0.2</v>
      </c>
      <c r="H3" s="2">
        <v>0.95</v>
      </c>
      <c r="I3" s="3">
        <f>ABS(G3-H3)</f>
        <v>0.75</v>
      </c>
      <c r="J3" s="3">
        <f>I3^2</f>
        <v>0.5625</v>
      </c>
      <c r="K3" s="2">
        <v>1.1320708882029</v>
      </c>
      <c r="L3" s="3">
        <f>ABS(G3-K3)</f>
        <v>0.93207088820290007</v>
      </c>
      <c r="M3" s="3">
        <f>L3^2</f>
        <v>0.86875614063534301</v>
      </c>
      <c r="N3" s="2">
        <v>2.5499999999999998</v>
      </c>
      <c r="O3" s="3">
        <f>ABS(G3-N3)</f>
        <v>2.3499999999999996</v>
      </c>
      <c r="P3" s="3">
        <f>O3^2</f>
        <v>5.5224999999999982</v>
      </c>
      <c r="Q3" s="2">
        <v>-0.4</v>
      </c>
      <c r="R3" s="3">
        <f>ABS(G3-Q3)</f>
        <v>0.60000000000000009</v>
      </c>
      <c r="S3" s="3">
        <f>R3^2</f>
        <v>0.3600000000000001</v>
      </c>
      <c r="T3" s="2">
        <v>0.71551632025874801</v>
      </c>
      <c r="U3" s="3">
        <f>ABS(G3-T3)</f>
        <v>0.51551632025874805</v>
      </c>
      <c r="V3" s="3">
        <f>U3^2</f>
        <v>0.26575707645312008</v>
      </c>
      <c r="W3" s="78" t="s">
        <v>396</v>
      </c>
    </row>
    <row r="4" spans="1:23" x14ac:dyDescent="0.3">
      <c r="A4" s="1">
        <v>2</v>
      </c>
      <c r="B4" s="1" t="s">
        <v>12</v>
      </c>
      <c r="C4" s="1" t="s">
        <v>13</v>
      </c>
      <c r="D4" s="1" t="s">
        <v>100</v>
      </c>
      <c r="E4" s="31" t="s">
        <v>14</v>
      </c>
      <c r="F4" s="2"/>
      <c r="G4" s="26">
        <f>-LOG((0.533+0.588)/2)</f>
        <v>0.25142438306900805</v>
      </c>
      <c r="H4" s="2">
        <v>0.95</v>
      </c>
      <c r="I4" s="3">
        <f t="shared" ref="I4:I79" si="0">ABS(G4-H4)</f>
        <v>0.69857561693099191</v>
      </c>
      <c r="J4" s="3">
        <f t="shared" ref="J4:J79" si="1">I4^2</f>
        <v>0.48800789257051597</v>
      </c>
      <c r="K4" s="2">
        <v>1.1320708882029</v>
      </c>
      <c r="L4" s="3">
        <f t="shared" ref="L4:L79" si="2">ABS(G4-K4)</f>
        <v>0.88064650513389198</v>
      </c>
      <c r="M4" s="3">
        <f t="shared" ref="M4:M79" si="3">L4^2</f>
        <v>0.77553826700453798</v>
      </c>
      <c r="N4" s="2">
        <v>2.5499999999999998</v>
      </c>
      <c r="O4" s="3">
        <f t="shared" ref="O4:O79" si="4">ABS(G4-N4)</f>
        <v>2.2985756169309917</v>
      </c>
      <c r="P4" s="3">
        <f t="shared" ref="P4:P79" si="5">O4^2</f>
        <v>5.283449866749689</v>
      </c>
      <c r="Q4" s="2">
        <v>-0.4</v>
      </c>
      <c r="R4" s="3">
        <f t="shared" ref="R4:R79" si="6">ABS(G4-Q4)</f>
        <v>0.65142438306900807</v>
      </c>
      <c r="S4" s="3">
        <f t="shared" ref="S4:S79" si="7">R4^2</f>
        <v>0.42435372685683775</v>
      </c>
      <c r="T4" s="2">
        <v>0.71551632025874801</v>
      </c>
      <c r="U4" s="3">
        <f t="shared" ref="U4:U79" si="8">ABS(G4-T4)</f>
        <v>0.46409193718973996</v>
      </c>
      <c r="V4" s="3">
        <f t="shared" ref="V4:V79" si="9">U4^2</f>
        <v>0.21538132616452554</v>
      </c>
      <c r="W4" s="78" t="s">
        <v>397</v>
      </c>
    </row>
    <row r="5" spans="1:23" x14ac:dyDescent="0.3">
      <c r="A5" s="1">
        <v>3</v>
      </c>
      <c r="B5" s="1" t="s">
        <v>12</v>
      </c>
      <c r="C5" s="1" t="s">
        <v>13</v>
      </c>
      <c r="D5" s="1" t="s">
        <v>100</v>
      </c>
      <c r="E5" s="31" t="s">
        <v>14</v>
      </c>
      <c r="F5" s="2"/>
      <c r="G5" s="26">
        <f>-LOG(0.5)</f>
        <v>0.3010299956639812</v>
      </c>
      <c r="H5" s="2">
        <v>0.95</v>
      </c>
      <c r="I5" s="3">
        <f t="shared" si="0"/>
        <v>0.6489700043360187</v>
      </c>
      <c r="J5" s="3">
        <f t="shared" si="1"/>
        <v>0.42116206652789212</v>
      </c>
      <c r="K5" s="2">
        <v>1.1320708882029</v>
      </c>
      <c r="L5" s="3">
        <f t="shared" si="2"/>
        <v>0.83104089253891877</v>
      </c>
      <c r="M5" s="3">
        <f t="shared" si="3"/>
        <v>0.69062896507188276</v>
      </c>
      <c r="N5" s="2">
        <v>2.5499999999999998</v>
      </c>
      <c r="O5" s="3">
        <f t="shared" si="4"/>
        <v>2.2489700043360186</v>
      </c>
      <c r="P5" s="3">
        <f t="shared" si="5"/>
        <v>5.0578660804031514</v>
      </c>
      <c r="Q5" s="2">
        <v>-0.4</v>
      </c>
      <c r="R5" s="3">
        <f t="shared" si="6"/>
        <v>0.70102999566398116</v>
      </c>
      <c r="S5" s="3">
        <f t="shared" si="7"/>
        <v>0.49144305482064143</v>
      </c>
      <c r="T5" s="2">
        <v>0.71551632025874801</v>
      </c>
      <c r="U5" s="3">
        <f t="shared" si="8"/>
        <v>0.41448632459476681</v>
      </c>
      <c r="V5" s="3">
        <f t="shared" si="9"/>
        <v>0.17179891327607838</v>
      </c>
      <c r="W5" s="78" t="s">
        <v>397</v>
      </c>
    </row>
    <row r="6" spans="1:23" x14ac:dyDescent="0.3">
      <c r="A6" s="1">
        <v>4</v>
      </c>
      <c r="B6" s="1" t="s">
        <v>12</v>
      </c>
      <c r="C6" s="1" t="s">
        <v>13</v>
      </c>
      <c r="D6" s="1" t="s">
        <v>100</v>
      </c>
      <c r="E6" s="31" t="s">
        <v>14</v>
      </c>
      <c r="F6" s="2"/>
      <c r="G6" s="26">
        <v>0.47</v>
      </c>
      <c r="H6" s="2">
        <v>0.95</v>
      </c>
      <c r="I6" s="3">
        <f t="shared" si="0"/>
        <v>0.48</v>
      </c>
      <c r="J6" s="3">
        <f t="shared" si="1"/>
        <v>0.23039999999999999</v>
      </c>
      <c r="K6" s="2">
        <v>1.1320708882029</v>
      </c>
      <c r="L6" s="3">
        <f t="shared" si="2"/>
        <v>0.66207088820290005</v>
      </c>
      <c r="M6" s="3">
        <f t="shared" si="3"/>
        <v>0.43833786100577699</v>
      </c>
      <c r="N6" s="2">
        <v>2.5499999999999998</v>
      </c>
      <c r="O6" s="3">
        <f t="shared" si="4"/>
        <v>2.08</v>
      </c>
      <c r="P6" s="3">
        <f t="shared" si="5"/>
        <v>4.3264000000000005</v>
      </c>
      <c r="Q6" s="2">
        <v>-0.4</v>
      </c>
      <c r="R6" s="3">
        <f t="shared" si="6"/>
        <v>0.87</v>
      </c>
      <c r="S6" s="3">
        <f t="shared" si="7"/>
        <v>0.75690000000000002</v>
      </c>
      <c r="T6" s="2">
        <v>0.71551632025874801</v>
      </c>
      <c r="U6" s="3">
        <f t="shared" si="8"/>
        <v>0.24551632025874803</v>
      </c>
      <c r="V6" s="3">
        <f t="shared" si="9"/>
        <v>6.027826351339613E-2</v>
      </c>
      <c r="W6" s="78" t="s">
        <v>398</v>
      </c>
    </row>
    <row r="7" spans="1:23" x14ac:dyDescent="0.3">
      <c r="A7" s="1">
        <v>5</v>
      </c>
      <c r="B7" s="1" t="s">
        <v>12</v>
      </c>
      <c r="C7" s="1" t="s">
        <v>13</v>
      </c>
      <c r="D7" s="1" t="s">
        <v>100</v>
      </c>
      <c r="E7" s="31" t="s">
        <v>14</v>
      </c>
      <c r="F7" s="2"/>
      <c r="G7" s="26">
        <v>0.54</v>
      </c>
      <c r="H7" s="2">
        <v>0.95</v>
      </c>
      <c r="I7" s="3">
        <f t="shared" si="0"/>
        <v>0.40999999999999992</v>
      </c>
      <c r="J7" s="3">
        <f t="shared" si="1"/>
        <v>0.16809999999999994</v>
      </c>
      <c r="K7" s="2">
        <v>1.1320708882029</v>
      </c>
      <c r="L7" s="3">
        <f t="shared" si="2"/>
        <v>0.59207088820289999</v>
      </c>
      <c r="M7" s="3">
        <f t="shared" si="3"/>
        <v>0.35054793665737088</v>
      </c>
      <c r="N7" s="2">
        <v>2.5499999999999998</v>
      </c>
      <c r="O7" s="3">
        <f t="shared" si="4"/>
        <v>2.0099999999999998</v>
      </c>
      <c r="P7" s="3">
        <f t="shared" si="5"/>
        <v>4.0400999999999989</v>
      </c>
      <c r="Q7" s="2">
        <v>-0.4</v>
      </c>
      <c r="R7" s="3">
        <f t="shared" si="6"/>
        <v>0.94000000000000006</v>
      </c>
      <c r="S7" s="3">
        <f t="shared" si="7"/>
        <v>0.88360000000000016</v>
      </c>
      <c r="T7" s="2">
        <v>0.71551632025874801</v>
      </c>
      <c r="U7" s="3">
        <f t="shared" si="8"/>
        <v>0.17551632025874797</v>
      </c>
      <c r="V7" s="3">
        <f t="shared" si="9"/>
        <v>3.0805978677171383E-2</v>
      </c>
      <c r="W7" s="78" t="s">
        <v>399</v>
      </c>
    </row>
    <row r="8" spans="1:23" x14ac:dyDescent="0.3">
      <c r="A8" s="1">
        <v>5</v>
      </c>
      <c r="B8" s="1" t="s">
        <v>12</v>
      </c>
      <c r="C8" s="1" t="s">
        <v>13</v>
      </c>
      <c r="D8" s="1" t="s">
        <v>100</v>
      </c>
      <c r="E8" s="31" t="s">
        <v>14</v>
      </c>
      <c r="F8" s="2"/>
      <c r="G8" s="26">
        <v>0.54</v>
      </c>
      <c r="H8" s="2">
        <v>0.95</v>
      </c>
      <c r="I8" s="3">
        <f t="shared" ref="I8" si="10">ABS(G8-H8)</f>
        <v>0.40999999999999992</v>
      </c>
      <c r="J8" s="3">
        <f t="shared" ref="J8" si="11">I8^2</f>
        <v>0.16809999999999994</v>
      </c>
      <c r="K8" s="2">
        <v>1.1320708882029</v>
      </c>
      <c r="L8" s="3">
        <f t="shared" ref="L8" si="12">ABS(G8-K8)</f>
        <v>0.59207088820289999</v>
      </c>
      <c r="M8" s="3">
        <f t="shared" ref="M8" si="13">L8^2</f>
        <v>0.35054793665737088</v>
      </c>
      <c r="N8" s="2">
        <v>2.5499999999999998</v>
      </c>
      <c r="O8" s="3">
        <f t="shared" ref="O8" si="14">ABS(G8-N8)</f>
        <v>2.0099999999999998</v>
      </c>
      <c r="P8" s="3">
        <f t="shared" ref="P8" si="15">O8^2</f>
        <v>4.0400999999999989</v>
      </c>
      <c r="Q8" s="2">
        <v>-0.4</v>
      </c>
      <c r="R8" s="3">
        <f t="shared" ref="R8" si="16">ABS(G8-Q8)</f>
        <v>0.94000000000000006</v>
      </c>
      <c r="S8" s="3">
        <f t="shared" ref="S8" si="17">R8^2</f>
        <v>0.88360000000000016</v>
      </c>
      <c r="T8" s="2">
        <v>0.71551632025874801</v>
      </c>
      <c r="U8" s="3">
        <f t="shared" ref="U8" si="18">ABS(G8-T8)</f>
        <v>0.17551632025874797</v>
      </c>
      <c r="V8" s="3">
        <f t="shared" ref="V8" si="19">U8^2</f>
        <v>3.0805978677171383E-2</v>
      </c>
      <c r="W8" s="78" t="s">
        <v>400</v>
      </c>
    </row>
    <row r="9" spans="1:23" x14ac:dyDescent="0.3">
      <c r="A9" s="1">
        <v>6</v>
      </c>
      <c r="B9" s="1" t="s">
        <v>12</v>
      </c>
      <c r="C9" s="1" t="s">
        <v>13</v>
      </c>
      <c r="D9" s="1" t="s">
        <v>100</v>
      </c>
      <c r="E9" s="31" t="s">
        <v>14</v>
      </c>
      <c r="F9" s="2"/>
      <c r="G9" s="26">
        <v>0.62</v>
      </c>
      <c r="H9" s="2">
        <v>0.95</v>
      </c>
      <c r="I9" s="3">
        <f t="shared" si="0"/>
        <v>0.32999999999999996</v>
      </c>
      <c r="J9" s="3">
        <f t="shared" si="1"/>
        <v>0.10889999999999997</v>
      </c>
      <c r="K9" s="2">
        <v>1.1320708882029</v>
      </c>
      <c r="L9" s="3">
        <f t="shared" si="2"/>
        <v>0.51207088820290003</v>
      </c>
      <c r="M9" s="3">
        <f t="shared" si="3"/>
        <v>0.26221659454490692</v>
      </c>
      <c r="N9" s="2">
        <v>2.5499999999999998</v>
      </c>
      <c r="O9" s="3">
        <f t="shared" si="4"/>
        <v>1.9299999999999997</v>
      </c>
      <c r="P9" s="3">
        <f t="shared" si="5"/>
        <v>3.724899999999999</v>
      </c>
      <c r="Q9" s="2">
        <v>-0.4</v>
      </c>
      <c r="R9" s="3">
        <f t="shared" si="6"/>
        <v>1.02</v>
      </c>
      <c r="S9" s="3">
        <f t="shared" si="7"/>
        <v>1.0404</v>
      </c>
      <c r="T9" s="2">
        <v>0.71551632025874801</v>
      </c>
      <c r="U9" s="3">
        <f t="shared" si="8"/>
        <v>9.5516320258748011E-2</v>
      </c>
      <c r="V9" s="3">
        <f t="shared" si="9"/>
        <v>9.1233674357717159E-3</v>
      </c>
      <c r="W9" s="78" t="s">
        <v>399</v>
      </c>
    </row>
    <row r="10" spans="1:23" x14ac:dyDescent="0.3">
      <c r="A10" s="1">
        <v>6</v>
      </c>
      <c r="B10" s="1" t="s">
        <v>12</v>
      </c>
      <c r="C10" s="1" t="s">
        <v>13</v>
      </c>
      <c r="D10" s="1" t="s">
        <v>100</v>
      </c>
      <c r="E10" s="31" t="s">
        <v>14</v>
      </c>
      <c r="F10" s="2"/>
      <c r="G10" s="26">
        <v>0.62</v>
      </c>
      <c r="H10" s="2">
        <v>0.95</v>
      </c>
      <c r="I10" s="3">
        <f t="shared" ref="I10" si="20">ABS(G10-H10)</f>
        <v>0.32999999999999996</v>
      </c>
      <c r="J10" s="3">
        <f t="shared" ref="J10" si="21">I10^2</f>
        <v>0.10889999999999997</v>
      </c>
      <c r="K10" s="2">
        <v>1.1320708882029</v>
      </c>
      <c r="L10" s="3">
        <f t="shared" ref="L10" si="22">ABS(G10-K10)</f>
        <v>0.51207088820290003</v>
      </c>
      <c r="M10" s="3">
        <f t="shared" ref="M10" si="23">L10^2</f>
        <v>0.26221659454490692</v>
      </c>
      <c r="N10" s="2">
        <v>2.5499999999999998</v>
      </c>
      <c r="O10" s="3">
        <f t="shared" ref="O10" si="24">ABS(G10-N10)</f>
        <v>1.9299999999999997</v>
      </c>
      <c r="P10" s="3">
        <f t="shared" ref="P10" si="25">O10^2</f>
        <v>3.724899999999999</v>
      </c>
      <c r="Q10" s="2">
        <v>-0.4</v>
      </c>
      <c r="R10" s="3">
        <f t="shared" ref="R10" si="26">ABS(G10-Q10)</f>
        <v>1.02</v>
      </c>
      <c r="S10" s="3">
        <f t="shared" ref="S10" si="27">R10^2</f>
        <v>1.0404</v>
      </c>
      <c r="T10" s="2">
        <v>0.71551632025874801</v>
      </c>
      <c r="U10" s="3">
        <f t="shared" ref="U10" si="28">ABS(G10-T10)</f>
        <v>9.5516320258748011E-2</v>
      </c>
      <c r="V10" s="3">
        <f t="shared" ref="V10" si="29">U10^2</f>
        <v>9.1233674357717159E-3</v>
      </c>
      <c r="W10" s="78" t="s">
        <v>400</v>
      </c>
    </row>
    <row r="11" spans="1:23" x14ac:dyDescent="0.3">
      <c r="A11" s="1">
        <v>7</v>
      </c>
      <c r="B11" s="1" t="s">
        <v>15</v>
      </c>
      <c r="C11" s="1" t="s">
        <v>16</v>
      </c>
      <c r="D11" s="1" t="s">
        <v>101</v>
      </c>
      <c r="E11" s="31" t="s">
        <v>17</v>
      </c>
      <c r="F11" s="2"/>
      <c r="G11" s="26">
        <v>0.44</v>
      </c>
      <c r="H11" s="2">
        <v>1.37</v>
      </c>
      <c r="I11" s="3">
        <f t="shared" si="0"/>
        <v>0.93000000000000016</v>
      </c>
      <c r="J11" s="3">
        <f t="shared" si="1"/>
        <v>0.86490000000000034</v>
      </c>
      <c r="K11" s="2">
        <v>0.107444712660829</v>
      </c>
      <c r="L11" s="3">
        <f t="shared" si="2"/>
        <v>0.332555287339171</v>
      </c>
      <c r="M11" s="3">
        <f t="shared" si="3"/>
        <v>0.11059301913723858</v>
      </c>
      <c r="N11" s="2">
        <v>2.44</v>
      </c>
      <c r="O11" s="3">
        <f t="shared" si="4"/>
        <v>2</v>
      </c>
      <c r="P11" s="3">
        <f t="shared" si="5"/>
        <v>4</v>
      </c>
      <c r="Q11" s="2">
        <v>0</v>
      </c>
      <c r="R11" s="3">
        <f t="shared" si="6"/>
        <v>0.44</v>
      </c>
      <c r="S11" s="3">
        <f t="shared" si="7"/>
        <v>0.19359999999999999</v>
      </c>
      <c r="T11" s="2">
        <v>0.80848176131249705</v>
      </c>
      <c r="U11" s="3">
        <f t="shared" si="8"/>
        <v>0.36848176131249705</v>
      </c>
      <c r="V11" s="3">
        <f t="shared" si="9"/>
        <v>0.13577880841996004</v>
      </c>
      <c r="W11" s="78" t="s">
        <v>399</v>
      </c>
    </row>
    <row r="12" spans="1:23" x14ac:dyDescent="0.3">
      <c r="A12" s="1">
        <v>7</v>
      </c>
      <c r="B12" s="1" t="s">
        <v>15</v>
      </c>
      <c r="C12" s="1" t="s">
        <v>16</v>
      </c>
      <c r="D12" s="1" t="s">
        <v>101</v>
      </c>
      <c r="E12" s="31" t="s">
        <v>17</v>
      </c>
      <c r="F12" s="2"/>
      <c r="G12" s="26">
        <v>0.44</v>
      </c>
      <c r="H12" s="2">
        <v>1.37</v>
      </c>
      <c r="I12" s="3">
        <f t="shared" ref="I12" si="30">ABS(G12-H12)</f>
        <v>0.93000000000000016</v>
      </c>
      <c r="J12" s="3">
        <f t="shared" ref="J12" si="31">I12^2</f>
        <v>0.86490000000000034</v>
      </c>
      <c r="K12" s="2">
        <v>0.107444712660829</v>
      </c>
      <c r="L12" s="3">
        <f t="shared" ref="L12" si="32">ABS(G12-K12)</f>
        <v>0.332555287339171</v>
      </c>
      <c r="M12" s="3">
        <f t="shared" ref="M12" si="33">L12^2</f>
        <v>0.11059301913723858</v>
      </c>
      <c r="N12" s="2">
        <v>2.44</v>
      </c>
      <c r="O12" s="3">
        <f t="shared" ref="O12" si="34">ABS(G12-N12)</f>
        <v>2</v>
      </c>
      <c r="P12" s="3">
        <f t="shared" ref="P12" si="35">O12^2</f>
        <v>4</v>
      </c>
      <c r="Q12" s="2">
        <v>0</v>
      </c>
      <c r="R12" s="3">
        <f t="shared" ref="R12" si="36">ABS(G12-Q12)</f>
        <v>0.44</v>
      </c>
      <c r="S12" s="3">
        <f t="shared" ref="S12" si="37">R12^2</f>
        <v>0.19359999999999999</v>
      </c>
      <c r="T12" s="2">
        <v>0.80848176131249705</v>
      </c>
      <c r="U12" s="3">
        <f t="shared" ref="U12" si="38">ABS(G12-T12)</f>
        <v>0.36848176131249705</v>
      </c>
      <c r="V12" s="3">
        <f t="shared" ref="V12" si="39">U12^2</f>
        <v>0.13577880841996004</v>
      </c>
      <c r="W12" s="78" t="s">
        <v>400</v>
      </c>
    </row>
    <row r="13" spans="1:23" x14ac:dyDescent="0.3">
      <c r="A13" s="1">
        <v>8</v>
      </c>
      <c r="B13" s="1" t="s">
        <v>15</v>
      </c>
      <c r="C13" s="1" t="s">
        <v>16</v>
      </c>
      <c r="D13" s="1" t="s">
        <v>101</v>
      </c>
      <c r="E13" s="31" t="s">
        <v>17</v>
      </c>
      <c r="F13" s="2"/>
      <c r="G13" s="26">
        <v>0.54</v>
      </c>
      <c r="H13" s="2">
        <v>1.37</v>
      </c>
      <c r="I13" s="3">
        <f t="shared" si="0"/>
        <v>0.83000000000000007</v>
      </c>
      <c r="J13" s="3">
        <f t="shared" si="1"/>
        <v>0.68890000000000007</v>
      </c>
      <c r="K13" s="2">
        <v>0.107444712660829</v>
      </c>
      <c r="L13" s="3">
        <f t="shared" si="2"/>
        <v>0.43255528733917104</v>
      </c>
      <c r="M13" s="3">
        <f t="shared" si="3"/>
        <v>0.18710407660507281</v>
      </c>
      <c r="N13" s="2">
        <v>2.44</v>
      </c>
      <c r="O13" s="3">
        <f t="shared" si="4"/>
        <v>1.9</v>
      </c>
      <c r="P13" s="3">
        <f t="shared" si="5"/>
        <v>3.61</v>
      </c>
      <c r="Q13" s="2">
        <v>0</v>
      </c>
      <c r="R13" s="3">
        <f t="shared" si="6"/>
        <v>0.54</v>
      </c>
      <c r="S13" s="3">
        <f t="shared" si="7"/>
        <v>0.29160000000000003</v>
      </c>
      <c r="T13" s="2">
        <v>0.80848176131249705</v>
      </c>
      <c r="U13" s="3">
        <f t="shared" si="8"/>
        <v>0.26848176131249701</v>
      </c>
      <c r="V13" s="3">
        <f t="shared" si="9"/>
        <v>7.2082456157460617E-2</v>
      </c>
      <c r="W13" s="78" t="s">
        <v>399</v>
      </c>
    </row>
    <row r="14" spans="1:23" x14ac:dyDescent="0.3">
      <c r="A14" s="1">
        <v>8</v>
      </c>
      <c r="B14" s="1" t="s">
        <v>15</v>
      </c>
      <c r="C14" s="1" t="s">
        <v>16</v>
      </c>
      <c r="D14" s="1" t="s">
        <v>101</v>
      </c>
      <c r="E14" s="31" t="s">
        <v>17</v>
      </c>
      <c r="F14" s="2"/>
      <c r="G14" s="26">
        <v>0.54</v>
      </c>
      <c r="H14" s="2">
        <v>1.37</v>
      </c>
      <c r="I14" s="3">
        <f t="shared" ref="I14" si="40">ABS(G14-H14)</f>
        <v>0.83000000000000007</v>
      </c>
      <c r="J14" s="3">
        <f t="shared" ref="J14" si="41">I14^2</f>
        <v>0.68890000000000007</v>
      </c>
      <c r="K14" s="2">
        <v>0.107444712660829</v>
      </c>
      <c r="L14" s="3">
        <f t="shared" ref="L14" si="42">ABS(G14-K14)</f>
        <v>0.43255528733917104</v>
      </c>
      <c r="M14" s="3">
        <f t="shared" ref="M14" si="43">L14^2</f>
        <v>0.18710407660507281</v>
      </c>
      <c r="N14" s="2">
        <v>2.44</v>
      </c>
      <c r="O14" s="3">
        <f t="shared" ref="O14" si="44">ABS(G14-N14)</f>
        <v>1.9</v>
      </c>
      <c r="P14" s="3">
        <f t="shared" ref="P14" si="45">O14^2</f>
        <v>3.61</v>
      </c>
      <c r="Q14" s="2">
        <v>0</v>
      </c>
      <c r="R14" s="3">
        <f t="shared" ref="R14" si="46">ABS(G14-Q14)</f>
        <v>0.54</v>
      </c>
      <c r="S14" s="3">
        <f t="shared" ref="S14" si="47">R14^2</f>
        <v>0.29160000000000003</v>
      </c>
      <c r="T14" s="2">
        <v>0.80848176131249705</v>
      </c>
      <c r="U14" s="3">
        <f t="shared" ref="U14" si="48">ABS(G14-T14)</f>
        <v>0.26848176131249701</v>
      </c>
      <c r="V14" s="3">
        <f t="shared" ref="V14" si="49">U14^2</f>
        <v>7.2082456157460617E-2</v>
      </c>
      <c r="W14" s="78" t="s">
        <v>400</v>
      </c>
    </row>
    <row r="15" spans="1:23" x14ac:dyDescent="0.3">
      <c r="A15" s="1">
        <v>9</v>
      </c>
      <c r="B15" s="1" t="s">
        <v>15</v>
      </c>
      <c r="C15" s="1" t="s">
        <v>16</v>
      </c>
      <c r="D15" s="1" t="s">
        <v>101</v>
      </c>
      <c r="E15" s="31" t="s">
        <v>17</v>
      </c>
      <c r="F15" s="2"/>
      <c r="G15" s="26">
        <v>-0.42</v>
      </c>
      <c r="H15" s="2">
        <v>1.37</v>
      </c>
      <c r="I15" s="3">
        <f t="shared" si="0"/>
        <v>1.79</v>
      </c>
      <c r="J15" s="3">
        <f t="shared" si="1"/>
        <v>3.2040999999999999</v>
      </c>
      <c r="K15" s="2">
        <v>0.107444712660829</v>
      </c>
      <c r="L15" s="3">
        <f t="shared" si="2"/>
        <v>0.52744471266082904</v>
      </c>
      <c r="M15" s="3">
        <f t="shared" si="3"/>
        <v>0.27819792491386452</v>
      </c>
      <c r="N15" s="2">
        <v>2.44</v>
      </c>
      <c r="O15" s="3">
        <f t="shared" si="4"/>
        <v>2.86</v>
      </c>
      <c r="P15" s="3">
        <f t="shared" si="5"/>
        <v>8.1795999999999989</v>
      </c>
      <c r="Q15" s="2">
        <v>0</v>
      </c>
      <c r="R15" s="3">
        <f t="shared" si="6"/>
        <v>0.42</v>
      </c>
      <c r="S15" s="3">
        <f t="shared" si="7"/>
        <v>0.17639999999999997</v>
      </c>
      <c r="T15" s="2">
        <v>0.80848176131249705</v>
      </c>
      <c r="U15" s="3">
        <f t="shared" si="8"/>
        <v>1.228481761312497</v>
      </c>
      <c r="V15" s="3">
        <f t="shared" si="9"/>
        <v>1.5091674378774549</v>
      </c>
      <c r="W15" s="78" t="s">
        <v>401</v>
      </c>
    </row>
    <row r="16" spans="1:23" x14ac:dyDescent="0.3">
      <c r="A16" s="1">
        <v>10</v>
      </c>
      <c r="B16" s="1" t="s">
        <v>15</v>
      </c>
      <c r="C16" s="1" t="s">
        <v>16</v>
      </c>
      <c r="D16" s="1" t="s">
        <v>101</v>
      </c>
      <c r="E16" s="31" t="s">
        <v>17</v>
      </c>
      <c r="F16" s="2"/>
      <c r="G16" s="26">
        <v>1.78</v>
      </c>
      <c r="H16" s="2">
        <v>1.37</v>
      </c>
      <c r="I16" s="3">
        <f t="shared" si="0"/>
        <v>0.40999999999999992</v>
      </c>
      <c r="J16" s="3">
        <f t="shared" si="1"/>
        <v>0.16809999999999994</v>
      </c>
      <c r="K16" s="2">
        <v>0.107444712660829</v>
      </c>
      <c r="L16" s="3">
        <f t="shared" si="2"/>
        <v>1.6725552873391711</v>
      </c>
      <c r="M16" s="3">
        <f t="shared" si="3"/>
        <v>2.7974411892062174</v>
      </c>
      <c r="N16" s="2">
        <v>2.44</v>
      </c>
      <c r="O16" s="3">
        <f t="shared" si="4"/>
        <v>0.65999999999999992</v>
      </c>
      <c r="P16" s="3">
        <f t="shared" si="5"/>
        <v>0.43559999999999988</v>
      </c>
      <c r="Q16" s="2">
        <v>0</v>
      </c>
      <c r="R16" s="3">
        <f t="shared" si="6"/>
        <v>1.78</v>
      </c>
      <c r="S16" s="3">
        <f t="shared" si="7"/>
        <v>3.1684000000000001</v>
      </c>
      <c r="T16" s="2">
        <v>0.80848176131249705</v>
      </c>
      <c r="U16" s="3">
        <f t="shared" si="8"/>
        <v>0.97151823868750298</v>
      </c>
      <c r="V16" s="3">
        <f t="shared" si="9"/>
        <v>0.943847688102468</v>
      </c>
      <c r="W16" s="78" t="s">
        <v>402</v>
      </c>
    </row>
    <row r="17" spans="1:23" x14ac:dyDescent="0.3">
      <c r="A17" s="1">
        <v>11</v>
      </c>
      <c r="B17" s="1" t="s">
        <v>15</v>
      </c>
      <c r="C17" s="1" t="s">
        <v>16</v>
      </c>
      <c r="D17" s="1" t="s">
        <v>101</v>
      </c>
      <c r="E17" s="31" t="s">
        <v>17</v>
      </c>
      <c r="F17" s="2"/>
      <c r="G17" s="26">
        <v>1.44</v>
      </c>
      <c r="H17" s="2">
        <v>1.37</v>
      </c>
      <c r="I17" s="3">
        <f t="shared" si="0"/>
        <v>6.999999999999984E-2</v>
      </c>
      <c r="J17" s="3">
        <f t="shared" si="1"/>
        <v>4.8999999999999773E-3</v>
      </c>
      <c r="K17" s="2">
        <v>0.107444712660829</v>
      </c>
      <c r="L17" s="3">
        <f t="shared" si="2"/>
        <v>1.3325552873391708</v>
      </c>
      <c r="M17" s="3">
        <f t="shared" si="3"/>
        <v>1.7757035938155801</v>
      </c>
      <c r="N17" s="2">
        <v>2.44</v>
      </c>
      <c r="O17" s="3">
        <f t="shared" si="4"/>
        <v>1</v>
      </c>
      <c r="P17" s="3">
        <f t="shared" si="5"/>
        <v>1</v>
      </c>
      <c r="Q17" s="2">
        <v>0</v>
      </c>
      <c r="R17" s="3">
        <f t="shared" si="6"/>
        <v>1.44</v>
      </c>
      <c r="S17" s="3">
        <f t="shared" si="7"/>
        <v>2.0735999999999999</v>
      </c>
      <c r="T17" s="2">
        <v>0.80848176131249705</v>
      </c>
      <c r="U17" s="3">
        <f t="shared" si="8"/>
        <v>0.6315182386875029</v>
      </c>
      <c r="V17" s="3">
        <f t="shared" si="9"/>
        <v>0.39881528579496589</v>
      </c>
      <c r="W17" s="78" t="s">
        <v>402</v>
      </c>
    </row>
    <row r="18" spans="1:23" x14ac:dyDescent="0.3">
      <c r="A18" s="1">
        <v>12</v>
      </c>
      <c r="B18" s="1" t="s">
        <v>15</v>
      </c>
      <c r="C18" s="1" t="s">
        <v>16</v>
      </c>
      <c r="D18" s="1" t="s">
        <v>101</v>
      </c>
      <c r="E18" s="31" t="s">
        <v>17</v>
      </c>
      <c r="F18" s="2"/>
      <c r="G18" s="26">
        <v>2.3199999999999998</v>
      </c>
      <c r="H18" s="2">
        <v>1.37</v>
      </c>
      <c r="I18" s="3">
        <f t="shared" si="0"/>
        <v>0.94999999999999973</v>
      </c>
      <c r="J18" s="3">
        <f t="shared" si="1"/>
        <v>0.90249999999999952</v>
      </c>
      <c r="K18" s="2">
        <v>0.107444712660829</v>
      </c>
      <c r="L18" s="3">
        <f t="shared" si="2"/>
        <v>2.2125552873391707</v>
      </c>
      <c r="M18" s="3">
        <f t="shared" si="3"/>
        <v>4.89540089953252</v>
      </c>
      <c r="N18" s="2">
        <v>2.44</v>
      </c>
      <c r="O18" s="3">
        <f t="shared" si="4"/>
        <v>0.12000000000000011</v>
      </c>
      <c r="P18" s="3">
        <f t="shared" si="5"/>
        <v>1.4400000000000026E-2</v>
      </c>
      <c r="Q18" s="2">
        <v>0</v>
      </c>
      <c r="R18" s="3">
        <f t="shared" si="6"/>
        <v>2.3199999999999998</v>
      </c>
      <c r="S18" s="3">
        <f t="shared" si="7"/>
        <v>5.3823999999999996</v>
      </c>
      <c r="T18" s="2">
        <v>0.80848176131249705</v>
      </c>
      <c r="U18" s="3">
        <f t="shared" si="8"/>
        <v>1.5115182386875028</v>
      </c>
      <c r="V18" s="3">
        <f t="shared" si="9"/>
        <v>2.2846873858849706</v>
      </c>
      <c r="W18" s="78" t="s">
        <v>402</v>
      </c>
    </row>
    <row r="19" spans="1:23" x14ac:dyDescent="0.3">
      <c r="A19" s="1">
        <v>13</v>
      </c>
      <c r="B19" s="1" t="s">
        <v>18</v>
      </c>
      <c r="C19" s="1" t="s">
        <v>19</v>
      </c>
      <c r="D19" s="1" t="s">
        <v>102</v>
      </c>
      <c r="E19" s="31" t="s">
        <v>20</v>
      </c>
      <c r="F19" s="2"/>
      <c r="G19" s="26">
        <f>-LOG((0.678+0.625)/2)</f>
        <v>0.18608557995139652</v>
      </c>
      <c r="H19" s="2">
        <v>1.07</v>
      </c>
      <c r="I19" s="3">
        <f t="shared" si="0"/>
        <v>0.88391442004860354</v>
      </c>
      <c r="J19" s="3">
        <f t="shared" si="1"/>
        <v>0.78130470196985913</v>
      </c>
      <c r="K19" s="2">
        <v>5.9329807171512899E-2</v>
      </c>
      <c r="L19" s="3">
        <f t="shared" si="2"/>
        <v>0.12675577277988362</v>
      </c>
      <c r="M19" s="3">
        <f t="shared" si="3"/>
        <v>1.6067025933025485E-2</v>
      </c>
      <c r="N19" s="2">
        <v>2.4300000000000002</v>
      </c>
      <c r="O19" s="3">
        <f t="shared" si="4"/>
        <v>2.2439144200486036</v>
      </c>
      <c r="P19" s="3">
        <f t="shared" si="5"/>
        <v>5.0351519245020615</v>
      </c>
      <c r="Q19" s="2">
        <v>0.1</v>
      </c>
      <c r="R19" s="3">
        <f t="shared" si="6"/>
        <v>8.6085579951396513E-2</v>
      </c>
      <c r="S19" s="3">
        <f t="shared" si="7"/>
        <v>7.4107270755682814E-3</v>
      </c>
      <c r="T19" s="2">
        <v>-0.21338187928684499</v>
      </c>
      <c r="U19" s="3">
        <f t="shared" si="8"/>
        <v>0.39946745923824151</v>
      </c>
      <c r="V19" s="3">
        <f t="shared" si="9"/>
        <v>0.15957425099025613</v>
      </c>
      <c r="W19" s="78" t="s">
        <v>397</v>
      </c>
    </row>
    <row r="20" spans="1:23" x14ac:dyDescent="0.3">
      <c r="A20" s="1">
        <v>14</v>
      </c>
      <c r="B20" s="1" t="s">
        <v>18</v>
      </c>
      <c r="C20" s="1" t="s">
        <v>21</v>
      </c>
      <c r="D20" s="1" t="s">
        <v>102</v>
      </c>
      <c r="E20" s="31" t="s">
        <v>20</v>
      </c>
      <c r="F20" s="2"/>
      <c r="G20" s="26">
        <v>0.38</v>
      </c>
      <c r="H20" s="2">
        <v>1.07</v>
      </c>
      <c r="I20" s="3">
        <f t="shared" si="0"/>
        <v>0.69000000000000006</v>
      </c>
      <c r="J20" s="3">
        <f t="shared" si="1"/>
        <v>0.47610000000000008</v>
      </c>
      <c r="K20" s="2">
        <v>5.9329807171512899E-2</v>
      </c>
      <c r="L20" s="3">
        <f t="shared" si="2"/>
        <v>0.32067019282848708</v>
      </c>
      <c r="M20" s="3">
        <f t="shared" si="3"/>
        <v>0.10282937256865908</v>
      </c>
      <c r="N20" s="2">
        <v>2.4300000000000002</v>
      </c>
      <c r="O20" s="3">
        <f t="shared" si="4"/>
        <v>2.0500000000000003</v>
      </c>
      <c r="P20" s="3">
        <f t="shared" si="5"/>
        <v>4.2025000000000015</v>
      </c>
      <c r="Q20" s="2">
        <v>0.1</v>
      </c>
      <c r="R20" s="3">
        <f t="shared" si="6"/>
        <v>0.28000000000000003</v>
      </c>
      <c r="S20" s="3">
        <f t="shared" si="7"/>
        <v>7.8400000000000011E-2</v>
      </c>
      <c r="T20" s="2">
        <v>-0.21338187928684499</v>
      </c>
      <c r="U20" s="3">
        <f t="shared" si="8"/>
        <v>0.59338187928684505</v>
      </c>
      <c r="V20" s="3">
        <f t="shared" si="9"/>
        <v>0.35210205466598793</v>
      </c>
      <c r="W20" s="78" t="s">
        <v>399</v>
      </c>
    </row>
    <row r="21" spans="1:23" x14ac:dyDescent="0.3">
      <c r="A21" s="1">
        <v>14</v>
      </c>
      <c r="B21" s="1" t="s">
        <v>18</v>
      </c>
      <c r="C21" s="1" t="s">
        <v>21</v>
      </c>
      <c r="D21" s="1" t="s">
        <v>102</v>
      </c>
      <c r="E21" s="31" t="s">
        <v>20</v>
      </c>
      <c r="F21" s="2"/>
      <c r="G21" s="26">
        <v>0.38</v>
      </c>
      <c r="H21" s="2">
        <v>1.07</v>
      </c>
      <c r="I21" s="3">
        <f t="shared" ref="I21" si="50">ABS(G21-H21)</f>
        <v>0.69000000000000006</v>
      </c>
      <c r="J21" s="3">
        <f t="shared" ref="J21" si="51">I21^2</f>
        <v>0.47610000000000008</v>
      </c>
      <c r="K21" s="2">
        <v>5.9329807171512899E-2</v>
      </c>
      <c r="L21" s="3">
        <f t="shared" ref="L21" si="52">ABS(G21-K21)</f>
        <v>0.32067019282848708</v>
      </c>
      <c r="M21" s="3">
        <f t="shared" ref="M21" si="53">L21^2</f>
        <v>0.10282937256865908</v>
      </c>
      <c r="N21" s="2">
        <v>2.4300000000000002</v>
      </c>
      <c r="O21" s="3">
        <f t="shared" ref="O21" si="54">ABS(G21-N21)</f>
        <v>2.0500000000000003</v>
      </c>
      <c r="P21" s="3">
        <f t="shared" ref="P21" si="55">O21^2</f>
        <v>4.2025000000000015</v>
      </c>
      <c r="Q21" s="2">
        <v>0.1</v>
      </c>
      <c r="R21" s="3">
        <f t="shared" ref="R21" si="56">ABS(G21-Q21)</f>
        <v>0.28000000000000003</v>
      </c>
      <c r="S21" s="3">
        <f t="shared" ref="S21" si="57">R21^2</f>
        <v>7.8400000000000011E-2</v>
      </c>
      <c r="T21" s="2">
        <v>-0.21338187928684499</v>
      </c>
      <c r="U21" s="3">
        <f t="shared" ref="U21" si="58">ABS(G21-T21)</f>
        <v>0.59338187928684505</v>
      </c>
      <c r="V21" s="3">
        <f t="shared" ref="V21" si="59">U21^2</f>
        <v>0.35210205466598793</v>
      </c>
      <c r="W21" s="78" t="s">
        <v>400</v>
      </c>
    </row>
    <row r="22" spans="1:23" x14ac:dyDescent="0.3">
      <c r="A22" s="1">
        <v>15</v>
      </c>
      <c r="B22" s="1" t="s">
        <v>18</v>
      </c>
      <c r="C22" s="1" t="s">
        <v>21</v>
      </c>
      <c r="D22" s="1" t="s">
        <v>102</v>
      </c>
      <c r="E22" s="31" t="s">
        <v>20</v>
      </c>
      <c r="F22" s="2"/>
      <c r="G22" s="26">
        <v>0.42</v>
      </c>
      <c r="H22" s="2">
        <v>1.07</v>
      </c>
      <c r="I22" s="3">
        <f t="shared" si="0"/>
        <v>0.65000000000000013</v>
      </c>
      <c r="J22" s="3">
        <f t="shared" si="1"/>
        <v>0.42250000000000015</v>
      </c>
      <c r="K22" s="2">
        <v>5.9329807171512899E-2</v>
      </c>
      <c r="L22" s="3">
        <f t="shared" si="2"/>
        <v>0.36067019282848711</v>
      </c>
      <c r="M22" s="3">
        <f t="shared" si="3"/>
        <v>0.13008298799493809</v>
      </c>
      <c r="N22" s="2">
        <v>2.4300000000000002</v>
      </c>
      <c r="O22" s="3">
        <f t="shared" si="4"/>
        <v>2.0100000000000002</v>
      </c>
      <c r="P22" s="3">
        <f t="shared" si="5"/>
        <v>4.0401000000000007</v>
      </c>
      <c r="Q22" s="2">
        <v>0.1</v>
      </c>
      <c r="R22" s="3">
        <f t="shared" si="6"/>
        <v>0.31999999999999995</v>
      </c>
      <c r="S22" s="3">
        <f t="shared" si="7"/>
        <v>0.10239999999999996</v>
      </c>
      <c r="T22" s="2">
        <v>-0.21338187928684499</v>
      </c>
      <c r="U22" s="3">
        <f t="shared" si="8"/>
        <v>0.63338187928684497</v>
      </c>
      <c r="V22" s="3">
        <f t="shared" si="9"/>
        <v>0.40117260500893548</v>
      </c>
      <c r="W22" s="78" t="s">
        <v>399</v>
      </c>
    </row>
    <row r="23" spans="1:23" x14ac:dyDescent="0.3">
      <c r="A23" s="1">
        <v>15</v>
      </c>
      <c r="B23" s="1" t="s">
        <v>18</v>
      </c>
      <c r="C23" s="1" t="s">
        <v>21</v>
      </c>
      <c r="D23" s="1" t="s">
        <v>102</v>
      </c>
      <c r="E23" s="31" t="s">
        <v>20</v>
      </c>
      <c r="F23" s="2"/>
      <c r="G23" s="26">
        <v>0.42</v>
      </c>
      <c r="H23" s="2">
        <v>1.07</v>
      </c>
      <c r="I23" s="3">
        <f t="shared" ref="I23" si="60">ABS(G23-H23)</f>
        <v>0.65000000000000013</v>
      </c>
      <c r="J23" s="3">
        <f t="shared" ref="J23" si="61">I23^2</f>
        <v>0.42250000000000015</v>
      </c>
      <c r="K23" s="2">
        <v>5.9329807171512899E-2</v>
      </c>
      <c r="L23" s="3">
        <f t="shared" ref="L23" si="62">ABS(G23-K23)</f>
        <v>0.36067019282848711</v>
      </c>
      <c r="M23" s="3">
        <f t="shared" ref="M23" si="63">L23^2</f>
        <v>0.13008298799493809</v>
      </c>
      <c r="N23" s="2">
        <v>2.4300000000000002</v>
      </c>
      <c r="O23" s="3">
        <f t="shared" ref="O23" si="64">ABS(G23-N23)</f>
        <v>2.0100000000000002</v>
      </c>
      <c r="P23" s="3">
        <f t="shared" ref="P23" si="65">O23^2</f>
        <v>4.0401000000000007</v>
      </c>
      <c r="Q23" s="2">
        <v>0.1</v>
      </c>
      <c r="R23" s="3">
        <f t="shared" ref="R23" si="66">ABS(G23-Q23)</f>
        <v>0.31999999999999995</v>
      </c>
      <c r="S23" s="3">
        <f t="shared" ref="S23" si="67">R23^2</f>
        <v>0.10239999999999996</v>
      </c>
      <c r="T23" s="2">
        <v>-0.21338187928684499</v>
      </c>
      <c r="U23" s="3">
        <f t="shared" ref="U23" si="68">ABS(G23-T23)</f>
        <v>0.63338187928684497</v>
      </c>
      <c r="V23" s="3">
        <f t="shared" ref="V23" si="69">U23^2</f>
        <v>0.40117260500893548</v>
      </c>
      <c r="W23" s="78" t="s">
        <v>400</v>
      </c>
    </row>
    <row r="24" spans="1:23" x14ac:dyDescent="0.3">
      <c r="A24" s="1">
        <v>16</v>
      </c>
      <c r="B24" s="1" t="s">
        <v>18</v>
      </c>
      <c r="C24" s="1" t="s">
        <v>21</v>
      </c>
      <c r="D24" s="1" t="s">
        <v>102</v>
      </c>
      <c r="E24" s="31" t="s">
        <v>20</v>
      </c>
      <c r="F24" s="2"/>
      <c r="G24" s="26">
        <v>1.44</v>
      </c>
      <c r="H24" s="2">
        <v>1.07</v>
      </c>
      <c r="I24" s="3">
        <f t="shared" si="0"/>
        <v>0.36999999999999988</v>
      </c>
      <c r="J24" s="3">
        <f t="shared" si="1"/>
        <v>0.13689999999999991</v>
      </c>
      <c r="K24" s="2">
        <v>5.9329807171512899E-2</v>
      </c>
      <c r="L24" s="3">
        <f t="shared" si="2"/>
        <v>1.380670192828487</v>
      </c>
      <c r="M24" s="3">
        <f t="shared" si="3"/>
        <v>1.9062501813650514</v>
      </c>
      <c r="N24" s="2">
        <v>2.4300000000000002</v>
      </c>
      <c r="O24" s="3">
        <f t="shared" si="4"/>
        <v>0.99000000000000021</v>
      </c>
      <c r="P24" s="3">
        <f t="shared" si="5"/>
        <v>0.98010000000000042</v>
      </c>
      <c r="Q24" s="2">
        <v>0.1</v>
      </c>
      <c r="R24" s="3">
        <f t="shared" si="6"/>
        <v>1.3399999999999999</v>
      </c>
      <c r="S24" s="3">
        <f t="shared" si="7"/>
        <v>1.7955999999999996</v>
      </c>
      <c r="T24" s="2">
        <v>-0.21338187928684499</v>
      </c>
      <c r="U24" s="3">
        <f t="shared" si="8"/>
        <v>1.6533818792868449</v>
      </c>
      <c r="V24" s="3">
        <f t="shared" si="9"/>
        <v>2.7336716387540987</v>
      </c>
      <c r="W24" s="78" t="s">
        <v>402</v>
      </c>
    </row>
    <row r="25" spans="1:23" x14ac:dyDescent="0.3">
      <c r="A25" s="1">
        <v>17</v>
      </c>
      <c r="B25" s="1" t="s">
        <v>18</v>
      </c>
      <c r="C25" s="1" t="s">
        <v>21</v>
      </c>
      <c r="D25" s="1" t="s">
        <v>102</v>
      </c>
      <c r="E25" s="31" t="s">
        <v>20</v>
      </c>
      <c r="F25" s="2"/>
      <c r="G25" s="26">
        <v>1.51</v>
      </c>
      <c r="H25" s="2">
        <v>1.07</v>
      </c>
      <c r="I25" s="3">
        <f t="shared" si="0"/>
        <v>0.43999999999999995</v>
      </c>
      <c r="J25" s="3">
        <f t="shared" si="1"/>
        <v>0.19359999999999997</v>
      </c>
      <c r="K25" s="2">
        <v>5.9329807171512899E-2</v>
      </c>
      <c r="L25" s="3">
        <f t="shared" si="2"/>
        <v>1.4506701928284871</v>
      </c>
      <c r="M25" s="3">
        <f t="shared" si="3"/>
        <v>2.1044440083610398</v>
      </c>
      <c r="N25" s="2">
        <v>2.4300000000000002</v>
      </c>
      <c r="O25" s="3">
        <f t="shared" si="4"/>
        <v>0.92000000000000015</v>
      </c>
      <c r="P25" s="3">
        <f t="shared" si="5"/>
        <v>0.84640000000000026</v>
      </c>
      <c r="Q25" s="2">
        <v>0.1</v>
      </c>
      <c r="R25" s="3">
        <f t="shared" si="6"/>
        <v>1.41</v>
      </c>
      <c r="S25" s="3">
        <f t="shared" si="7"/>
        <v>1.9880999999999998</v>
      </c>
      <c r="T25" s="2">
        <v>-0.21338187928684499</v>
      </c>
      <c r="U25" s="3">
        <f t="shared" si="8"/>
        <v>1.7233818792868449</v>
      </c>
      <c r="V25" s="3">
        <f t="shared" si="9"/>
        <v>2.9700451018542573</v>
      </c>
      <c r="W25" s="78" t="s">
        <v>402</v>
      </c>
    </row>
    <row r="26" spans="1:23" x14ac:dyDescent="0.3">
      <c r="A26" s="1">
        <v>18</v>
      </c>
      <c r="B26" s="1" t="s">
        <v>18</v>
      </c>
      <c r="C26" s="1" t="s">
        <v>19</v>
      </c>
      <c r="D26" s="1" t="s">
        <v>102</v>
      </c>
      <c r="E26" s="31" t="s">
        <v>20</v>
      </c>
      <c r="F26" s="2" t="s">
        <v>22</v>
      </c>
      <c r="G26" s="26">
        <v>1.6</v>
      </c>
      <c r="H26" s="2">
        <v>1.07</v>
      </c>
      <c r="I26" s="3">
        <f t="shared" si="0"/>
        <v>0.53</v>
      </c>
      <c r="J26" s="3">
        <f t="shared" si="1"/>
        <v>0.28090000000000004</v>
      </c>
      <c r="K26" s="2">
        <v>5.9329807171512899E-2</v>
      </c>
      <c r="L26" s="3">
        <f t="shared" si="2"/>
        <v>1.5406701928284872</v>
      </c>
      <c r="M26" s="3">
        <f t="shared" si="3"/>
        <v>2.373664643070168</v>
      </c>
      <c r="N26" s="2">
        <v>2.4300000000000002</v>
      </c>
      <c r="O26" s="3">
        <f t="shared" si="4"/>
        <v>0.83000000000000007</v>
      </c>
      <c r="P26" s="3">
        <f t="shared" si="5"/>
        <v>0.68890000000000007</v>
      </c>
      <c r="Q26" s="2">
        <v>0.1</v>
      </c>
      <c r="R26" s="3">
        <f t="shared" si="6"/>
        <v>1.5</v>
      </c>
      <c r="S26" s="3">
        <f t="shared" si="7"/>
        <v>2.25</v>
      </c>
      <c r="T26" s="2">
        <v>-0.21338187928684499</v>
      </c>
      <c r="U26" s="3">
        <f t="shared" si="8"/>
        <v>1.813381879286845</v>
      </c>
      <c r="V26" s="3">
        <f t="shared" si="9"/>
        <v>3.2883538401258896</v>
      </c>
      <c r="W26" s="78" t="s">
        <v>403</v>
      </c>
    </row>
    <row r="27" spans="1:23" x14ac:dyDescent="0.3">
      <c r="A27" s="1">
        <v>19</v>
      </c>
      <c r="B27" s="1" t="s">
        <v>23</v>
      </c>
      <c r="C27" s="1" t="s">
        <v>24</v>
      </c>
      <c r="D27" s="1" t="s">
        <v>103</v>
      </c>
      <c r="E27" s="31" t="s">
        <v>25</v>
      </c>
      <c r="F27" s="2"/>
      <c r="G27" s="26">
        <v>0.64</v>
      </c>
      <c r="H27" s="2">
        <v>0.34</v>
      </c>
      <c r="I27" s="3">
        <f t="shared" si="0"/>
        <v>0.3</v>
      </c>
      <c r="J27" s="3">
        <f t="shared" si="1"/>
        <v>0.09</v>
      </c>
      <c r="K27" s="2">
        <v>-0.1</v>
      </c>
      <c r="L27" s="3">
        <f t="shared" si="2"/>
        <v>0.74</v>
      </c>
      <c r="M27" s="3">
        <f t="shared" si="3"/>
        <v>0.54759999999999998</v>
      </c>
      <c r="N27" s="2">
        <v>2.5099999999999998</v>
      </c>
      <c r="O27" s="3">
        <f t="shared" si="4"/>
        <v>1.8699999999999997</v>
      </c>
      <c r="P27" s="3">
        <f t="shared" si="5"/>
        <v>3.4968999999999988</v>
      </c>
      <c r="Q27" s="2">
        <v>0.1</v>
      </c>
      <c r="R27" s="3">
        <f t="shared" si="6"/>
        <v>0.54</v>
      </c>
      <c r="S27" s="3">
        <f t="shared" si="7"/>
        <v>0.29160000000000003</v>
      </c>
      <c r="T27" s="2">
        <v>-0.79910563174046301</v>
      </c>
      <c r="U27" s="3">
        <f t="shared" si="8"/>
        <v>1.4391056317404631</v>
      </c>
      <c r="V27" s="3">
        <f t="shared" si="9"/>
        <v>2.0710250193071174</v>
      </c>
      <c r="W27" s="78" t="s">
        <v>399</v>
      </c>
    </row>
    <row r="28" spans="1:23" x14ac:dyDescent="0.3">
      <c r="A28" s="1">
        <v>19</v>
      </c>
      <c r="B28" s="1" t="s">
        <v>23</v>
      </c>
      <c r="C28" s="1" t="s">
        <v>24</v>
      </c>
      <c r="D28" s="1" t="s">
        <v>103</v>
      </c>
      <c r="E28" s="31" t="s">
        <v>25</v>
      </c>
      <c r="F28" s="2"/>
      <c r="G28" s="26">
        <v>0.64</v>
      </c>
      <c r="H28" s="2">
        <v>0.34</v>
      </c>
      <c r="I28" s="3">
        <f t="shared" ref="I28" si="70">ABS(G28-H28)</f>
        <v>0.3</v>
      </c>
      <c r="J28" s="3">
        <f t="shared" ref="J28" si="71">I28^2</f>
        <v>0.09</v>
      </c>
      <c r="K28" s="2">
        <v>-0.1</v>
      </c>
      <c r="L28" s="3">
        <f t="shared" ref="L28" si="72">ABS(G28-K28)</f>
        <v>0.74</v>
      </c>
      <c r="M28" s="3">
        <f t="shared" ref="M28" si="73">L28^2</f>
        <v>0.54759999999999998</v>
      </c>
      <c r="N28" s="2">
        <v>2.5099999999999998</v>
      </c>
      <c r="O28" s="3">
        <f t="shared" ref="O28" si="74">ABS(G28-N28)</f>
        <v>1.8699999999999997</v>
      </c>
      <c r="P28" s="3">
        <f t="shared" ref="P28" si="75">O28^2</f>
        <v>3.4968999999999988</v>
      </c>
      <c r="Q28" s="2">
        <v>0.1</v>
      </c>
      <c r="R28" s="3">
        <f t="shared" ref="R28" si="76">ABS(G28-Q28)</f>
        <v>0.54</v>
      </c>
      <c r="S28" s="3">
        <f t="shared" ref="S28" si="77">R28^2</f>
        <v>0.29160000000000003</v>
      </c>
      <c r="T28" s="2">
        <v>-0.79910563174046301</v>
      </c>
      <c r="U28" s="3">
        <f t="shared" ref="U28" si="78">ABS(G28-T28)</f>
        <v>1.4391056317404631</v>
      </c>
      <c r="V28" s="3">
        <f t="shared" ref="V28" si="79">U28^2</f>
        <v>2.0710250193071174</v>
      </c>
      <c r="W28" s="78" t="s">
        <v>400</v>
      </c>
    </row>
    <row r="29" spans="1:23" x14ac:dyDescent="0.3">
      <c r="A29" s="1">
        <v>20</v>
      </c>
      <c r="B29" s="1" t="s">
        <v>23</v>
      </c>
      <c r="C29" s="1" t="s">
        <v>24</v>
      </c>
      <c r="D29" s="1" t="s">
        <v>103</v>
      </c>
      <c r="E29" s="31" t="s">
        <v>25</v>
      </c>
      <c r="F29" s="2"/>
      <c r="G29" s="26">
        <v>0.43</v>
      </c>
      <c r="H29" s="2">
        <v>0.34</v>
      </c>
      <c r="I29" s="3">
        <f t="shared" si="0"/>
        <v>8.9999999999999969E-2</v>
      </c>
      <c r="J29" s="3">
        <f t="shared" si="1"/>
        <v>8.0999999999999944E-3</v>
      </c>
      <c r="K29" s="2">
        <v>-0.1</v>
      </c>
      <c r="L29" s="3">
        <f t="shared" si="2"/>
        <v>0.53</v>
      </c>
      <c r="M29" s="3">
        <f t="shared" si="3"/>
        <v>0.28090000000000004</v>
      </c>
      <c r="N29" s="2">
        <v>2.5099999999999998</v>
      </c>
      <c r="O29" s="3">
        <f t="shared" si="4"/>
        <v>2.0799999999999996</v>
      </c>
      <c r="P29" s="3">
        <f t="shared" si="5"/>
        <v>4.3263999999999987</v>
      </c>
      <c r="Q29" s="2">
        <v>0.1</v>
      </c>
      <c r="R29" s="3">
        <f t="shared" si="6"/>
        <v>0.32999999999999996</v>
      </c>
      <c r="S29" s="3">
        <f t="shared" si="7"/>
        <v>0.10889999999999997</v>
      </c>
      <c r="T29" s="2">
        <v>-0.79910563174046301</v>
      </c>
      <c r="U29" s="3">
        <f t="shared" si="8"/>
        <v>1.2291056317404629</v>
      </c>
      <c r="V29" s="3">
        <f t="shared" si="9"/>
        <v>1.5107006539761225</v>
      </c>
      <c r="W29" s="78" t="s">
        <v>399</v>
      </c>
    </row>
    <row r="30" spans="1:23" x14ac:dyDescent="0.3">
      <c r="A30" s="1">
        <v>20</v>
      </c>
      <c r="B30" s="1" t="s">
        <v>23</v>
      </c>
      <c r="C30" s="1" t="s">
        <v>24</v>
      </c>
      <c r="D30" s="1" t="s">
        <v>103</v>
      </c>
      <c r="E30" s="31" t="s">
        <v>25</v>
      </c>
      <c r="F30" s="2"/>
      <c r="G30" s="26">
        <v>0.43</v>
      </c>
      <c r="H30" s="2">
        <v>0.34</v>
      </c>
      <c r="I30" s="3">
        <f t="shared" ref="I30" si="80">ABS(G30-H30)</f>
        <v>8.9999999999999969E-2</v>
      </c>
      <c r="J30" s="3">
        <f t="shared" ref="J30" si="81">I30^2</f>
        <v>8.0999999999999944E-3</v>
      </c>
      <c r="K30" s="2">
        <v>-0.1</v>
      </c>
      <c r="L30" s="3">
        <f t="shared" ref="L30" si="82">ABS(G30-K30)</f>
        <v>0.53</v>
      </c>
      <c r="M30" s="3">
        <f t="shared" ref="M30" si="83">L30^2</f>
        <v>0.28090000000000004</v>
      </c>
      <c r="N30" s="2">
        <v>2.5099999999999998</v>
      </c>
      <c r="O30" s="3">
        <f t="shared" ref="O30" si="84">ABS(G30-N30)</f>
        <v>2.0799999999999996</v>
      </c>
      <c r="P30" s="3">
        <f t="shared" ref="P30" si="85">O30^2</f>
        <v>4.3263999999999987</v>
      </c>
      <c r="Q30" s="2">
        <v>0.1</v>
      </c>
      <c r="R30" s="3">
        <f t="shared" ref="R30" si="86">ABS(G30-Q30)</f>
        <v>0.32999999999999996</v>
      </c>
      <c r="S30" s="3">
        <f t="shared" ref="S30" si="87">R30^2</f>
        <v>0.10889999999999997</v>
      </c>
      <c r="T30" s="2">
        <v>-0.79910563174046301</v>
      </c>
      <c r="U30" s="3">
        <f t="shared" ref="U30" si="88">ABS(G30-T30)</f>
        <v>1.2291056317404629</v>
      </c>
      <c r="V30" s="3">
        <f t="shared" ref="V30" si="89">U30^2</f>
        <v>1.5107006539761225</v>
      </c>
      <c r="W30" s="78" t="s">
        <v>400</v>
      </c>
    </row>
    <row r="31" spans="1:23" x14ac:dyDescent="0.3">
      <c r="A31" s="1">
        <v>21</v>
      </c>
      <c r="B31" s="1" t="s">
        <v>23</v>
      </c>
      <c r="C31" s="1" t="s">
        <v>24</v>
      </c>
      <c r="D31" s="1" t="s">
        <v>103</v>
      </c>
      <c r="E31" s="31" t="s">
        <v>25</v>
      </c>
      <c r="F31" s="2"/>
      <c r="G31" s="26">
        <v>2.27</v>
      </c>
      <c r="H31" s="2">
        <v>0.34</v>
      </c>
      <c r="I31" s="3">
        <f t="shared" si="0"/>
        <v>1.93</v>
      </c>
      <c r="J31" s="3">
        <f t="shared" si="1"/>
        <v>3.7248999999999999</v>
      </c>
      <c r="K31" s="2">
        <v>-0.1</v>
      </c>
      <c r="L31" s="3">
        <f t="shared" si="2"/>
        <v>2.37</v>
      </c>
      <c r="M31" s="3">
        <f t="shared" si="3"/>
        <v>5.6169000000000002</v>
      </c>
      <c r="N31" s="2">
        <v>2.5099999999999998</v>
      </c>
      <c r="O31" s="3">
        <f t="shared" si="4"/>
        <v>0.23999999999999977</v>
      </c>
      <c r="P31" s="3">
        <f t="shared" si="5"/>
        <v>5.7599999999999887E-2</v>
      </c>
      <c r="Q31" s="2">
        <v>0.1</v>
      </c>
      <c r="R31" s="3">
        <f t="shared" si="6"/>
        <v>2.17</v>
      </c>
      <c r="S31" s="3">
        <f t="shared" si="7"/>
        <v>4.7088999999999999</v>
      </c>
      <c r="T31" s="2">
        <v>-0.79910563174046301</v>
      </c>
      <c r="U31" s="3">
        <f t="shared" si="8"/>
        <v>3.069105631740463</v>
      </c>
      <c r="V31" s="3">
        <f t="shared" si="9"/>
        <v>9.419409378781026</v>
      </c>
      <c r="W31" s="78" t="s">
        <v>402</v>
      </c>
    </row>
    <row r="32" spans="1:23" x14ac:dyDescent="0.3">
      <c r="A32" s="1">
        <v>22</v>
      </c>
      <c r="B32" s="1" t="s">
        <v>23</v>
      </c>
      <c r="C32" s="1" t="s">
        <v>24</v>
      </c>
      <c r="D32" s="1" t="s">
        <v>103</v>
      </c>
      <c r="E32" s="31" t="s">
        <v>25</v>
      </c>
      <c r="F32" s="2" t="s">
        <v>22</v>
      </c>
      <c r="G32" s="26">
        <v>1.6</v>
      </c>
      <c r="H32" s="2">
        <v>0.34</v>
      </c>
      <c r="I32" s="3">
        <f t="shared" si="0"/>
        <v>1.26</v>
      </c>
      <c r="J32" s="3">
        <f t="shared" si="1"/>
        <v>1.5876000000000001</v>
      </c>
      <c r="K32" s="2">
        <v>-0.1</v>
      </c>
      <c r="L32" s="3">
        <f t="shared" si="2"/>
        <v>1.7000000000000002</v>
      </c>
      <c r="M32" s="3">
        <f t="shared" si="3"/>
        <v>2.8900000000000006</v>
      </c>
      <c r="N32" s="2">
        <v>2.5099999999999998</v>
      </c>
      <c r="O32" s="3">
        <f t="shared" si="4"/>
        <v>0.9099999999999997</v>
      </c>
      <c r="P32" s="3">
        <f t="shared" si="5"/>
        <v>0.8280999999999995</v>
      </c>
      <c r="Q32" s="2">
        <v>0.1</v>
      </c>
      <c r="R32" s="3">
        <f t="shared" si="6"/>
        <v>1.5</v>
      </c>
      <c r="S32" s="3">
        <f t="shared" si="7"/>
        <v>2.25</v>
      </c>
      <c r="T32" s="2">
        <v>-0.79910563174046301</v>
      </c>
      <c r="U32" s="3">
        <f t="shared" si="8"/>
        <v>2.3991056317404631</v>
      </c>
      <c r="V32" s="3">
        <f t="shared" si="9"/>
        <v>5.7557078322488069</v>
      </c>
      <c r="W32" s="78" t="s">
        <v>403</v>
      </c>
    </row>
    <row r="33" spans="1:23" x14ac:dyDescent="0.3">
      <c r="A33" s="1">
        <v>23</v>
      </c>
      <c r="B33" s="1" t="s">
        <v>26</v>
      </c>
      <c r="C33" s="1" t="s">
        <v>27</v>
      </c>
      <c r="D33" s="1" t="s">
        <v>104</v>
      </c>
      <c r="E33" s="31" t="s">
        <v>28</v>
      </c>
      <c r="F33" s="2"/>
      <c r="G33" s="26">
        <v>0.89</v>
      </c>
      <c r="H33" s="2">
        <v>-0.78</v>
      </c>
      <c r="I33" s="3">
        <f t="shared" si="0"/>
        <v>1.67</v>
      </c>
      <c r="J33" s="3">
        <f t="shared" si="1"/>
        <v>2.7888999999999999</v>
      </c>
      <c r="K33" s="2">
        <v>-0.17</v>
      </c>
      <c r="L33" s="3">
        <f t="shared" si="2"/>
        <v>1.06</v>
      </c>
      <c r="M33" s="3">
        <f t="shared" si="3"/>
        <v>1.1236000000000002</v>
      </c>
      <c r="N33" s="2">
        <v>2.61</v>
      </c>
      <c r="O33" s="3">
        <f t="shared" si="4"/>
        <v>1.7199999999999998</v>
      </c>
      <c r="P33" s="3">
        <f t="shared" si="5"/>
        <v>2.9583999999999993</v>
      </c>
      <c r="Q33" s="2">
        <v>0.1</v>
      </c>
      <c r="R33" s="3">
        <f t="shared" si="6"/>
        <v>0.79</v>
      </c>
      <c r="S33" s="3">
        <f t="shared" si="7"/>
        <v>0.6241000000000001</v>
      </c>
      <c r="T33" s="2">
        <v>0.202747150474761</v>
      </c>
      <c r="U33" s="3">
        <f t="shared" si="8"/>
        <v>0.68725284952523902</v>
      </c>
      <c r="V33" s="3">
        <f t="shared" si="9"/>
        <v>0.4723164791805608</v>
      </c>
      <c r="W33" s="78" t="s">
        <v>399</v>
      </c>
    </row>
    <row r="34" spans="1:23" x14ac:dyDescent="0.3">
      <c r="A34" s="1">
        <v>23</v>
      </c>
      <c r="B34" s="1" t="s">
        <v>26</v>
      </c>
      <c r="C34" s="1" t="s">
        <v>27</v>
      </c>
      <c r="D34" s="1" t="s">
        <v>104</v>
      </c>
      <c r="E34" s="31" t="s">
        <v>28</v>
      </c>
      <c r="F34" s="2"/>
      <c r="G34" s="26">
        <v>0.89</v>
      </c>
      <c r="H34" s="2">
        <v>-0.78</v>
      </c>
      <c r="I34" s="3">
        <f t="shared" ref="I34" si="90">ABS(G34-H34)</f>
        <v>1.67</v>
      </c>
      <c r="J34" s="3">
        <f t="shared" ref="J34" si="91">I34^2</f>
        <v>2.7888999999999999</v>
      </c>
      <c r="K34" s="2">
        <v>-0.17</v>
      </c>
      <c r="L34" s="3">
        <f t="shared" ref="L34" si="92">ABS(G34-K34)</f>
        <v>1.06</v>
      </c>
      <c r="M34" s="3">
        <f t="shared" ref="M34" si="93">L34^2</f>
        <v>1.1236000000000002</v>
      </c>
      <c r="N34" s="2">
        <v>2.61</v>
      </c>
      <c r="O34" s="3">
        <f t="shared" ref="O34" si="94">ABS(G34-N34)</f>
        <v>1.7199999999999998</v>
      </c>
      <c r="P34" s="3">
        <f t="shared" ref="P34" si="95">O34^2</f>
        <v>2.9583999999999993</v>
      </c>
      <c r="Q34" s="2">
        <v>0.1</v>
      </c>
      <c r="R34" s="3">
        <f t="shared" ref="R34" si="96">ABS(G34-Q34)</f>
        <v>0.79</v>
      </c>
      <c r="S34" s="3">
        <f t="shared" ref="S34" si="97">R34^2</f>
        <v>0.6241000000000001</v>
      </c>
      <c r="T34" s="2">
        <v>0.202747150474761</v>
      </c>
      <c r="U34" s="3">
        <f t="shared" ref="U34" si="98">ABS(G34-T34)</f>
        <v>0.68725284952523902</v>
      </c>
      <c r="V34" s="3">
        <f t="shared" ref="V34" si="99">U34^2</f>
        <v>0.4723164791805608</v>
      </c>
      <c r="W34" s="78" t="s">
        <v>400</v>
      </c>
    </row>
    <row r="35" spans="1:23" x14ac:dyDescent="0.3">
      <c r="A35" s="1">
        <v>24</v>
      </c>
      <c r="B35" s="1" t="s">
        <v>26</v>
      </c>
      <c r="C35" s="1" t="s">
        <v>27</v>
      </c>
      <c r="D35" s="1" t="s">
        <v>104</v>
      </c>
      <c r="E35" s="31" t="s">
        <v>28</v>
      </c>
      <c r="F35" s="2"/>
      <c r="G35" s="26">
        <v>0.75</v>
      </c>
      <c r="H35" s="2">
        <v>-0.78</v>
      </c>
      <c r="I35" s="3">
        <f t="shared" si="0"/>
        <v>1.53</v>
      </c>
      <c r="J35" s="3">
        <f t="shared" si="1"/>
        <v>2.3409</v>
      </c>
      <c r="K35" s="2">
        <v>-0.17</v>
      </c>
      <c r="L35" s="3">
        <f t="shared" si="2"/>
        <v>0.92</v>
      </c>
      <c r="M35" s="3">
        <f t="shared" si="3"/>
        <v>0.84640000000000004</v>
      </c>
      <c r="N35" s="2">
        <v>2.61</v>
      </c>
      <c r="O35" s="3">
        <f t="shared" si="4"/>
        <v>1.8599999999999999</v>
      </c>
      <c r="P35" s="3">
        <f t="shared" si="5"/>
        <v>3.4595999999999996</v>
      </c>
      <c r="Q35" s="2">
        <v>0.1</v>
      </c>
      <c r="R35" s="3">
        <f t="shared" si="6"/>
        <v>0.65</v>
      </c>
      <c r="S35" s="3">
        <f t="shared" si="7"/>
        <v>0.42250000000000004</v>
      </c>
      <c r="T35" s="2">
        <v>0.202747150474761</v>
      </c>
      <c r="U35" s="3">
        <f t="shared" si="8"/>
        <v>0.547252849525239</v>
      </c>
      <c r="V35" s="3">
        <f t="shared" si="9"/>
        <v>0.2994856813134939</v>
      </c>
      <c r="W35" s="78" t="s">
        <v>399</v>
      </c>
    </row>
    <row r="36" spans="1:23" x14ac:dyDescent="0.3">
      <c r="A36" s="1">
        <v>24</v>
      </c>
      <c r="B36" s="1" t="s">
        <v>26</v>
      </c>
      <c r="C36" s="1" t="s">
        <v>27</v>
      </c>
      <c r="D36" s="1" t="s">
        <v>104</v>
      </c>
      <c r="E36" s="31" t="s">
        <v>28</v>
      </c>
      <c r="F36" s="2"/>
      <c r="G36" s="26">
        <v>0.75</v>
      </c>
      <c r="H36" s="2">
        <v>-0.78</v>
      </c>
      <c r="I36" s="3">
        <f t="shared" ref="I36" si="100">ABS(G36-H36)</f>
        <v>1.53</v>
      </c>
      <c r="J36" s="3">
        <f t="shared" ref="J36" si="101">I36^2</f>
        <v>2.3409</v>
      </c>
      <c r="K36" s="2">
        <v>-0.17</v>
      </c>
      <c r="L36" s="3">
        <f t="shared" ref="L36" si="102">ABS(G36-K36)</f>
        <v>0.92</v>
      </c>
      <c r="M36" s="3">
        <f t="shared" ref="M36" si="103">L36^2</f>
        <v>0.84640000000000004</v>
      </c>
      <c r="N36" s="2">
        <v>2.61</v>
      </c>
      <c r="O36" s="3">
        <f t="shared" ref="O36" si="104">ABS(G36-N36)</f>
        <v>1.8599999999999999</v>
      </c>
      <c r="P36" s="3">
        <f t="shared" ref="P36" si="105">O36^2</f>
        <v>3.4595999999999996</v>
      </c>
      <c r="Q36" s="2">
        <v>0.1</v>
      </c>
      <c r="R36" s="3">
        <f t="shared" ref="R36" si="106">ABS(G36-Q36)</f>
        <v>0.65</v>
      </c>
      <c r="S36" s="3">
        <f t="shared" ref="S36" si="107">R36^2</f>
        <v>0.42250000000000004</v>
      </c>
      <c r="T36" s="2">
        <v>0.202747150474761</v>
      </c>
      <c r="U36" s="3">
        <f t="shared" ref="U36" si="108">ABS(G36-T36)</f>
        <v>0.547252849525239</v>
      </c>
      <c r="V36" s="3">
        <f t="shared" ref="V36" si="109">U36^2</f>
        <v>0.2994856813134939</v>
      </c>
      <c r="W36" s="78" t="s">
        <v>400</v>
      </c>
    </row>
    <row r="37" spans="1:23" x14ac:dyDescent="0.3">
      <c r="A37" s="1">
        <v>25</v>
      </c>
      <c r="B37" s="1" t="s">
        <v>26</v>
      </c>
      <c r="C37" s="1" t="s">
        <v>27</v>
      </c>
      <c r="D37" s="1" t="s">
        <v>104</v>
      </c>
      <c r="E37" s="31" t="s">
        <v>28</v>
      </c>
      <c r="F37" s="2"/>
      <c r="G37" s="26">
        <v>2.17</v>
      </c>
      <c r="H37" s="2">
        <v>-0.78</v>
      </c>
      <c r="I37" s="3">
        <f t="shared" si="0"/>
        <v>2.95</v>
      </c>
      <c r="J37" s="3">
        <f t="shared" si="1"/>
        <v>8.7025000000000006</v>
      </c>
      <c r="K37" s="2">
        <v>-0.17</v>
      </c>
      <c r="L37" s="3">
        <f t="shared" si="2"/>
        <v>2.34</v>
      </c>
      <c r="M37" s="3">
        <f t="shared" si="3"/>
        <v>5.4755999999999991</v>
      </c>
      <c r="N37" s="2">
        <v>2.61</v>
      </c>
      <c r="O37" s="3">
        <f t="shared" si="4"/>
        <v>0.43999999999999995</v>
      </c>
      <c r="P37" s="3">
        <f t="shared" si="5"/>
        <v>0.19359999999999997</v>
      </c>
      <c r="Q37" s="2">
        <v>0.1</v>
      </c>
      <c r="R37" s="3">
        <f t="shared" si="6"/>
        <v>2.0699999999999998</v>
      </c>
      <c r="S37" s="3">
        <f t="shared" si="7"/>
        <v>4.2848999999999995</v>
      </c>
      <c r="T37" s="2">
        <v>0.202747150474761</v>
      </c>
      <c r="U37" s="3">
        <f t="shared" si="8"/>
        <v>1.9672528495252388</v>
      </c>
      <c r="V37" s="3">
        <f t="shared" si="9"/>
        <v>3.8700837739651721</v>
      </c>
      <c r="W37" s="78" t="s">
        <v>402</v>
      </c>
    </row>
    <row r="38" spans="1:23" x14ac:dyDescent="0.3">
      <c r="A38" s="1">
        <v>26</v>
      </c>
      <c r="B38" s="1" t="s">
        <v>26</v>
      </c>
      <c r="C38" s="1" t="s">
        <v>27</v>
      </c>
      <c r="D38" s="1" t="s">
        <v>104</v>
      </c>
      <c r="E38" s="31" t="s">
        <v>28</v>
      </c>
      <c r="F38" s="2" t="s">
        <v>22</v>
      </c>
      <c r="G38" s="26">
        <v>1.6</v>
      </c>
      <c r="H38" s="2">
        <v>-0.78</v>
      </c>
      <c r="I38" s="3">
        <f t="shared" si="0"/>
        <v>2.38</v>
      </c>
      <c r="J38" s="3">
        <f t="shared" si="1"/>
        <v>5.6643999999999997</v>
      </c>
      <c r="K38" s="2">
        <v>-0.17</v>
      </c>
      <c r="L38" s="3">
        <f t="shared" si="2"/>
        <v>1.77</v>
      </c>
      <c r="M38" s="3">
        <f t="shared" si="3"/>
        <v>3.1329000000000002</v>
      </c>
      <c r="N38" s="2">
        <v>2.61</v>
      </c>
      <c r="O38" s="3">
        <f t="shared" si="4"/>
        <v>1.0099999999999998</v>
      </c>
      <c r="P38" s="3">
        <f t="shared" si="5"/>
        <v>1.0200999999999996</v>
      </c>
      <c r="Q38" s="2">
        <v>0.1</v>
      </c>
      <c r="R38" s="3">
        <f t="shared" si="6"/>
        <v>1.5</v>
      </c>
      <c r="S38" s="3">
        <f t="shared" si="7"/>
        <v>2.25</v>
      </c>
      <c r="T38" s="2">
        <v>0.202747150474761</v>
      </c>
      <c r="U38" s="3">
        <f t="shared" si="8"/>
        <v>1.397252849525239</v>
      </c>
      <c r="V38" s="3">
        <f t="shared" si="9"/>
        <v>1.9523155255064002</v>
      </c>
      <c r="W38" s="78" t="s">
        <v>403</v>
      </c>
    </row>
    <row r="39" spans="1:23" x14ac:dyDescent="0.3">
      <c r="A39" s="1">
        <v>27</v>
      </c>
      <c r="B39" s="1" t="s">
        <v>29</v>
      </c>
      <c r="C39" s="1" t="s">
        <v>30</v>
      </c>
      <c r="D39" s="1" t="s">
        <v>105</v>
      </c>
      <c r="E39" s="31" t="s">
        <v>31</v>
      </c>
      <c r="F39" s="2"/>
      <c r="G39" s="26">
        <v>2.2599999999999998</v>
      </c>
      <c r="H39" s="2">
        <v>-2.29</v>
      </c>
      <c r="I39" s="3">
        <f t="shared" si="0"/>
        <v>4.55</v>
      </c>
      <c r="J39" s="3">
        <f t="shared" si="1"/>
        <v>20.702499999999997</v>
      </c>
      <c r="K39" s="2">
        <v>-0.2</v>
      </c>
      <c r="L39" s="3">
        <f t="shared" si="2"/>
        <v>2.46</v>
      </c>
      <c r="M39" s="3">
        <f t="shared" si="3"/>
        <v>6.0515999999999996</v>
      </c>
      <c r="N39" s="2">
        <v>2.72</v>
      </c>
      <c r="O39" s="3">
        <f t="shared" si="4"/>
        <v>0.46000000000000041</v>
      </c>
      <c r="P39" s="3">
        <f t="shared" si="5"/>
        <v>0.21160000000000037</v>
      </c>
      <c r="Q39" s="2">
        <v>0.1</v>
      </c>
      <c r="R39" s="3">
        <f t="shared" si="6"/>
        <v>2.1599999999999997</v>
      </c>
      <c r="S39" s="3">
        <f t="shared" si="7"/>
        <v>4.6655999999999986</v>
      </c>
      <c r="T39" s="2">
        <v>6.19499759245246E-2</v>
      </c>
      <c r="U39" s="3">
        <f t="shared" si="8"/>
        <v>2.1980500240754752</v>
      </c>
      <c r="V39" s="3">
        <f t="shared" si="9"/>
        <v>4.8314239083381976</v>
      </c>
      <c r="W39" s="78" t="s">
        <v>402</v>
      </c>
    </row>
    <row r="40" spans="1:23" x14ac:dyDescent="0.3">
      <c r="A40" s="1">
        <v>28</v>
      </c>
      <c r="B40" s="1" t="s">
        <v>29</v>
      </c>
      <c r="C40" s="1" t="s">
        <v>30</v>
      </c>
      <c r="D40" s="1" t="s">
        <v>105</v>
      </c>
      <c r="E40" s="31" t="s">
        <v>31</v>
      </c>
      <c r="F40" s="2" t="s">
        <v>22</v>
      </c>
      <c r="G40" s="26">
        <v>1.6</v>
      </c>
      <c r="H40" s="2">
        <v>-2.29</v>
      </c>
      <c r="I40" s="3">
        <f t="shared" si="0"/>
        <v>3.89</v>
      </c>
      <c r="J40" s="3">
        <f t="shared" si="1"/>
        <v>15.132100000000001</v>
      </c>
      <c r="K40" s="2">
        <v>-0.2</v>
      </c>
      <c r="L40" s="3">
        <f t="shared" si="2"/>
        <v>1.8</v>
      </c>
      <c r="M40" s="3">
        <f t="shared" si="3"/>
        <v>3.24</v>
      </c>
      <c r="N40" s="2">
        <v>2.72</v>
      </c>
      <c r="O40" s="3">
        <f t="shared" si="4"/>
        <v>1.1200000000000001</v>
      </c>
      <c r="P40" s="3">
        <f t="shared" si="5"/>
        <v>1.2544000000000002</v>
      </c>
      <c r="Q40" s="2">
        <v>0.1</v>
      </c>
      <c r="R40" s="3">
        <f t="shared" si="6"/>
        <v>1.5</v>
      </c>
      <c r="S40" s="3">
        <f t="shared" si="7"/>
        <v>2.25</v>
      </c>
      <c r="T40" s="2">
        <v>6.19499759245246E-2</v>
      </c>
      <c r="U40" s="3">
        <f t="shared" si="8"/>
        <v>1.5380500240754755</v>
      </c>
      <c r="V40" s="3">
        <f t="shared" si="9"/>
        <v>2.3655978765585708</v>
      </c>
      <c r="W40" s="78" t="s">
        <v>403</v>
      </c>
    </row>
    <row r="41" spans="1:23" x14ac:dyDescent="0.3">
      <c r="A41" s="1">
        <v>29</v>
      </c>
      <c r="B41" s="1" t="s">
        <v>32</v>
      </c>
      <c r="C41" s="1" t="s">
        <v>33</v>
      </c>
      <c r="D41" s="1" t="s">
        <v>106</v>
      </c>
      <c r="E41" s="31" t="s">
        <v>34</v>
      </c>
      <c r="F41" s="2"/>
      <c r="G41" s="26">
        <v>2.75</v>
      </c>
      <c r="H41" s="2">
        <v>-4.2</v>
      </c>
      <c r="I41" s="3">
        <f t="shared" si="0"/>
        <v>6.95</v>
      </c>
      <c r="J41" s="3">
        <f t="shared" si="1"/>
        <v>48.302500000000002</v>
      </c>
      <c r="K41" s="2">
        <v>-0.21</v>
      </c>
      <c r="L41" s="3">
        <f t="shared" si="2"/>
        <v>2.96</v>
      </c>
      <c r="M41" s="3">
        <f t="shared" si="3"/>
        <v>8.7615999999999996</v>
      </c>
      <c r="N41" s="2">
        <v>2.83</v>
      </c>
      <c r="O41" s="3">
        <f t="shared" si="4"/>
        <v>8.0000000000000071E-2</v>
      </c>
      <c r="P41" s="3">
        <f t="shared" si="5"/>
        <v>6.4000000000000116E-3</v>
      </c>
      <c r="Q41" s="2">
        <v>0.1</v>
      </c>
      <c r="R41" s="3">
        <f t="shared" si="6"/>
        <v>2.65</v>
      </c>
      <c r="S41" s="3">
        <f t="shared" si="7"/>
        <v>7.0225</v>
      </c>
      <c r="T41" s="2">
        <v>0.34252096880780902</v>
      </c>
      <c r="U41" s="3">
        <f t="shared" si="8"/>
        <v>2.407479031192191</v>
      </c>
      <c r="V41" s="3">
        <f t="shared" si="9"/>
        <v>5.7959552856300904</v>
      </c>
      <c r="W41" s="78" t="s">
        <v>404</v>
      </c>
    </row>
    <row r="42" spans="1:23" x14ac:dyDescent="0.3">
      <c r="A42" s="1">
        <v>30</v>
      </c>
      <c r="B42" s="1" t="s">
        <v>32</v>
      </c>
      <c r="C42" s="1" t="s">
        <v>33</v>
      </c>
      <c r="D42" s="1" t="s">
        <v>106</v>
      </c>
      <c r="E42" s="31" t="s">
        <v>34</v>
      </c>
      <c r="F42" s="2"/>
      <c r="G42" s="26">
        <v>2.8</v>
      </c>
      <c r="H42" s="2">
        <v>-4.2</v>
      </c>
      <c r="I42" s="3">
        <f t="shared" si="0"/>
        <v>7</v>
      </c>
      <c r="J42" s="3">
        <f t="shared" si="1"/>
        <v>49</v>
      </c>
      <c r="K42" s="2">
        <v>-0.21</v>
      </c>
      <c r="L42" s="3">
        <f t="shared" si="2"/>
        <v>3.01</v>
      </c>
      <c r="M42" s="3">
        <f t="shared" si="3"/>
        <v>9.0600999999999985</v>
      </c>
      <c r="N42" s="2">
        <v>2.83</v>
      </c>
      <c r="O42" s="3">
        <f t="shared" si="4"/>
        <v>3.0000000000000249E-2</v>
      </c>
      <c r="P42" s="3">
        <f t="shared" si="5"/>
        <v>9.0000000000001494E-4</v>
      </c>
      <c r="Q42" s="2">
        <v>0.1</v>
      </c>
      <c r="R42" s="3">
        <f t="shared" si="6"/>
        <v>2.6999999999999997</v>
      </c>
      <c r="S42" s="3">
        <f t="shared" si="7"/>
        <v>7.2899999999999983</v>
      </c>
      <c r="T42" s="2">
        <v>0.34252096880780902</v>
      </c>
      <c r="U42" s="3">
        <f t="shared" si="8"/>
        <v>2.4574790311921908</v>
      </c>
      <c r="V42" s="3">
        <f t="shared" si="9"/>
        <v>6.0392031887493083</v>
      </c>
      <c r="W42" s="78" t="s">
        <v>401</v>
      </c>
    </row>
    <row r="43" spans="1:23" x14ac:dyDescent="0.3">
      <c r="A43" s="1">
        <v>30</v>
      </c>
      <c r="B43" s="1" t="s">
        <v>32</v>
      </c>
      <c r="C43" s="1" t="s">
        <v>33</v>
      </c>
      <c r="D43" s="1" t="s">
        <v>106</v>
      </c>
      <c r="E43" s="31" t="s">
        <v>34</v>
      </c>
      <c r="F43" s="2"/>
      <c r="G43" s="26">
        <v>2.8</v>
      </c>
      <c r="H43" s="2">
        <v>-4.2</v>
      </c>
      <c r="I43" s="3">
        <f t="shared" ref="I43" si="110">ABS(G43-H43)</f>
        <v>7</v>
      </c>
      <c r="J43" s="3">
        <f t="shared" ref="J43" si="111">I43^2</f>
        <v>49</v>
      </c>
      <c r="K43" s="2">
        <v>-0.21</v>
      </c>
      <c r="L43" s="3">
        <f t="shared" ref="L43" si="112">ABS(G43-K43)</f>
        <v>3.01</v>
      </c>
      <c r="M43" s="3">
        <f t="shared" ref="M43" si="113">L43^2</f>
        <v>9.0600999999999985</v>
      </c>
      <c r="N43" s="2">
        <v>2.83</v>
      </c>
      <c r="O43" s="3">
        <f t="shared" ref="O43" si="114">ABS(G43-N43)</f>
        <v>3.0000000000000249E-2</v>
      </c>
      <c r="P43" s="3">
        <f t="shared" ref="P43" si="115">O43^2</f>
        <v>9.0000000000001494E-4</v>
      </c>
      <c r="Q43" s="2">
        <v>0.1</v>
      </c>
      <c r="R43" s="3">
        <f t="shared" ref="R43" si="116">ABS(G43-Q43)</f>
        <v>2.6999999999999997</v>
      </c>
      <c r="S43" s="3">
        <f t="shared" ref="S43" si="117">R43^2</f>
        <v>7.2899999999999983</v>
      </c>
      <c r="T43" s="2">
        <v>0.34252096880780902</v>
      </c>
      <c r="U43" s="3">
        <f t="shared" ref="U43" si="118">ABS(G43-T43)</f>
        <v>2.4574790311921908</v>
      </c>
      <c r="V43" s="3">
        <f t="shared" ref="V43" si="119">U43^2</f>
        <v>6.0392031887493083</v>
      </c>
      <c r="W43" s="78" t="s">
        <v>404</v>
      </c>
    </row>
    <row r="44" spans="1:23" x14ac:dyDescent="0.3">
      <c r="A44" s="1">
        <v>31</v>
      </c>
      <c r="B44" s="1" t="s">
        <v>32</v>
      </c>
      <c r="C44" s="1" t="s">
        <v>33</v>
      </c>
      <c r="D44" s="1" t="s">
        <v>106</v>
      </c>
      <c r="E44" s="31" t="s">
        <v>34</v>
      </c>
      <c r="F44" s="2"/>
      <c r="G44" s="26">
        <v>1.01</v>
      </c>
      <c r="H44" s="2">
        <v>-4.2</v>
      </c>
      <c r="I44" s="3">
        <f t="shared" si="0"/>
        <v>5.21</v>
      </c>
      <c r="J44" s="3">
        <f t="shared" si="1"/>
        <v>27.144099999999998</v>
      </c>
      <c r="K44" s="2">
        <v>-0.21</v>
      </c>
      <c r="L44" s="3">
        <f t="shared" si="2"/>
        <v>1.22</v>
      </c>
      <c r="M44" s="3">
        <f t="shared" si="3"/>
        <v>1.4883999999999999</v>
      </c>
      <c r="N44" s="2">
        <v>2.83</v>
      </c>
      <c r="O44" s="3">
        <f t="shared" si="4"/>
        <v>1.82</v>
      </c>
      <c r="P44" s="3">
        <f t="shared" si="5"/>
        <v>3.3124000000000002</v>
      </c>
      <c r="Q44" s="2">
        <v>0.1</v>
      </c>
      <c r="R44" s="3">
        <f t="shared" si="6"/>
        <v>0.91</v>
      </c>
      <c r="S44" s="3">
        <f t="shared" si="7"/>
        <v>0.82810000000000006</v>
      </c>
      <c r="T44" s="2">
        <v>0.34252096880780902</v>
      </c>
      <c r="U44" s="3">
        <f t="shared" si="8"/>
        <v>0.66747903119219099</v>
      </c>
      <c r="V44" s="3">
        <f t="shared" si="9"/>
        <v>0.44552825708126587</v>
      </c>
      <c r="W44" s="78" t="s">
        <v>405</v>
      </c>
    </row>
    <row r="45" spans="1:23" x14ac:dyDescent="0.3">
      <c r="A45" s="1">
        <v>31</v>
      </c>
      <c r="B45" s="1" t="s">
        <v>32</v>
      </c>
      <c r="C45" s="1" t="s">
        <v>33</v>
      </c>
      <c r="D45" s="1" t="s">
        <v>106</v>
      </c>
      <c r="E45" s="31" t="s">
        <v>34</v>
      </c>
      <c r="F45" s="2"/>
      <c r="G45" s="26">
        <v>1.01</v>
      </c>
      <c r="H45" s="2">
        <v>-4.2</v>
      </c>
      <c r="I45" s="3">
        <f t="shared" ref="I45" si="120">ABS(G45-H45)</f>
        <v>5.21</v>
      </c>
      <c r="J45" s="3">
        <f t="shared" ref="J45" si="121">I45^2</f>
        <v>27.144099999999998</v>
      </c>
      <c r="K45" s="2">
        <v>-0.21</v>
      </c>
      <c r="L45" s="3">
        <f t="shared" ref="L45" si="122">ABS(G45-K45)</f>
        <v>1.22</v>
      </c>
      <c r="M45" s="3">
        <f t="shared" ref="M45" si="123">L45^2</f>
        <v>1.4883999999999999</v>
      </c>
      <c r="N45" s="2">
        <v>2.83</v>
      </c>
      <c r="O45" s="3">
        <f t="shared" ref="O45" si="124">ABS(G45-N45)</f>
        <v>1.82</v>
      </c>
      <c r="P45" s="3">
        <f t="shared" ref="P45" si="125">O45^2</f>
        <v>3.3124000000000002</v>
      </c>
      <c r="Q45" s="2">
        <v>0.1</v>
      </c>
      <c r="R45" s="3">
        <f t="shared" ref="R45" si="126">ABS(G45-Q45)</f>
        <v>0.91</v>
      </c>
      <c r="S45" s="3">
        <f t="shared" ref="S45" si="127">R45^2</f>
        <v>0.82810000000000006</v>
      </c>
      <c r="T45" s="2">
        <v>0.34252096880780902</v>
      </c>
      <c r="U45" s="3">
        <f t="shared" ref="U45" si="128">ABS(G45-T45)</f>
        <v>0.66747903119219099</v>
      </c>
      <c r="V45" s="3">
        <f t="shared" ref="V45" si="129">U45^2</f>
        <v>0.44552825708126587</v>
      </c>
      <c r="W45" s="78" t="s">
        <v>406</v>
      </c>
    </row>
    <row r="46" spans="1:23" x14ac:dyDescent="0.3">
      <c r="A46" s="1">
        <v>32</v>
      </c>
      <c r="B46" s="1" t="s">
        <v>32</v>
      </c>
      <c r="C46" s="1" t="s">
        <v>33</v>
      </c>
      <c r="D46" s="1" t="s">
        <v>106</v>
      </c>
      <c r="E46" s="31" t="s">
        <v>34</v>
      </c>
      <c r="F46" s="2"/>
      <c r="G46" s="26">
        <v>2.2999999999999998</v>
      </c>
      <c r="H46" s="2">
        <v>-4.2</v>
      </c>
      <c r="I46" s="3">
        <f t="shared" si="0"/>
        <v>6.5</v>
      </c>
      <c r="J46" s="3">
        <f t="shared" si="1"/>
        <v>42.25</v>
      </c>
      <c r="K46" s="2">
        <v>-0.21</v>
      </c>
      <c r="L46" s="3">
        <f t="shared" si="2"/>
        <v>2.5099999999999998</v>
      </c>
      <c r="M46" s="3">
        <f t="shared" si="3"/>
        <v>6.3000999999999987</v>
      </c>
      <c r="N46" s="2">
        <v>2.83</v>
      </c>
      <c r="O46" s="3">
        <f t="shared" si="4"/>
        <v>0.53000000000000025</v>
      </c>
      <c r="P46" s="3">
        <f t="shared" si="5"/>
        <v>0.28090000000000026</v>
      </c>
      <c r="Q46" s="2">
        <v>0.1</v>
      </c>
      <c r="R46" s="3">
        <f t="shared" si="6"/>
        <v>2.1999999999999997</v>
      </c>
      <c r="S46" s="3">
        <f t="shared" si="7"/>
        <v>4.839999999999999</v>
      </c>
      <c r="T46" s="2">
        <v>0.34252096880780902</v>
      </c>
      <c r="U46" s="3">
        <f t="shared" si="8"/>
        <v>1.9574790311921908</v>
      </c>
      <c r="V46" s="3">
        <f t="shared" si="9"/>
        <v>3.8317241575571179</v>
      </c>
      <c r="W46" s="78" t="s">
        <v>402</v>
      </c>
    </row>
    <row r="47" spans="1:23" x14ac:dyDescent="0.3">
      <c r="A47" s="1">
        <v>33</v>
      </c>
      <c r="B47" s="1" t="s">
        <v>32</v>
      </c>
      <c r="C47" s="1" t="s">
        <v>33</v>
      </c>
      <c r="D47" s="1" t="s">
        <v>106</v>
      </c>
      <c r="E47" s="31" t="s">
        <v>34</v>
      </c>
      <c r="F47" s="2"/>
      <c r="G47" s="26">
        <v>2.5</v>
      </c>
      <c r="H47" s="2">
        <v>-4.2</v>
      </c>
      <c r="I47" s="3">
        <f t="shared" si="0"/>
        <v>6.7</v>
      </c>
      <c r="J47" s="3">
        <f t="shared" si="1"/>
        <v>44.89</v>
      </c>
      <c r="K47" s="2">
        <v>-0.21</v>
      </c>
      <c r="L47" s="3">
        <f t="shared" si="2"/>
        <v>2.71</v>
      </c>
      <c r="M47" s="3">
        <f t="shared" si="3"/>
        <v>7.3441000000000001</v>
      </c>
      <c r="N47" s="2">
        <v>2.83</v>
      </c>
      <c r="O47" s="3">
        <f t="shared" si="4"/>
        <v>0.33000000000000007</v>
      </c>
      <c r="P47" s="3">
        <f t="shared" si="5"/>
        <v>0.10890000000000005</v>
      </c>
      <c r="Q47" s="2">
        <v>0.1</v>
      </c>
      <c r="R47" s="3">
        <f t="shared" si="6"/>
        <v>2.4</v>
      </c>
      <c r="S47" s="3">
        <f t="shared" si="7"/>
        <v>5.76</v>
      </c>
      <c r="T47" s="2">
        <v>0.34252096880780902</v>
      </c>
      <c r="U47" s="3">
        <f t="shared" si="8"/>
        <v>2.157479031192191</v>
      </c>
      <c r="V47" s="3">
        <f t="shared" si="9"/>
        <v>4.6547157700339952</v>
      </c>
      <c r="W47" s="78" t="s">
        <v>407</v>
      </c>
    </row>
    <row r="48" spans="1:23" x14ac:dyDescent="0.3">
      <c r="A48" s="1">
        <v>34</v>
      </c>
      <c r="B48" s="1" t="s">
        <v>32</v>
      </c>
      <c r="C48" s="1" t="s">
        <v>33</v>
      </c>
      <c r="D48" s="1" t="s">
        <v>106</v>
      </c>
      <c r="E48" s="31" t="s">
        <v>34</v>
      </c>
      <c r="F48" s="2"/>
      <c r="G48" s="26">
        <v>0.5</v>
      </c>
      <c r="H48" s="2">
        <v>-4.2</v>
      </c>
      <c r="I48" s="3">
        <f t="shared" si="0"/>
        <v>4.7</v>
      </c>
      <c r="J48" s="3">
        <f t="shared" si="1"/>
        <v>22.090000000000003</v>
      </c>
      <c r="K48" s="2">
        <v>-0.21</v>
      </c>
      <c r="L48" s="3">
        <f t="shared" si="2"/>
        <v>0.71</v>
      </c>
      <c r="M48" s="3">
        <f t="shared" si="3"/>
        <v>0.50409999999999999</v>
      </c>
      <c r="N48" s="2">
        <v>2.83</v>
      </c>
      <c r="O48" s="3">
        <f t="shared" si="4"/>
        <v>2.33</v>
      </c>
      <c r="P48" s="3">
        <f t="shared" si="5"/>
        <v>5.4289000000000005</v>
      </c>
      <c r="Q48" s="2">
        <v>0.1</v>
      </c>
      <c r="R48" s="3">
        <f t="shared" si="6"/>
        <v>0.4</v>
      </c>
      <c r="S48" s="3">
        <f t="shared" si="7"/>
        <v>0.16000000000000003</v>
      </c>
      <c r="T48" s="2">
        <v>0.34252096880780902</v>
      </c>
      <c r="U48" s="3">
        <f t="shared" si="8"/>
        <v>0.15747903119219098</v>
      </c>
      <c r="V48" s="3">
        <f t="shared" si="9"/>
        <v>2.4799645265231058E-2</v>
      </c>
      <c r="W48" s="78" t="s">
        <v>403</v>
      </c>
    </row>
    <row r="49" spans="1:23" x14ac:dyDescent="0.3">
      <c r="A49" s="1">
        <v>35</v>
      </c>
      <c r="B49" s="1" t="s">
        <v>32</v>
      </c>
      <c r="C49" s="1" t="s">
        <v>33</v>
      </c>
      <c r="D49" s="1" t="s">
        <v>106</v>
      </c>
      <c r="E49" s="31" t="s">
        <v>34</v>
      </c>
      <c r="F49" s="4" t="s">
        <v>22</v>
      </c>
      <c r="G49" s="26">
        <v>1.6</v>
      </c>
      <c r="H49" s="2">
        <v>-4.2</v>
      </c>
      <c r="I49" s="3">
        <f t="shared" si="0"/>
        <v>5.8000000000000007</v>
      </c>
      <c r="J49" s="3">
        <f t="shared" si="1"/>
        <v>33.640000000000008</v>
      </c>
      <c r="K49" s="2">
        <v>-0.21</v>
      </c>
      <c r="L49" s="3">
        <f t="shared" si="2"/>
        <v>1.81</v>
      </c>
      <c r="M49" s="3">
        <f t="shared" si="3"/>
        <v>3.2761</v>
      </c>
      <c r="N49" s="2">
        <v>2.83</v>
      </c>
      <c r="O49" s="3">
        <f t="shared" si="4"/>
        <v>1.23</v>
      </c>
      <c r="P49" s="3">
        <f t="shared" si="5"/>
        <v>1.5128999999999999</v>
      </c>
      <c r="Q49" s="2">
        <v>0.1</v>
      </c>
      <c r="R49" s="3">
        <f t="shared" si="6"/>
        <v>1.5</v>
      </c>
      <c r="S49" s="3">
        <f t="shared" si="7"/>
        <v>2.25</v>
      </c>
      <c r="T49" s="2">
        <v>0.34252096880780902</v>
      </c>
      <c r="U49" s="3">
        <f t="shared" si="8"/>
        <v>1.2574790311921911</v>
      </c>
      <c r="V49" s="3">
        <f t="shared" si="9"/>
        <v>1.5812535138880515</v>
      </c>
      <c r="W49" s="78" t="s">
        <v>403</v>
      </c>
    </row>
    <row r="50" spans="1:23" x14ac:dyDescent="0.3">
      <c r="A50" s="1">
        <v>36</v>
      </c>
      <c r="B50" s="1" t="s">
        <v>32</v>
      </c>
      <c r="C50" s="1" t="s">
        <v>33</v>
      </c>
      <c r="D50" s="1" t="s">
        <v>106</v>
      </c>
      <c r="E50" s="31" t="s">
        <v>34</v>
      </c>
      <c r="F50" s="4" t="s">
        <v>35</v>
      </c>
      <c r="G50" s="26">
        <v>0.42</v>
      </c>
      <c r="H50" s="2">
        <v>-4.2</v>
      </c>
      <c r="I50" s="3">
        <f t="shared" si="0"/>
        <v>4.62</v>
      </c>
      <c r="J50" s="3">
        <f t="shared" si="1"/>
        <v>21.3444</v>
      </c>
      <c r="K50" s="2">
        <v>-0.21</v>
      </c>
      <c r="L50" s="3">
        <f t="shared" si="2"/>
        <v>0.63</v>
      </c>
      <c r="M50" s="3">
        <f t="shared" si="3"/>
        <v>0.39690000000000003</v>
      </c>
      <c r="N50" s="2">
        <v>2.83</v>
      </c>
      <c r="O50" s="3">
        <f t="shared" si="4"/>
        <v>2.41</v>
      </c>
      <c r="P50" s="3">
        <f t="shared" si="5"/>
        <v>5.8081000000000005</v>
      </c>
      <c r="Q50" s="2">
        <v>0.1</v>
      </c>
      <c r="R50" s="3">
        <f t="shared" si="6"/>
        <v>0.31999999999999995</v>
      </c>
      <c r="S50" s="3">
        <f t="shared" si="7"/>
        <v>0.10239999999999996</v>
      </c>
      <c r="T50" s="2">
        <v>0.34252096880780902</v>
      </c>
      <c r="U50" s="3">
        <f t="shared" si="8"/>
        <v>7.7479031192190961E-2</v>
      </c>
      <c r="V50" s="3">
        <f t="shared" si="9"/>
        <v>6.0030002744804996E-3</v>
      </c>
      <c r="W50" s="78" t="s">
        <v>408</v>
      </c>
    </row>
    <row r="51" spans="1:23" x14ac:dyDescent="0.3">
      <c r="A51" s="1">
        <v>37</v>
      </c>
      <c r="B51" s="1" t="s">
        <v>32</v>
      </c>
      <c r="C51" s="1" t="s">
        <v>33</v>
      </c>
      <c r="D51" s="1" t="s">
        <v>106</v>
      </c>
      <c r="E51" s="31" t="s">
        <v>34</v>
      </c>
      <c r="F51" s="4"/>
      <c r="G51" s="32">
        <v>1.31</v>
      </c>
      <c r="H51" s="2">
        <v>-4.2</v>
      </c>
      <c r="I51" s="3">
        <f t="shared" si="0"/>
        <v>5.51</v>
      </c>
      <c r="J51" s="3">
        <f t="shared" si="1"/>
        <v>30.360099999999999</v>
      </c>
      <c r="K51" s="2">
        <v>-0.21</v>
      </c>
      <c r="L51" s="3">
        <f t="shared" si="2"/>
        <v>1.52</v>
      </c>
      <c r="M51" s="3">
        <f t="shared" si="3"/>
        <v>2.3104</v>
      </c>
      <c r="N51" s="2">
        <v>2.83</v>
      </c>
      <c r="O51" s="3">
        <f t="shared" si="4"/>
        <v>1.52</v>
      </c>
      <c r="P51" s="3">
        <f t="shared" si="5"/>
        <v>2.3104</v>
      </c>
      <c r="Q51" s="2">
        <v>0.1</v>
      </c>
      <c r="R51" s="3">
        <f t="shared" si="6"/>
        <v>1.21</v>
      </c>
      <c r="S51" s="3">
        <f t="shared" si="7"/>
        <v>1.4641</v>
      </c>
      <c r="T51" s="2">
        <v>0.34252096880780902</v>
      </c>
      <c r="U51" s="3">
        <f t="shared" si="8"/>
        <v>0.96747903119219103</v>
      </c>
      <c r="V51" s="3">
        <f t="shared" si="9"/>
        <v>0.93601567579658052</v>
      </c>
      <c r="W51" s="78" t="s">
        <v>409</v>
      </c>
    </row>
    <row r="52" spans="1:23" x14ac:dyDescent="0.3">
      <c r="A52" s="1">
        <v>38</v>
      </c>
      <c r="B52" s="1" t="s">
        <v>32</v>
      </c>
      <c r="C52" s="1" t="s">
        <v>33</v>
      </c>
      <c r="D52" s="1" t="s">
        <v>106</v>
      </c>
      <c r="E52" s="31" t="s">
        <v>34</v>
      </c>
      <c r="F52" s="4" t="s">
        <v>36</v>
      </c>
      <c r="G52" s="26">
        <v>1</v>
      </c>
      <c r="H52" s="2">
        <v>-4.2</v>
      </c>
      <c r="I52" s="3">
        <f t="shared" si="0"/>
        <v>5.2</v>
      </c>
      <c r="J52" s="3">
        <f t="shared" si="1"/>
        <v>27.040000000000003</v>
      </c>
      <c r="K52" s="2">
        <v>-0.21</v>
      </c>
      <c r="L52" s="3">
        <f t="shared" si="2"/>
        <v>1.21</v>
      </c>
      <c r="M52" s="3">
        <f t="shared" si="3"/>
        <v>1.4641</v>
      </c>
      <c r="N52" s="2">
        <v>2.83</v>
      </c>
      <c r="O52" s="3">
        <f t="shared" si="4"/>
        <v>1.83</v>
      </c>
      <c r="P52" s="3">
        <f t="shared" si="5"/>
        <v>3.3489000000000004</v>
      </c>
      <c r="Q52" s="2">
        <v>0.1</v>
      </c>
      <c r="R52" s="3">
        <f t="shared" si="6"/>
        <v>0.9</v>
      </c>
      <c r="S52" s="3">
        <f t="shared" si="7"/>
        <v>0.81</v>
      </c>
      <c r="T52" s="2">
        <v>0.34252096880780902</v>
      </c>
      <c r="U52" s="3">
        <f t="shared" si="8"/>
        <v>0.65747903119219098</v>
      </c>
      <c r="V52" s="3">
        <f t="shared" si="9"/>
        <v>0.43227867645742202</v>
      </c>
      <c r="W52" s="78" t="s">
        <v>410</v>
      </c>
    </row>
    <row r="53" spans="1:23" x14ac:dyDescent="0.3">
      <c r="A53" s="1">
        <v>39</v>
      </c>
      <c r="B53" s="1" t="s">
        <v>37</v>
      </c>
      <c r="C53" s="1" t="s">
        <v>38</v>
      </c>
      <c r="D53" s="1" t="s">
        <v>107</v>
      </c>
      <c r="E53" s="31" t="s">
        <v>39</v>
      </c>
      <c r="F53" s="2"/>
      <c r="G53" s="26">
        <v>2.58</v>
      </c>
      <c r="H53" s="2">
        <v>-6.51</v>
      </c>
      <c r="I53" s="3">
        <f t="shared" si="0"/>
        <v>9.09</v>
      </c>
      <c r="J53" s="3">
        <f t="shared" si="1"/>
        <v>82.628100000000003</v>
      </c>
      <c r="K53" s="2">
        <v>-0.21</v>
      </c>
      <c r="L53" s="3">
        <f t="shared" si="2"/>
        <v>2.79</v>
      </c>
      <c r="M53" s="3">
        <f t="shared" si="3"/>
        <v>7.7841000000000005</v>
      </c>
      <c r="N53" s="2">
        <v>2.92</v>
      </c>
      <c r="O53" s="3">
        <f t="shared" si="4"/>
        <v>0.33999999999999986</v>
      </c>
      <c r="P53" s="3">
        <f t="shared" si="5"/>
        <v>0.1155999999999999</v>
      </c>
      <c r="Q53" s="2">
        <v>0.1</v>
      </c>
      <c r="R53" s="3">
        <f t="shared" si="6"/>
        <v>2.48</v>
      </c>
      <c r="S53" s="3">
        <f t="shared" si="7"/>
        <v>6.1504000000000003</v>
      </c>
      <c r="T53" s="2">
        <v>0.23346927417145899</v>
      </c>
      <c r="U53" s="3">
        <f t="shared" si="8"/>
        <v>2.3465307258285413</v>
      </c>
      <c r="V53" s="3">
        <f t="shared" si="9"/>
        <v>5.506206447257421</v>
      </c>
      <c r="W53" s="78" t="s">
        <v>402</v>
      </c>
    </row>
    <row r="54" spans="1:23" x14ac:dyDescent="0.3">
      <c r="A54" s="1">
        <v>40</v>
      </c>
      <c r="B54" s="1" t="s">
        <v>37</v>
      </c>
      <c r="C54" s="1" t="s">
        <v>38</v>
      </c>
      <c r="D54" s="1" t="s">
        <v>107</v>
      </c>
      <c r="E54" s="31" t="s">
        <v>39</v>
      </c>
      <c r="F54" s="2"/>
      <c r="G54" s="26">
        <v>2.34</v>
      </c>
      <c r="H54" s="2">
        <v>0</v>
      </c>
      <c r="I54" s="3">
        <f t="shared" si="0"/>
        <v>2.34</v>
      </c>
      <c r="J54" s="3">
        <f t="shared" si="1"/>
        <v>5.4755999999999991</v>
      </c>
      <c r="K54" s="2">
        <v>-0.21</v>
      </c>
      <c r="L54" s="3">
        <f t="shared" si="2"/>
        <v>2.5499999999999998</v>
      </c>
      <c r="M54" s="3">
        <f t="shared" si="3"/>
        <v>6.5024999999999995</v>
      </c>
      <c r="N54" s="2">
        <v>2.92</v>
      </c>
      <c r="O54" s="3">
        <f t="shared" si="4"/>
        <v>0.58000000000000007</v>
      </c>
      <c r="P54" s="3">
        <f t="shared" si="5"/>
        <v>0.33640000000000009</v>
      </c>
      <c r="Q54" s="2">
        <v>0.1</v>
      </c>
      <c r="R54" s="3">
        <f t="shared" si="6"/>
        <v>2.2399999999999998</v>
      </c>
      <c r="S54" s="3">
        <f t="shared" si="7"/>
        <v>5.0175999999999989</v>
      </c>
      <c r="T54" s="2">
        <v>0.23346927417145899</v>
      </c>
      <c r="U54" s="3">
        <f t="shared" si="8"/>
        <v>2.1065307258285411</v>
      </c>
      <c r="V54" s="3">
        <f t="shared" si="9"/>
        <v>4.4374716988597198</v>
      </c>
      <c r="W54" s="78" t="s">
        <v>402</v>
      </c>
    </row>
    <row r="55" spans="1:23" x14ac:dyDescent="0.3">
      <c r="A55" s="1">
        <v>41</v>
      </c>
      <c r="B55" s="1" t="s">
        <v>37</v>
      </c>
      <c r="C55" s="1" t="s">
        <v>38</v>
      </c>
      <c r="D55" s="1" t="s">
        <v>107</v>
      </c>
      <c r="E55" s="31" t="s">
        <v>39</v>
      </c>
      <c r="F55" s="2" t="s">
        <v>22</v>
      </c>
      <c r="G55" s="26">
        <v>1.6</v>
      </c>
      <c r="H55" s="2">
        <v>0</v>
      </c>
      <c r="I55" s="3">
        <f t="shared" si="0"/>
        <v>1.6</v>
      </c>
      <c r="J55" s="3">
        <f t="shared" si="1"/>
        <v>2.5600000000000005</v>
      </c>
      <c r="K55" s="2">
        <v>-0.21</v>
      </c>
      <c r="L55" s="3">
        <f t="shared" si="2"/>
        <v>1.81</v>
      </c>
      <c r="M55" s="3">
        <f t="shared" si="3"/>
        <v>3.2761</v>
      </c>
      <c r="N55" s="2">
        <v>2.92</v>
      </c>
      <c r="O55" s="3">
        <f t="shared" si="4"/>
        <v>1.3199999999999998</v>
      </c>
      <c r="P55" s="3">
        <f t="shared" si="5"/>
        <v>1.7423999999999995</v>
      </c>
      <c r="Q55" s="2">
        <v>0.1</v>
      </c>
      <c r="R55" s="3">
        <f t="shared" si="6"/>
        <v>1.5</v>
      </c>
      <c r="S55" s="3">
        <f t="shared" si="7"/>
        <v>2.25</v>
      </c>
      <c r="T55" s="2">
        <v>0.23346927417145899</v>
      </c>
      <c r="U55" s="3">
        <f t="shared" si="8"/>
        <v>1.3665307258285411</v>
      </c>
      <c r="V55" s="3">
        <f t="shared" si="9"/>
        <v>1.8674062246334793</v>
      </c>
      <c r="W55" s="78" t="s">
        <v>403</v>
      </c>
    </row>
    <row r="56" spans="1:23" x14ac:dyDescent="0.3">
      <c r="A56" s="1">
        <v>42</v>
      </c>
      <c r="B56" s="1" t="s">
        <v>40</v>
      </c>
      <c r="C56" s="1" t="s">
        <v>41</v>
      </c>
      <c r="D56" s="1" t="s">
        <v>108</v>
      </c>
      <c r="E56" s="31" t="s">
        <v>42</v>
      </c>
      <c r="F56" s="2"/>
      <c r="G56" s="26">
        <v>2.61</v>
      </c>
      <c r="H56" s="2">
        <v>-5.2</v>
      </c>
      <c r="I56" s="3">
        <f t="shared" si="0"/>
        <v>7.8100000000000005</v>
      </c>
      <c r="J56" s="3">
        <f t="shared" si="1"/>
        <v>60.996100000000006</v>
      </c>
      <c r="K56" s="2">
        <v>-0.22</v>
      </c>
      <c r="L56" s="3">
        <f t="shared" si="2"/>
        <v>2.83</v>
      </c>
      <c r="M56" s="3">
        <f t="shared" si="3"/>
        <v>8.0089000000000006</v>
      </c>
      <c r="N56" s="2">
        <v>3.01</v>
      </c>
      <c r="O56" s="3">
        <f t="shared" si="4"/>
        <v>0.39999999999999991</v>
      </c>
      <c r="P56" s="3">
        <f t="shared" si="5"/>
        <v>0.15999999999999992</v>
      </c>
      <c r="Q56" s="2">
        <v>0.1</v>
      </c>
      <c r="R56" s="3">
        <f t="shared" si="6"/>
        <v>2.5099999999999998</v>
      </c>
      <c r="S56" s="3">
        <f t="shared" si="7"/>
        <v>6.3000999999999987</v>
      </c>
      <c r="T56" s="2">
        <v>0.39786626099067202</v>
      </c>
      <c r="U56" s="3">
        <f t="shared" si="8"/>
        <v>2.2121337390093281</v>
      </c>
      <c r="V56" s="3">
        <f t="shared" si="9"/>
        <v>4.8935356792633904</v>
      </c>
      <c r="W56" s="78" t="s">
        <v>402</v>
      </c>
    </row>
    <row r="57" spans="1:23" x14ac:dyDescent="0.3">
      <c r="A57" s="1">
        <v>43</v>
      </c>
      <c r="B57" s="1" t="s">
        <v>40</v>
      </c>
      <c r="C57" s="1" t="s">
        <v>41</v>
      </c>
      <c r="D57" s="1" t="s">
        <v>108</v>
      </c>
      <c r="E57" s="31" t="s">
        <v>42</v>
      </c>
      <c r="F57" s="2"/>
      <c r="G57" s="26">
        <v>2.44</v>
      </c>
      <c r="H57" s="2">
        <v>-5.2</v>
      </c>
      <c r="I57" s="3">
        <f t="shared" si="0"/>
        <v>7.6400000000000006</v>
      </c>
      <c r="J57" s="3">
        <f t="shared" si="1"/>
        <v>58.369600000000005</v>
      </c>
      <c r="K57" s="2">
        <v>-0.22</v>
      </c>
      <c r="L57" s="3">
        <f t="shared" si="2"/>
        <v>2.66</v>
      </c>
      <c r="M57" s="3">
        <f t="shared" si="3"/>
        <v>7.0756000000000006</v>
      </c>
      <c r="N57" s="2">
        <v>3.01</v>
      </c>
      <c r="O57" s="3">
        <f t="shared" si="4"/>
        <v>0.56999999999999984</v>
      </c>
      <c r="P57" s="3">
        <f t="shared" si="5"/>
        <v>0.3248999999999998</v>
      </c>
      <c r="Q57" s="2">
        <v>0.1</v>
      </c>
      <c r="R57" s="3">
        <f t="shared" si="6"/>
        <v>2.34</v>
      </c>
      <c r="S57" s="3">
        <f t="shared" si="7"/>
        <v>5.4755999999999991</v>
      </c>
      <c r="T57" s="2">
        <v>0.39786626099067202</v>
      </c>
      <c r="U57" s="3">
        <f t="shared" si="8"/>
        <v>2.0421337390093282</v>
      </c>
      <c r="V57" s="3">
        <f t="shared" si="9"/>
        <v>4.1703102080002186</v>
      </c>
      <c r="W57" s="78" t="s">
        <v>402</v>
      </c>
    </row>
    <row r="58" spans="1:23" x14ac:dyDescent="0.3">
      <c r="A58" s="1">
        <v>44</v>
      </c>
      <c r="B58" s="1" t="s">
        <v>40</v>
      </c>
      <c r="C58" s="1" t="s">
        <v>41</v>
      </c>
      <c r="D58" s="1" t="s">
        <v>108</v>
      </c>
      <c r="E58" s="31" t="s">
        <v>42</v>
      </c>
      <c r="F58" s="2" t="s">
        <v>22</v>
      </c>
      <c r="G58" s="26">
        <v>1.6</v>
      </c>
      <c r="H58" s="2">
        <v>-5.2</v>
      </c>
      <c r="I58" s="3">
        <f t="shared" si="0"/>
        <v>6.8000000000000007</v>
      </c>
      <c r="J58" s="3">
        <f t="shared" si="1"/>
        <v>46.240000000000009</v>
      </c>
      <c r="K58" s="2">
        <v>-0.22</v>
      </c>
      <c r="L58" s="3">
        <f t="shared" si="2"/>
        <v>1.82</v>
      </c>
      <c r="M58" s="3">
        <f t="shared" si="3"/>
        <v>3.3124000000000002</v>
      </c>
      <c r="N58" s="2">
        <v>3.01</v>
      </c>
      <c r="O58" s="3">
        <f t="shared" si="4"/>
        <v>1.4099999999999997</v>
      </c>
      <c r="P58" s="3">
        <f t="shared" si="5"/>
        <v>1.9880999999999991</v>
      </c>
      <c r="Q58" s="2">
        <v>0.1</v>
      </c>
      <c r="R58" s="3">
        <f t="shared" si="6"/>
        <v>1.5</v>
      </c>
      <c r="S58" s="3">
        <f t="shared" si="7"/>
        <v>2.25</v>
      </c>
      <c r="T58" s="2">
        <v>0.39786626099067202</v>
      </c>
      <c r="U58" s="3">
        <f t="shared" si="8"/>
        <v>1.2021337390093281</v>
      </c>
      <c r="V58" s="3">
        <f t="shared" si="9"/>
        <v>1.4451255264645473</v>
      </c>
      <c r="W58" s="78" t="s">
        <v>403</v>
      </c>
    </row>
    <row r="59" spans="1:23" x14ac:dyDescent="0.3">
      <c r="A59" s="1">
        <v>45</v>
      </c>
      <c r="B59" s="1" t="s">
        <v>43</v>
      </c>
      <c r="C59" s="1" t="s">
        <v>44</v>
      </c>
      <c r="D59" s="1" t="s">
        <v>45</v>
      </c>
      <c r="E59" s="31" t="s">
        <v>46</v>
      </c>
      <c r="F59" s="2"/>
      <c r="G59" s="26">
        <v>3.13</v>
      </c>
      <c r="H59" s="2">
        <v>-5.2</v>
      </c>
      <c r="I59" s="3">
        <f t="shared" si="0"/>
        <v>8.33</v>
      </c>
      <c r="J59" s="3">
        <f t="shared" si="1"/>
        <v>69.388900000000007</v>
      </c>
      <c r="K59" s="2">
        <v>-0.22</v>
      </c>
      <c r="L59" s="3">
        <f t="shared" si="2"/>
        <v>3.35</v>
      </c>
      <c r="M59" s="3">
        <f t="shared" si="3"/>
        <v>11.2225</v>
      </c>
      <c r="N59" s="2">
        <v>3.09</v>
      </c>
      <c r="O59" s="3">
        <f t="shared" si="4"/>
        <v>4.0000000000000036E-2</v>
      </c>
      <c r="P59" s="3">
        <f t="shared" si="5"/>
        <v>1.6000000000000029E-3</v>
      </c>
      <c r="Q59" s="2">
        <v>0.1</v>
      </c>
      <c r="R59" s="3">
        <f t="shared" si="6"/>
        <v>3.03</v>
      </c>
      <c r="S59" s="3">
        <f t="shared" si="7"/>
        <v>9.1808999999999994</v>
      </c>
      <c r="T59" s="2">
        <v>0.54079219360774</v>
      </c>
      <c r="U59" s="3">
        <f t="shared" si="8"/>
        <v>2.5892078063922597</v>
      </c>
      <c r="V59" s="3">
        <f t="shared" si="9"/>
        <v>6.7039970646826168</v>
      </c>
      <c r="W59" s="78" t="s">
        <v>402</v>
      </c>
    </row>
    <row r="60" spans="1:23" x14ac:dyDescent="0.3">
      <c r="A60" s="1">
        <v>46</v>
      </c>
      <c r="B60" s="1" t="s">
        <v>43</v>
      </c>
      <c r="C60" s="1" t="s">
        <v>44</v>
      </c>
      <c r="D60" s="1" t="s">
        <v>45</v>
      </c>
      <c r="E60" s="31" t="s">
        <v>46</v>
      </c>
      <c r="F60" s="2" t="s">
        <v>22</v>
      </c>
      <c r="G60" s="26">
        <v>1.6</v>
      </c>
      <c r="H60" s="2">
        <v>-5.2</v>
      </c>
      <c r="I60" s="3">
        <f t="shared" si="0"/>
        <v>6.8000000000000007</v>
      </c>
      <c r="J60" s="3">
        <f t="shared" si="1"/>
        <v>46.240000000000009</v>
      </c>
      <c r="K60" s="2">
        <v>-0.22</v>
      </c>
      <c r="L60" s="3">
        <f t="shared" si="2"/>
        <v>1.82</v>
      </c>
      <c r="M60" s="3">
        <f t="shared" si="3"/>
        <v>3.3124000000000002</v>
      </c>
      <c r="N60" s="2">
        <v>3.09</v>
      </c>
      <c r="O60" s="3">
        <f t="shared" si="4"/>
        <v>1.4899999999999998</v>
      </c>
      <c r="P60" s="3">
        <f t="shared" si="5"/>
        <v>2.2200999999999995</v>
      </c>
      <c r="Q60" s="2">
        <v>0.1</v>
      </c>
      <c r="R60" s="3">
        <f t="shared" si="6"/>
        <v>1.5</v>
      </c>
      <c r="S60" s="3">
        <f t="shared" si="7"/>
        <v>2.25</v>
      </c>
      <c r="T60" s="2">
        <v>0.54079219360774</v>
      </c>
      <c r="U60" s="3">
        <f t="shared" si="8"/>
        <v>1.0592078063922601</v>
      </c>
      <c r="V60" s="3">
        <f t="shared" si="9"/>
        <v>1.1219211771223034</v>
      </c>
      <c r="W60" s="78" t="s">
        <v>403</v>
      </c>
    </row>
    <row r="61" spans="1:23" s="11" customFormat="1" ht="15" thickBot="1" x14ac:dyDescent="0.35">
      <c r="A61" s="11">
        <v>47</v>
      </c>
      <c r="B61" s="11" t="s">
        <v>47</v>
      </c>
      <c r="C61" s="11" t="s">
        <v>48</v>
      </c>
      <c r="D61" s="11" t="s">
        <v>102</v>
      </c>
      <c r="E61" s="35" t="s">
        <v>49</v>
      </c>
      <c r="F61" s="12"/>
      <c r="G61" s="36">
        <v>2.84</v>
      </c>
      <c r="H61" s="12">
        <v>-0.77</v>
      </c>
      <c r="I61" s="3">
        <f t="shared" si="0"/>
        <v>3.61</v>
      </c>
      <c r="J61" s="3">
        <f t="shared" si="1"/>
        <v>13.0321</v>
      </c>
      <c r="K61" s="12">
        <v>-0.06</v>
      </c>
      <c r="L61" s="3">
        <f t="shared" si="2"/>
        <v>2.9</v>
      </c>
      <c r="M61" s="3">
        <f t="shared" si="3"/>
        <v>8.41</v>
      </c>
      <c r="N61" s="12">
        <v>2.69</v>
      </c>
      <c r="O61" s="3">
        <f t="shared" si="4"/>
        <v>0.14999999999999991</v>
      </c>
      <c r="P61" s="3">
        <f t="shared" si="5"/>
        <v>2.2499999999999975E-2</v>
      </c>
      <c r="Q61" s="12">
        <v>0</v>
      </c>
      <c r="R61" s="3">
        <f t="shared" si="6"/>
        <v>2.84</v>
      </c>
      <c r="S61" s="3">
        <f t="shared" si="7"/>
        <v>8.0655999999999999</v>
      </c>
      <c r="T61" s="12">
        <v>-0.72807171605988197</v>
      </c>
      <c r="U61" s="3">
        <f t="shared" si="8"/>
        <v>3.5680717160598818</v>
      </c>
      <c r="V61" s="3">
        <f t="shared" si="9"/>
        <v>12.73113577094651</v>
      </c>
      <c r="W61" s="78" t="s">
        <v>411</v>
      </c>
    </row>
    <row r="62" spans="1:23" s="66" customFormat="1" x14ac:dyDescent="0.3">
      <c r="A62" s="66">
        <v>48</v>
      </c>
      <c r="B62" s="66" t="s">
        <v>50</v>
      </c>
      <c r="C62" s="66" t="s">
        <v>51</v>
      </c>
      <c r="D62" s="66" t="s">
        <v>100</v>
      </c>
      <c r="E62" s="67" t="s">
        <v>52</v>
      </c>
      <c r="F62" s="68"/>
      <c r="G62" s="69">
        <f>-LOG(0.0012)</f>
        <v>2.9208187539523753</v>
      </c>
      <c r="H62" s="68">
        <v>2.95</v>
      </c>
      <c r="I62" s="70">
        <f t="shared" si="0"/>
        <v>2.9181246047624843E-2</v>
      </c>
      <c r="J62" s="70">
        <f t="shared" si="1"/>
        <v>8.5154512089202045E-4</v>
      </c>
      <c r="K62" s="68">
        <v>3.1240821632531701</v>
      </c>
      <c r="L62" s="70">
        <f t="shared" si="2"/>
        <v>0.20326340930079478</v>
      </c>
      <c r="M62" s="70">
        <f t="shared" si="3"/>
        <v>4.1316013560582426E-2</v>
      </c>
      <c r="N62" s="68">
        <v>2.98</v>
      </c>
      <c r="O62" s="70">
        <f t="shared" si="4"/>
        <v>5.9181246047624647E-2</v>
      </c>
      <c r="P62" s="70">
        <f t="shared" si="5"/>
        <v>3.5024198837494878E-3</v>
      </c>
      <c r="Q62" s="68">
        <v>3.1</v>
      </c>
      <c r="R62" s="70">
        <f t="shared" si="6"/>
        <v>0.17918124604762475</v>
      </c>
      <c r="S62" s="70">
        <f t="shared" si="7"/>
        <v>3.2105918935179438E-2</v>
      </c>
      <c r="T62" s="68">
        <v>2.21891066354361</v>
      </c>
      <c r="U62" s="70">
        <f t="shared" si="8"/>
        <v>0.70190809040876534</v>
      </c>
      <c r="V62" s="70">
        <f t="shared" si="9"/>
        <v>0.49267496738127947</v>
      </c>
      <c r="W62" s="79" t="s">
        <v>397</v>
      </c>
    </row>
    <row r="63" spans="1:23" x14ac:dyDescent="0.3">
      <c r="A63" s="1">
        <v>49</v>
      </c>
      <c r="B63" s="1" t="s">
        <v>53</v>
      </c>
      <c r="C63" s="1" t="s">
        <v>51</v>
      </c>
      <c r="D63" s="1" t="s">
        <v>100</v>
      </c>
      <c r="E63" s="31" t="s">
        <v>52</v>
      </c>
      <c r="F63" s="2"/>
      <c r="G63" s="26">
        <f>-LOG(0.000952)</f>
        <v>3.0213630516155257</v>
      </c>
      <c r="H63" s="2">
        <v>2.95</v>
      </c>
      <c r="I63" s="3">
        <f t="shared" si="0"/>
        <v>7.1363051615525475E-2</v>
      </c>
      <c r="J63" s="3">
        <f t="shared" si="1"/>
        <v>5.0926851358801531E-3</v>
      </c>
      <c r="K63" s="2">
        <v>3.1240821632531701</v>
      </c>
      <c r="L63" s="3">
        <f t="shared" si="2"/>
        <v>0.10271911163764447</v>
      </c>
      <c r="M63" s="3">
        <f t="shared" si="3"/>
        <v>1.0551215895626867E-2</v>
      </c>
      <c r="N63" s="2">
        <v>2.98</v>
      </c>
      <c r="O63" s="3">
        <f t="shared" si="4"/>
        <v>4.136305161552567E-2</v>
      </c>
      <c r="P63" s="3">
        <f t="shared" si="5"/>
        <v>1.7109020389486408E-3</v>
      </c>
      <c r="Q63" s="2">
        <v>3.1</v>
      </c>
      <c r="R63" s="3">
        <f t="shared" si="6"/>
        <v>7.8636948384474437E-2</v>
      </c>
      <c r="S63" s="3">
        <f t="shared" si="7"/>
        <v>6.1837696512224965E-3</v>
      </c>
      <c r="T63" s="2">
        <v>2.21891066354361</v>
      </c>
      <c r="U63" s="3">
        <f t="shared" si="8"/>
        <v>0.80245238807191566</v>
      </c>
      <c r="V63" s="3">
        <f t="shared" si="9"/>
        <v>0.64392983512232027</v>
      </c>
      <c r="W63" s="78" t="s">
        <v>397</v>
      </c>
    </row>
    <row r="64" spans="1:23" x14ac:dyDescent="0.3">
      <c r="A64" s="1">
        <v>50</v>
      </c>
      <c r="B64" s="1" t="s">
        <v>54</v>
      </c>
      <c r="C64" s="1" t="s">
        <v>55</v>
      </c>
      <c r="D64" s="1" t="s">
        <v>100</v>
      </c>
      <c r="E64" s="31" t="s">
        <v>56</v>
      </c>
      <c r="F64" s="2"/>
      <c r="G64" s="26">
        <f>-LOG(0.0001)</f>
        <v>4</v>
      </c>
      <c r="H64" s="2">
        <v>3.41</v>
      </c>
      <c r="I64" s="3">
        <f t="shared" si="0"/>
        <v>0.58999999999999986</v>
      </c>
      <c r="J64" s="3">
        <f t="shared" si="1"/>
        <v>0.34809999999999985</v>
      </c>
      <c r="K64" s="2">
        <v>4.2505107169096901</v>
      </c>
      <c r="L64" s="3">
        <f t="shared" si="2"/>
        <v>0.25051071690969007</v>
      </c>
      <c r="M64" s="3">
        <f t="shared" si="3"/>
        <v>6.2755619286606876E-2</v>
      </c>
      <c r="N64" s="2">
        <v>3.87</v>
      </c>
      <c r="O64" s="3">
        <f t="shared" si="4"/>
        <v>0.12999999999999989</v>
      </c>
      <c r="P64" s="3">
        <f t="shared" si="5"/>
        <v>1.6899999999999971E-2</v>
      </c>
      <c r="Q64" s="2">
        <v>4.0999999999999996</v>
      </c>
      <c r="R64" s="3">
        <f t="shared" si="6"/>
        <v>9.9999999999999645E-2</v>
      </c>
      <c r="S64" s="3">
        <f t="shared" si="7"/>
        <v>9.9999999999999291E-3</v>
      </c>
      <c r="T64" s="2">
        <v>2.64443768562028</v>
      </c>
      <c r="U64" s="3">
        <f t="shared" si="8"/>
        <v>1.35556231437972</v>
      </c>
      <c r="V64" s="3">
        <f t="shared" si="9"/>
        <v>1.8375491881665027</v>
      </c>
      <c r="W64" s="78" t="s">
        <v>397</v>
      </c>
    </row>
    <row r="65" spans="1:23" x14ac:dyDescent="0.3">
      <c r="A65" s="1">
        <v>51</v>
      </c>
      <c r="B65" s="1" t="s">
        <v>54</v>
      </c>
      <c r="C65" s="1" t="s">
        <v>55</v>
      </c>
      <c r="D65" s="1" t="s">
        <v>100</v>
      </c>
      <c r="E65" s="31" t="s">
        <v>56</v>
      </c>
      <c r="F65" s="2"/>
      <c r="G65" s="26">
        <f>-LOG(0.0000698)</f>
        <v>4.1561445773768391</v>
      </c>
      <c r="H65" s="2">
        <v>3.41</v>
      </c>
      <c r="I65" s="3">
        <f t="shared" si="0"/>
        <v>0.74614457737683892</v>
      </c>
      <c r="J65" s="3">
        <f t="shared" si="1"/>
        <v>0.55673173034886159</v>
      </c>
      <c r="K65" s="2">
        <v>4.2505107169096901</v>
      </c>
      <c r="L65" s="3">
        <f t="shared" si="2"/>
        <v>9.4366139532851001E-2</v>
      </c>
      <c r="M65" s="3">
        <f t="shared" si="3"/>
        <v>8.9049682903335047E-3</v>
      </c>
      <c r="N65" s="2">
        <v>3.87</v>
      </c>
      <c r="O65" s="3">
        <f t="shared" si="4"/>
        <v>0.28614457737683896</v>
      </c>
      <c r="P65" s="3">
        <f t="shared" si="5"/>
        <v>8.187871916216978E-2</v>
      </c>
      <c r="Q65" s="2">
        <v>4.0999999999999996</v>
      </c>
      <c r="R65" s="3">
        <f t="shared" si="6"/>
        <v>5.6144577376839422E-2</v>
      </c>
      <c r="S65" s="3">
        <f t="shared" si="7"/>
        <v>3.152213568823909E-3</v>
      </c>
      <c r="T65" s="2">
        <v>2.64443768562028</v>
      </c>
      <c r="U65" s="3">
        <f t="shared" si="8"/>
        <v>1.511706891756559</v>
      </c>
      <c r="V65" s="3">
        <f t="shared" si="9"/>
        <v>2.2852577265842768</v>
      </c>
      <c r="W65" s="78" t="s">
        <v>397</v>
      </c>
    </row>
    <row r="66" spans="1:23" x14ac:dyDescent="0.3">
      <c r="A66" s="1">
        <v>52</v>
      </c>
      <c r="B66" s="1" t="s">
        <v>54</v>
      </c>
      <c r="C66" s="1" t="s">
        <v>55</v>
      </c>
      <c r="D66" s="1" t="s">
        <v>100</v>
      </c>
      <c r="E66" s="31" t="s">
        <v>56</v>
      </c>
      <c r="F66" s="2"/>
      <c r="G66" s="26">
        <f>-LOG(0.0001)</f>
        <v>4</v>
      </c>
      <c r="H66" s="2">
        <v>3.41</v>
      </c>
      <c r="I66" s="3">
        <f t="shared" si="0"/>
        <v>0.58999999999999986</v>
      </c>
      <c r="J66" s="3">
        <f t="shared" si="1"/>
        <v>0.34809999999999985</v>
      </c>
      <c r="K66" s="2">
        <v>4.2505107169096901</v>
      </c>
      <c r="L66" s="3">
        <f t="shared" si="2"/>
        <v>0.25051071690969007</v>
      </c>
      <c r="M66" s="3">
        <f t="shared" si="3"/>
        <v>6.2755619286606876E-2</v>
      </c>
      <c r="N66" s="2">
        <v>3.87</v>
      </c>
      <c r="O66" s="3">
        <f t="shared" si="4"/>
        <v>0.12999999999999989</v>
      </c>
      <c r="P66" s="3">
        <f t="shared" si="5"/>
        <v>1.6899999999999971E-2</v>
      </c>
      <c r="Q66" s="2">
        <v>4.0999999999999996</v>
      </c>
      <c r="R66" s="3">
        <f t="shared" si="6"/>
        <v>9.9999999999999645E-2</v>
      </c>
      <c r="S66" s="3">
        <f t="shared" si="7"/>
        <v>9.9999999999999291E-3</v>
      </c>
      <c r="T66" s="2">
        <v>2.64443768562028</v>
      </c>
      <c r="U66" s="3">
        <f t="shared" si="8"/>
        <v>1.35556231437972</v>
      </c>
      <c r="V66" s="3">
        <f t="shared" si="9"/>
        <v>1.8375491881665027</v>
      </c>
      <c r="W66" s="78" t="s">
        <v>412</v>
      </c>
    </row>
    <row r="67" spans="1:23" x14ac:dyDescent="0.3">
      <c r="A67" s="1">
        <v>53</v>
      </c>
      <c r="B67" s="1" t="s">
        <v>57</v>
      </c>
      <c r="C67" s="1" t="s">
        <v>58</v>
      </c>
      <c r="D67" s="1" t="s">
        <v>100</v>
      </c>
      <c r="E67" s="31" t="s">
        <v>59</v>
      </c>
      <c r="F67" s="2"/>
      <c r="G67" s="26">
        <f>-LOG(0.000032)</f>
        <v>4.4948500216800937</v>
      </c>
      <c r="H67" s="2">
        <v>3.7</v>
      </c>
      <c r="I67" s="3">
        <f t="shared" si="0"/>
        <v>0.79485002168009355</v>
      </c>
      <c r="J67" s="3">
        <f t="shared" si="1"/>
        <v>0.6317865569648452</v>
      </c>
      <c r="K67" s="2">
        <v>4.5653281126743197</v>
      </c>
      <c r="L67" s="3">
        <f t="shared" si="2"/>
        <v>7.0478090994225973E-2</v>
      </c>
      <c r="M67" s="3">
        <f t="shared" si="3"/>
        <v>4.9671613101903963E-3</v>
      </c>
      <c r="N67" s="2">
        <v>4.03</v>
      </c>
      <c r="O67" s="3">
        <f t="shared" si="4"/>
        <v>0.46485002168009348</v>
      </c>
      <c r="P67" s="3">
        <f t="shared" si="5"/>
        <v>0.21608554265598337</v>
      </c>
      <c r="Q67" s="2">
        <v>4.5</v>
      </c>
      <c r="R67" s="3">
        <f t="shared" si="6"/>
        <v>5.1499783199062676E-3</v>
      </c>
      <c r="S67" s="3">
        <f t="shared" si="7"/>
        <v>2.6522276695504583E-5</v>
      </c>
      <c r="T67" s="2">
        <v>2.1268695555552499</v>
      </c>
      <c r="U67" s="3">
        <f t="shared" si="8"/>
        <v>2.3679804661248438</v>
      </c>
      <c r="V67" s="3">
        <f t="shared" si="9"/>
        <v>5.6073314879488327</v>
      </c>
      <c r="W67" s="78" t="s">
        <v>413</v>
      </c>
    </row>
    <row r="68" spans="1:23" x14ac:dyDescent="0.3">
      <c r="A68" s="1">
        <v>57</v>
      </c>
      <c r="B68" s="1" t="s">
        <v>60</v>
      </c>
      <c r="C68" s="1" t="s">
        <v>61</v>
      </c>
      <c r="D68" s="1" t="s">
        <v>102</v>
      </c>
      <c r="E68" s="31" t="s">
        <v>62</v>
      </c>
      <c r="F68" s="2"/>
      <c r="G68" s="26">
        <f>-LOG(0.000066)</f>
        <v>4.1804560644581317</v>
      </c>
      <c r="H68" s="2">
        <v>2.71</v>
      </c>
      <c r="I68" s="3">
        <f t="shared" si="0"/>
        <v>1.4704560644581317</v>
      </c>
      <c r="J68" s="3">
        <f t="shared" si="1"/>
        <v>2.1622410375016972</v>
      </c>
      <c r="K68" s="2">
        <v>4.0121889824375403</v>
      </c>
      <c r="L68" s="3">
        <f t="shared" si="2"/>
        <v>0.16826708202059137</v>
      </c>
      <c r="M68" s="3">
        <f t="shared" si="3"/>
        <v>2.8313810891724425E-2</v>
      </c>
      <c r="N68" s="2">
        <v>3.63</v>
      </c>
      <c r="O68" s="3">
        <f t="shared" si="4"/>
        <v>0.55045606445813178</v>
      </c>
      <c r="P68" s="3">
        <f t="shared" si="5"/>
        <v>0.30300187889873492</v>
      </c>
      <c r="Q68" s="2">
        <v>4.2</v>
      </c>
      <c r="R68" s="3">
        <f t="shared" si="6"/>
        <v>1.9543935541868507E-2</v>
      </c>
      <c r="S68" s="3">
        <f t="shared" si="7"/>
        <v>3.8196541646471103E-4</v>
      </c>
      <c r="T68" s="2">
        <v>3.0570831185923102</v>
      </c>
      <c r="U68" s="3">
        <f t="shared" si="8"/>
        <v>1.1233729458658215</v>
      </c>
      <c r="V68" s="3">
        <f t="shared" si="9"/>
        <v>1.261966775503254</v>
      </c>
      <c r="W68" s="78" t="s">
        <v>412</v>
      </c>
    </row>
    <row r="69" spans="1:23" x14ac:dyDescent="0.3">
      <c r="A69" s="1">
        <v>58</v>
      </c>
      <c r="B69" s="1" t="s">
        <v>63</v>
      </c>
      <c r="C69" s="1" t="s">
        <v>64</v>
      </c>
      <c r="D69" s="1" t="s">
        <v>105</v>
      </c>
      <c r="E69" s="31" t="s">
        <v>65</v>
      </c>
      <c r="F69" s="2"/>
      <c r="G69" s="26">
        <v>3.17</v>
      </c>
      <c r="H69" s="2">
        <v>-1.06</v>
      </c>
      <c r="I69" s="3">
        <f t="shared" si="0"/>
        <v>4.2300000000000004</v>
      </c>
      <c r="J69" s="3">
        <f t="shared" si="1"/>
        <v>17.892900000000004</v>
      </c>
      <c r="K69" s="2">
        <v>2.82</v>
      </c>
      <c r="L69" s="3">
        <f t="shared" si="2"/>
        <v>0.35000000000000009</v>
      </c>
      <c r="M69" s="3">
        <f t="shared" si="3"/>
        <v>0.12250000000000007</v>
      </c>
      <c r="N69" s="2">
        <v>3.07</v>
      </c>
      <c r="O69" s="3">
        <f t="shared" si="4"/>
        <v>0.10000000000000009</v>
      </c>
      <c r="P69" s="3">
        <f t="shared" si="5"/>
        <v>1.0000000000000018E-2</v>
      </c>
      <c r="Q69" s="2">
        <v>3.2</v>
      </c>
      <c r="R69" s="3">
        <f t="shared" si="6"/>
        <v>3.0000000000000249E-2</v>
      </c>
      <c r="S69" s="3">
        <f t="shared" si="7"/>
        <v>9.0000000000001494E-4</v>
      </c>
      <c r="T69" s="2">
        <v>2.7226384876868601</v>
      </c>
      <c r="U69" s="3">
        <f t="shared" si="8"/>
        <v>0.44736151231313981</v>
      </c>
      <c r="V69" s="3">
        <f t="shared" si="9"/>
        <v>0.20013232269909953</v>
      </c>
      <c r="W69" s="78" t="s">
        <v>408</v>
      </c>
    </row>
    <row r="70" spans="1:23" x14ac:dyDescent="0.3">
      <c r="A70" s="1">
        <v>59</v>
      </c>
      <c r="B70" s="1" t="s">
        <v>66</v>
      </c>
      <c r="C70" s="1" t="s">
        <v>67</v>
      </c>
      <c r="D70" s="1" t="s">
        <v>106</v>
      </c>
      <c r="E70" s="31" t="s">
        <v>68</v>
      </c>
      <c r="F70" s="2"/>
      <c r="G70" s="26">
        <v>5.12</v>
      </c>
      <c r="H70" s="2">
        <v>0.11</v>
      </c>
      <c r="I70" s="3">
        <f t="shared" si="0"/>
        <v>5.01</v>
      </c>
      <c r="J70" s="3">
        <f t="shared" si="1"/>
        <v>25.100099999999998</v>
      </c>
      <c r="K70" s="2">
        <v>3.9643326387434898</v>
      </c>
      <c r="L70" s="3">
        <f t="shared" si="2"/>
        <v>1.1556673612565103</v>
      </c>
      <c r="M70" s="3">
        <f t="shared" si="3"/>
        <v>1.3355670498735854</v>
      </c>
      <c r="N70" s="2">
        <v>3.56</v>
      </c>
      <c r="O70" s="3">
        <f t="shared" si="4"/>
        <v>1.56</v>
      </c>
      <c r="P70" s="3">
        <f t="shared" si="5"/>
        <v>2.4336000000000002</v>
      </c>
      <c r="Q70" s="2">
        <v>4.2</v>
      </c>
      <c r="R70" s="3">
        <f t="shared" si="6"/>
        <v>0.91999999999999993</v>
      </c>
      <c r="S70" s="3">
        <f t="shared" si="7"/>
        <v>0.84639999999999982</v>
      </c>
      <c r="T70" s="2">
        <v>3.35709078918264</v>
      </c>
      <c r="U70" s="3">
        <f t="shared" si="8"/>
        <v>1.7629092108173601</v>
      </c>
      <c r="V70" s="3">
        <f t="shared" si="9"/>
        <v>3.1078488855846871</v>
      </c>
      <c r="W70" s="78" t="s">
        <v>401</v>
      </c>
    </row>
    <row r="71" spans="1:23" x14ac:dyDescent="0.3">
      <c r="A71" s="1">
        <v>60</v>
      </c>
      <c r="B71" s="1" t="s">
        <v>69</v>
      </c>
      <c r="C71" s="1" t="s">
        <v>70</v>
      </c>
      <c r="D71" s="1" t="s">
        <v>106</v>
      </c>
      <c r="E71" s="31" t="s">
        <v>71</v>
      </c>
      <c r="F71" s="2"/>
      <c r="G71" s="26">
        <v>5.63</v>
      </c>
      <c r="H71" s="2">
        <v>1.62</v>
      </c>
      <c r="I71" s="3">
        <f t="shared" si="0"/>
        <v>4.01</v>
      </c>
      <c r="J71" s="3">
        <f t="shared" si="1"/>
        <v>16.080099999999998</v>
      </c>
      <c r="K71" s="2">
        <v>4.4582242635193099</v>
      </c>
      <c r="L71" s="3">
        <f t="shared" si="2"/>
        <v>1.17177573648069</v>
      </c>
      <c r="M71" s="3">
        <f t="shared" si="3"/>
        <v>1.3730583766048634</v>
      </c>
      <c r="N71" s="2">
        <v>3.83</v>
      </c>
      <c r="O71" s="3">
        <f t="shared" si="4"/>
        <v>1.7999999999999998</v>
      </c>
      <c r="P71" s="3">
        <f t="shared" si="5"/>
        <v>3.2399999999999993</v>
      </c>
      <c r="Q71" s="2">
        <v>4.5999999999999996</v>
      </c>
      <c r="R71" s="3">
        <f t="shared" si="6"/>
        <v>1.0300000000000002</v>
      </c>
      <c r="S71" s="3">
        <f t="shared" si="7"/>
        <v>1.0609000000000006</v>
      </c>
      <c r="T71" s="2">
        <v>3.35801395403172</v>
      </c>
      <c r="U71" s="3">
        <f t="shared" si="8"/>
        <v>2.2719860459682799</v>
      </c>
      <c r="V71" s="3">
        <f t="shared" si="9"/>
        <v>5.1619205930745791</v>
      </c>
      <c r="W71" s="78" t="s">
        <v>401</v>
      </c>
    </row>
    <row r="72" spans="1:23" x14ac:dyDescent="0.3">
      <c r="A72" s="1">
        <v>61</v>
      </c>
      <c r="B72" s="1" t="s">
        <v>72</v>
      </c>
      <c r="C72" s="1" t="s">
        <v>73</v>
      </c>
      <c r="D72" s="1" t="s">
        <v>106</v>
      </c>
      <c r="E72" s="31" t="s">
        <v>74</v>
      </c>
      <c r="F72" s="2"/>
      <c r="G72" s="26">
        <v>5.81</v>
      </c>
      <c r="H72" s="2">
        <v>2.79</v>
      </c>
      <c r="I72" s="3">
        <f t="shared" si="0"/>
        <v>3.0199999999999996</v>
      </c>
      <c r="J72" s="3">
        <f t="shared" si="1"/>
        <v>9.1203999999999983</v>
      </c>
      <c r="K72" s="2">
        <v>4.6296934601174398</v>
      </c>
      <c r="L72" s="3">
        <f t="shared" si="2"/>
        <v>1.1803065398825598</v>
      </c>
      <c r="M72" s="3">
        <f t="shared" si="3"/>
        <v>1.3931235280895409</v>
      </c>
      <c r="N72" s="2">
        <v>3.97</v>
      </c>
      <c r="O72" s="3">
        <f t="shared" si="4"/>
        <v>1.8399999999999994</v>
      </c>
      <c r="P72" s="3">
        <f t="shared" si="5"/>
        <v>3.3855999999999979</v>
      </c>
      <c r="Q72" s="2">
        <v>4.7</v>
      </c>
      <c r="R72" s="3">
        <f t="shared" si="6"/>
        <v>1.1099999999999994</v>
      </c>
      <c r="S72" s="3">
        <f t="shared" si="7"/>
        <v>1.2320999999999986</v>
      </c>
      <c r="T72" s="2">
        <v>3.3746158759359601</v>
      </c>
      <c r="U72" s="3">
        <f t="shared" si="8"/>
        <v>2.4353841240640395</v>
      </c>
      <c r="V72" s="3">
        <f t="shared" si="9"/>
        <v>5.9310958317431686</v>
      </c>
      <c r="W72" s="78" t="s">
        <v>401</v>
      </c>
    </row>
    <row r="73" spans="1:23" x14ac:dyDescent="0.3">
      <c r="A73" s="1">
        <v>62</v>
      </c>
      <c r="B73" s="1" t="s">
        <v>75</v>
      </c>
      <c r="C73" s="1" t="s">
        <v>76</v>
      </c>
      <c r="D73" s="1" t="s">
        <v>106</v>
      </c>
      <c r="E73" s="31" t="s">
        <v>77</v>
      </c>
      <c r="F73" s="2"/>
      <c r="G73" s="26">
        <v>5.95</v>
      </c>
      <c r="H73" s="2">
        <v>3.65</v>
      </c>
      <c r="I73" s="3">
        <f t="shared" si="0"/>
        <v>2.3000000000000003</v>
      </c>
      <c r="J73" s="3">
        <f t="shared" si="1"/>
        <v>5.2900000000000009</v>
      </c>
      <c r="K73" s="2">
        <v>4.6913482735957004</v>
      </c>
      <c r="L73" s="3">
        <f t="shared" si="2"/>
        <v>1.2586517264042998</v>
      </c>
      <c r="M73" s="3">
        <f t="shared" si="3"/>
        <v>1.5842041683805244</v>
      </c>
      <c r="N73" s="2">
        <v>4</v>
      </c>
      <c r="O73" s="3">
        <f t="shared" si="4"/>
        <v>1.9500000000000002</v>
      </c>
      <c r="P73" s="3">
        <f t="shared" si="5"/>
        <v>3.8025000000000007</v>
      </c>
      <c r="Q73" s="2">
        <v>4.8</v>
      </c>
      <c r="R73" s="3">
        <f t="shared" si="6"/>
        <v>1.1500000000000004</v>
      </c>
      <c r="S73" s="3">
        <f t="shared" si="7"/>
        <v>1.3225000000000009</v>
      </c>
      <c r="T73" s="2">
        <v>3.24996954720678</v>
      </c>
      <c r="U73" s="3">
        <f t="shared" si="8"/>
        <v>2.7000304527932202</v>
      </c>
      <c r="V73" s="3">
        <f t="shared" si="9"/>
        <v>7.2901644460107615</v>
      </c>
      <c r="W73" s="78" t="s">
        <v>401</v>
      </c>
    </row>
    <row r="74" spans="1:23" s="71" customFormat="1" ht="15" thickBot="1" x14ac:dyDescent="0.35">
      <c r="A74" s="71">
        <v>63</v>
      </c>
      <c r="B74" s="71" t="s">
        <v>78</v>
      </c>
      <c r="C74" s="71" t="s">
        <v>79</v>
      </c>
      <c r="D74" s="71" t="s">
        <v>106</v>
      </c>
      <c r="E74" s="72" t="s">
        <v>80</v>
      </c>
      <c r="F74" s="73"/>
      <c r="G74" s="74">
        <v>6.26</v>
      </c>
      <c r="H74" s="73">
        <v>4.2300000000000004</v>
      </c>
      <c r="I74" s="75">
        <f t="shared" si="0"/>
        <v>2.0299999999999994</v>
      </c>
      <c r="J74" s="75">
        <f t="shared" si="1"/>
        <v>4.1208999999999971</v>
      </c>
      <c r="K74" s="73">
        <v>4.7155974545188002</v>
      </c>
      <c r="L74" s="75">
        <f t="shared" si="2"/>
        <v>1.5444025454811996</v>
      </c>
      <c r="M74" s="75">
        <f t="shared" si="3"/>
        <v>2.3851792224888086</v>
      </c>
      <c r="N74" s="73">
        <v>4.04</v>
      </c>
      <c r="O74" s="75">
        <f t="shared" si="4"/>
        <v>2.2199999999999998</v>
      </c>
      <c r="P74" s="75">
        <f t="shared" si="5"/>
        <v>4.928399999999999</v>
      </c>
      <c r="Q74" s="73">
        <v>4.8</v>
      </c>
      <c r="R74" s="75">
        <f t="shared" si="6"/>
        <v>1.46</v>
      </c>
      <c r="S74" s="75">
        <f t="shared" si="7"/>
        <v>2.1315999999999997</v>
      </c>
      <c r="T74" s="73">
        <v>3.0290450026593798</v>
      </c>
      <c r="U74" s="75">
        <f t="shared" si="8"/>
        <v>3.23095499734062</v>
      </c>
      <c r="V74" s="75">
        <f t="shared" si="9"/>
        <v>10.439070194840326</v>
      </c>
      <c r="W74" s="80" t="s">
        <v>401</v>
      </c>
    </row>
    <row r="75" spans="1:23" x14ac:dyDescent="0.3">
      <c r="A75" s="1">
        <v>54</v>
      </c>
      <c r="B75" s="1" t="s">
        <v>81</v>
      </c>
      <c r="C75" s="1" t="s">
        <v>82</v>
      </c>
      <c r="D75" s="1" t="s">
        <v>100</v>
      </c>
      <c r="E75" s="31" t="s">
        <v>83</v>
      </c>
      <c r="F75" s="2"/>
      <c r="G75" s="26">
        <f>-LOG(0.00045)</f>
        <v>3.3467874862246565</v>
      </c>
      <c r="H75" s="2">
        <v>3.4</v>
      </c>
      <c r="I75" s="3">
        <f>ABS(G75-H75)</f>
        <v>5.3212513775343417E-2</v>
      </c>
      <c r="J75" s="3">
        <f>I75^2</f>
        <v>2.8315716222911129E-3</v>
      </c>
      <c r="K75" s="2">
        <v>3.3007490655619498</v>
      </c>
      <c r="L75" s="3">
        <f>ABS(G75-K75)</f>
        <v>4.6038420662706692E-2</v>
      </c>
      <c r="M75" s="3">
        <f>L75^2</f>
        <v>2.1195361771163385E-3</v>
      </c>
      <c r="N75" s="2">
        <v>3.55</v>
      </c>
      <c r="O75" s="3">
        <f>ABS(G75-N75)</f>
        <v>0.20321251377534333</v>
      </c>
      <c r="P75" s="3">
        <f>O75^2</f>
        <v>4.1295325754894099E-2</v>
      </c>
      <c r="Q75" s="2">
        <v>2.8</v>
      </c>
      <c r="R75" s="3">
        <f>ABS(G75-Q75)</f>
        <v>0.54678748622465667</v>
      </c>
      <c r="S75" s="3">
        <f>R75^2</f>
        <v>0.29897655509187909</v>
      </c>
      <c r="T75" s="2">
        <v>2.5233192719208399</v>
      </c>
      <c r="U75" s="3">
        <f>ABS(G75-T75)</f>
        <v>0.82346821430381656</v>
      </c>
      <c r="V75" s="3">
        <f>U75^2</f>
        <v>0.67809989996871634</v>
      </c>
      <c r="W75" s="78" t="s">
        <v>414</v>
      </c>
    </row>
    <row r="76" spans="1:23" x14ac:dyDescent="0.3">
      <c r="A76" s="1">
        <v>55</v>
      </c>
      <c r="B76" s="1" t="s">
        <v>81</v>
      </c>
      <c r="C76" s="1" t="s">
        <v>82</v>
      </c>
      <c r="D76" s="1" t="s">
        <v>100</v>
      </c>
      <c r="E76" s="31" t="s">
        <v>83</v>
      </c>
      <c r="F76" s="2"/>
      <c r="G76" s="26">
        <f>-LOG(0.00033)</f>
        <v>3.4814860601221125</v>
      </c>
      <c r="H76" s="2">
        <v>3.4</v>
      </c>
      <c r="I76" s="3">
        <f>ABS(G76-H76)</f>
        <v>8.1486060122112569E-2</v>
      </c>
      <c r="J76" s="3">
        <f>I76^2</f>
        <v>6.6399779942245439E-3</v>
      </c>
      <c r="K76" s="2">
        <v>3.3007490655619498</v>
      </c>
      <c r="L76" s="3">
        <f>ABS(G76-K76)</f>
        <v>0.18073699456016268</v>
      </c>
      <c r="M76" s="3">
        <f>L76^2</f>
        <v>3.2665861202640277E-2</v>
      </c>
      <c r="N76" s="2">
        <v>3.55</v>
      </c>
      <c r="O76" s="3">
        <f>ABS(G76-N76)</f>
        <v>6.8513939877887342E-2</v>
      </c>
      <c r="P76" s="3">
        <f>O76^2</f>
        <v>4.6941599575907617E-3</v>
      </c>
      <c r="Q76" s="2">
        <v>2.8</v>
      </c>
      <c r="R76" s="3">
        <f>ABS(G76-Q76)</f>
        <v>0.68148606012211266</v>
      </c>
      <c r="S76" s="3">
        <f>R76^2</f>
        <v>0.46442325014075975</v>
      </c>
      <c r="T76" s="2">
        <v>2.5233192719208399</v>
      </c>
      <c r="U76" s="3">
        <f>ABS(G76-T76)</f>
        <v>0.95816678820127255</v>
      </c>
      <c r="V76" s="3">
        <f>U76^2</f>
        <v>0.91808359401194228</v>
      </c>
      <c r="W76" s="78" t="s">
        <v>412</v>
      </c>
    </row>
    <row r="77" spans="1:23" x14ac:dyDescent="0.3">
      <c r="A77" s="1">
        <v>56</v>
      </c>
      <c r="B77" s="1" t="s">
        <v>84</v>
      </c>
      <c r="C77" s="1" t="s">
        <v>85</v>
      </c>
      <c r="D77" s="1" t="s">
        <v>102</v>
      </c>
      <c r="E77" s="31" t="s">
        <v>86</v>
      </c>
      <c r="F77" s="2"/>
      <c r="G77" s="26">
        <f>-LOG(0.00059)</f>
        <v>3.2291479883578558</v>
      </c>
      <c r="H77" s="2">
        <v>2.76</v>
      </c>
      <c r="I77" s="3">
        <f>ABS(G77-H77)</f>
        <v>0.46914798835785598</v>
      </c>
      <c r="J77" s="3">
        <f>I77^2</f>
        <v>0.22009983498022298</v>
      </c>
      <c r="K77" s="2">
        <v>3.1860302274391801</v>
      </c>
      <c r="L77" s="3">
        <f>ABS(G77-K77)</f>
        <v>4.3117760918675696E-2</v>
      </c>
      <c r="M77" s="3">
        <f>L77^2</f>
        <v>1.8591413066400772E-3</v>
      </c>
      <c r="N77" s="2">
        <v>3.38</v>
      </c>
      <c r="O77" s="3">
        <f>ABS(G77-N77)</f>
        <v>0.15085201164214412</v>
      </c>
      <c r="P77" s="3">
        <f>O77^2</f>
        <v>2.2756329416481588E-2</v>
      </c>
      <c r="Q77" s="2">
        <v>2.8</v>
      </c>
      <c r="R77" s="3">
        <f>ABS(G77-Q77)</f>
        <v>0.42914798835785595</v>
      </c>
      <c r="S77" s="3">
        <f>R77^2</f>
        <v>0.18416799591159447</v>
      </c>
      <c r="T77" s="2">
        <v>1.64219681893861</v>
      </c>
      <c r="U77" s="3">
        <f>ABS(G77-T77)</f>
        <v>1.5869511694192457</v>
      </c>
      <c r="V77" s="3">
        <f>U77^2</f>
        <v>2.5184140141211118</v>
      </c>
      <c r="W77" s="78" t="s">
        <v>412</v>
      </c>
    </row>
    <row r="78" spans="1:23" x14ac:dyDescent="0.3">
      <c r="A78" s="1">
        <v>64</v>
      </c>
      <c r="B78" s="1" t="s">
        <v>87</v>
      </c>
      <c r="C78" s="7" t="s">
        <v>88</v>
      </c>
      <c r="D78" s="1" t="s">
        <v>106</v>
      </c>
      <c r="E78" s="31" t="s">
        <v>89</v>
      </c>
      <c r="F78" s="2"/>
      <c r="G78" s="26">
        <v>5.4</v>
      </c>
      <c r="H78" s="2">
        <v>2.74</v>
      </c>
      <c r="I78" s="3">
        <f t="shared" si="0"/>
        <v>2.66</v>
      </c>
      <c r="J78" s="3">
        <f t="shared" si="1"/>
        <v>7.0756000000000006</v>
      </c>
      <c r="K78" s="2">
        <v>4.5368714166704702</v>
      </c>
      <c r="L78" s="3">
        <f t="shared" si="2"/>
        <v>0.86312858332953013</v>
      </c>
      <c r="M78" s="3">
        <f t="shared" si="3"/>
        <v>0.74499095136044169</v>
      </c>
      <c r="N78" s="2">
        <v>3.97</v>
      </c>
      <c r="O78" s="3">
        <f t="shared" si="4"/>
        <v>1.4300000000000002</v>
      </c>
      <c r="P78" s="3">
        <f t="shared" si="5"/>
        <v>2.0449000000000006</v>
      </c>
      <c r="Q78" s="2">
        <v>4.5</v>
      </c>
      <c r="R78" s="3">
        <f t="shared" si="6"/>
        <v>0.90000000000000036</v>
      </c>
      <c r="S78" s="3">
        <f t="shared" si="7"/>
        <v>0.81000000000000061</v>
      </c>
      <c r="T78" s="2">
        <v>3.5394841609938799</v>
      </c>
      <c r="U78" s="3">
        <f t="shared" si="8"/>
        <v>1.8605158390061205</v>
      </c>
      <c r="V78" s="3">
        <f t="shared" si="9"/>
        <v>3.4615191871926485</v>
      </c>
      <c r="W78" s="78" t="s">
        <v>401</v>
      </c>
    </row>
    <row r="79" spans="1:23" s="71" customFormat="1" ht="15" thickBot="1" x14ac:dyDescent="0.35">
      <c r="A79" s="71">
        <v>65</v>
      </c>
      <c r="B79" s="71" t="s">
        <v>90</v>
      </c>
      <c r="C79" s="71" t="s">
        <v>91</v>
      </c>
      <c r="D79" s="71" t="s">
        <v>106</v>
      </c>
      <c r="E79" s="72" t="s">
        <v>92</v>
      </c>
      <c r="F79" s="73"/>
      <c r="G79" s="74">
        <v>5.83</v>
      </c>
      <c r="H79" s="73">
        <v>3.59</v>
      </c>
      <c r="I79" s="75">
        <f t="shared" si="0"/>
        <v>2.2400000000000002</v>
      </c>
      <c r="J79" s="75">
        <f t="shared" si="1"/>
        <v>5.0176000000000007</v>
      </c>
      <c r="K79" s="73">
        <v>4.6468367688258496</v>
      </c>
      <c r="L79" s="75">
        <f t="shared" si="2"/>
        <v>1.1831632311741505</v>
      </c>
      <c r="M79" s="75">
        <f t="shared" si="3"/>
        <v>1.3998752316024561</v>
      </c>
      <c r="N79" s="73">
        <v>4.0599999999999996</v>
      </c>
      <c r="O79" s="75">
        <f t="shared" si="4"/>
        <v>1.7700000000000005</v>
      </c>
      <c r="P79" s="75">
        <f t="shared" si="5"/>
        <v>3.1329000000000016</v>
      </c>
      <c r="Q79" s="73">
        <v>4.7</v>
      </c>
      <c r="R79" s="75">
        <f t="shared" si="6"/>
        <v>1.1299999999999999</v>
      </c>
      <c r="S79" s="75">
        <f t="shared" si="7"/>
        <v>1.2768999999999997</v>
      </c>
      <c r="T79" s="73">
        <v>1.5521172919157999</v>
      </c>
      <c r="U79" s="75">
        <f t="shared" si="8"/>
        <v>4.2778827080842001</v>
      </c>
      <c r="V79" s="75">
        <f t="shared" si="9"/>
        <v>18.300280464125809</v>
      </c>
      <c r="W79" s="80" t="s">
        <v>401</v>
      </c>
    </row>
    <row r="80" spans="1:23" s="11" customFormat="1" x14ac:dyDescent="0.3">
      <c r="A80" s="11">
        <v>66</v>
      </c>
      <c r="B80" s="11" t="s">
        <v>93</v>
      </c>
      <c r="D80" s="11" t="s">
        <v>100</v>
      </c>
      <c r="E80" s="35" t="s">
        <v>94</v>
      </c>
      <c r="G80" s="35">
        <v>3.75</v>
      </c>
      <c r="H80" s="11">
        <v>3.94</v>
      </c>
      <c r="I80" s="3">
        <f t="shared" ref="I80" si="130">ABS(G80-H80)</f>
        <v>0.18999999999999995</v>
      </c>
      <c r="J80" s="3">
        <f t="shared" ref="J80" si="131">I80^2</f>
        <v>3.6099999999999979E-2</v>
      </c>
      <c r="K80" s="12">
        <v>3.5013093665391199</v>
      </c>
      <c r="L80" s="3">
        <f t="shared" ref="L80" si="132">ABS(G80-K80)</f>
        <v>0.24869063346088005</v>
      </c>
      <c r="M80" s="3">
        <f t="shared" ref="M80" si="133">L80^2</f>
        <v>6.1847031171173794E-2</v>
      </c>
      <c r="N80" s="12">
        <v>3.53</v>
      </c>
      <c r="O80" s="3">
        <f t="shared" ref="O80" si="134">ABS(G80-N80)</f>
        <v>0.2200000000000002</v>
      </c>
      <c r="P80" s="3">
        <f t="shared" ref="P80" si="135">O80^2</f>
        <v>4.8400000000000089E-2</v>
      </c>
      <c r="Q80" s="12">
        <v>3.7</v>
      </c>
      <c r="R80" s="3">
        <f t="shared" ref="R80" si="136">ABS(G80-Q80)</f>
        <v>4.9999999999999822E-2</v>
      </c>
      <c r="S80" s="3">
        <f t="shared" ref="S80" si="137">R80^2</f>
        <v>2.4999999999999823E-3</v>
      </c>
      <c r="T80" s="12">
        <v>2.5882636639164001</v>
      </c>
      <c r="U80" s="3">
        <f t="shared" ref="U80" si="138">ABS(G80-T80)</f>
        <v>1.1617363360835999</v>
      </c>
      <c r="V80" s="3">
        <f t="shared" ref="V80" si="139">U80^2</f>
        <v>1.3496313145769472</v>
      </c>
      <c r="W80" s="78" t="s">
        <v>421</v>
      </c>
    </row>
    <row r="81" spans="7:22" x14ac:dyDescent="0.3">
      <c r="G81" s="1"/>
      <c r="H81" s="1"/>
      <c r="I81" s="1"/>
      <c r="J81" s="3"/>
      <c r="K81" s="3"/>
      <c r="M81" s="3"/>
      <c r="N81" s="3"/>
      <c r="P81" s="3"/>
      <c r="Q81" s="3"/>
      <c r="S81" s="3"/>
      <c r="T81" s="3"/>
      <c r="V81" s="3"/>
    </row>
    <row r="82" spans="7:22" x14ac:dyDescent="0.3">
      <c r="H82" t="s">
        <v>95</v>
      </c>
      <c r="I82"/>
      <c r="J82" s="3">
        <f>AVERAGE(I3:I80)</f>
        <v>2.4980423277531942</v>
      </c>
      <c r="K82" s="3">
        <f>SQRT(SUM(J3:J80)/66)</f>
        <v>3.8532842143261128</v>
      </c>
      <c r="L82" s="3"/>
      <c r="M82" s="3">
        <f>AVERAGE(L3:L80)</f>
        <v>1.1923934150566839</v>
      </c>
      <c r="N82" s="3">
        <f>SQRT(SUM(M3:M80)/66)</f>
        <v>1.6247453561866745</v>
      </c>
      <c r="O82" s="3"/>
      <c r="P82" s="3">
        <f>AVERAGE(O3:O80)</f>
        <v>1.2420004290742199</v>
      </c>
      <c r="Q82" s="3">
        <f>SQRT(SUM(P3:P80)/66)</f>
        <v>1.6177621709194252</v>
      </c>
      <c r="R82" s="3"/>
      <c r="S82" s="3">
        <f>AVERAGE(R3:R80)</f>
        <v>1.0824951048597395</v>
      </c>
      <c r="T82" s="3">
        <f>SQRT(SUM(S3:S80)/66)</f>
        <v>1.4700898019351476</v>
      </c>
      <c r="U82" s="3"/>
      <c r="V82" s="3">
        <f>AVERAGE(U3:U80)</f>
        <v>1.3247968354230755</v>
      </c>
    </row>
    <row r="83" spans="7:22" x14ac:dyDescent="0.3">
      <c r="H83" s="8" t="s">
        <v>97</v>
      </c>
      <c r="I83"/>
      <c r="J83" s="3">
        <f>AVERAGE(I3:I61)</f>
        <v>2.7840925430731467</v>
      </c>
      <c r="K83" s="3">
        <f>SQRT(SUM(J3:J61)/47)</f>
        <v>4.3416306738001458</v>
      </c>
      <c r="L83" s="3"/>
      <c r="M83" s="3">
        <f>AVERAGE(L3:L61)</f>
        <v>1.4006930775170257</v>
      </c>
      <c r="N83" s="3">
        <f>SQRT(SUM(M3:M61)/47)</f>
        <v>1.8655332856564519</v>
      </c>
      <c r="O83" s="3"/>
      <c r="P83" s="3">
        <f>AVERAGE(O3:O61)</f>
        <v>1.3881603396833149</v>
      </c>
      <c r="Q83" s="3">
        <f>SQRT(SUM(P3:P61)/47)</f>
        <v>1.7804922094487103</v>
      </c>
      <c r="R83" s="3"/>
      <c r="S83" s="3">
        <f>AVERAGE(R3:R61)</f>
        <v>1.2620091518421079</v>
      </c>
      <c r="T83" s="3">
        <f>SQRT(SUM(S3:S61)/47)</f>
        <v>1.6818404781082112</v>
      </c>
      <c r="U83" s="3"/>
      <c r="V83" s="3">
        <f>AVERAGE(U3:U61)</f>
        <v>1.1965806839596205</v>
      </c>
    </row>
    <row r="84" spans="7:22" x14ac:dyDescent="0.3">
      <c r="H84" t="s">
        <v>98</v>
      </c>
      <c r="I84"/>
      <c r="J84" s="3">
        <f>AVERAGE(I62:I74)</f>
        <v>1.9147688431675549</v>
      </c>
      <c r="K84" s="3">
        <f>SQRT(SUM(J62:J74)/12)</f>
        <v>2.6085964226487803</v>
      </c>
      <c r="L84" s="3"/>
      <c r="M84" s="3">
        <f>AVERAGE(L62:L74)</f>
        <v>0.60007070590851896</v>
      </c>
      <c r="N84" s="3">
        <f>SQRT(SUM(M62:M74)/12)</f>
        <v>0.83731698268731114</v>
      </c>
      <c r="O84" s="3"/>
      <c r="P84" s="3">
        <f>AVERAGE(O62:O74)</f>
        <v>0.85630730470601624</v>
      </c>
      <c r="Q84" s="3">
        <f>SQRT(SUM(P62:P74)/12)</f>
        <v>1.2396262697092615</v>
      </c>
      <c r="R84" s="3"/>
      <c r="S84" s="3">
        <f>AVERAGE(R62:R74)</f>
        <v>0.47989666812851639</v>
      </c>
      <c r="T84" s="3">
        <f>SQRT(SUM(S44:S80)/36)</f>
        <v>1.4305798959298583</v>
      </c>
      <c r="U84" s="3"/>
      <c r="V84" s="3">
        <f>AVERAGE(U62:U74)</f>
        <v>1.6974747503295391</v>
      </c>
    </row>
    <row r="85" spans="7:22" x14ac:dyDescent="0.3">
      <c r="H85" s="1" t="s">
        <v>99</v>
      </c>
      <c r="I85"/>
      <c r="J85" s="3">
        <f>AVERAGE(I75:I79)</f>
        <v>1.1007693124510625</v>
      </c>
      <c r="K85" s="3">
        <f>SQRT(SUM(J75:J79)/5)</f>
        <v>1.5698898932470864</v>
      </c>
      <c r="L85" s="3"/>
      <c r="M85" s="3">
        <f>AVERAGE(L75:L79)</f>
        <v>0.46323699812904512</v>
      </c>
      <c r="N85" s="3">
        <f>SQRT(SUM(M75:M79)/5)</f>
        <v>0.66053171334150096</v>
      </c>
      <c r="O85" s="3"/>
      <c r="P85" s="3">
        <f>AVERAGE(O75:O79)</f>
        <v>0.72451569305907504</v>
      </c>
      <c r="Q85" s="3">
        <f>SQRT(SUM(P75:P79)/5)</f>
        <v>1.0243579272040577</v>
      </c>
      <c r="R85" s="3"/>
      <c r="S85" s="3">
        <f>AVERAGE(R75:R79)</f>
        <v>0.73748430694092515</v>
      </c>
      <c r="T85" s="3">
        <f>SQRT(SUM(S75:S79)/5)</f>
        <v>0.77903373497483841</v>
      </c>
      <c r="U85" s="3"/>
      <c r="V85" s="3">
        <f>AVERAGE(U75:U79)</f>
        <v>1.9013969438029314</v>
      </c>
    </row>
    <row r="86" spans="7:22" x14ac:dyDescent="0.3">
      <c r="J86" s="2" t="s">
        <v>113</v>
      </c>
      <c r="M86" s="2" t="s">
        <v>114</v>
      </c>
      <c r="P86" s="2" t="s">
        <v>9</v>
      </c>
      <c r="S86" s="2" t="s">
        <v>502</v>
      </c>
      <c r="V86" s="1" t="s">
        <v>11</v>
      </c>
    </row>
    <row r="87" spans="7:22" x14ac:dyDescent="0.3">
      <c r="J87" s="2" t="s">
        <v>503</v>
      </c>
      <c r="K87" s="2" t="s">
        <v>504</v>
      </c>
      <c r="M87" s="2" t="s">
        <v>503</v>
      </c>
      <c r="N87" s="2" t="s">
        <v>504</v>
      </c>
      <c r="P87" s="2" t="s">
        <v>503</v>
      </c>
      <c r="Q87" s="2" t="s">
        <v>504</v>
      </c>
      <c r="S87" s="2" t="s">
        <v>503</v>
      </c>
      <c r="T87" s="2" t="s">
        <v>504</v>
      </c>
      <c r="V87" s="2" t="s">
        <v>503</v>
      </c>
    </row>
  </sheetData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3DE9A-B196-4AE8-8F6F-AF33DA4E89D9}">
  <dimension ref="A1:AC54"/>
  <sheetViews>
    <sheetView workbookViewId="0"/>
  </sheetViews>
  <sheetFormatPr defaultRowHeight="14.4" x14ac:dyDescent="0.3"/>
  <cols>
    <col min="2" max="2" width="18.44140625" customWidth="1"/>
    <col min="3" max="3" width="31.44140625" customWidth="1"/>
    <col min="6" max="6" width="14.109375" customWidth="1"/>
    <col min="7" max="7" width="11" customWidth="1"/>
    <col min="8" max="8" width="8.88671875" style="3"/>
    <col min="9" max="9" width="12.5546875" style="3" customWidth="1"/>
    <col min="10" max="10" width="11" style="3" customWidth="1"/>
    <col min="11" max="11" width="9.5546875" style="3" customWidth="1"/>
    <col min="12" max="12" width="8.88671875" style="3"/>
    <col min="13" max="13" width="12" style="3" customWidth="1"/>
    <col min="14" max="14" width="10.5546875" style="3" customWidth="1"/>
    <col min="15" max="15" width="11.6640625" style="3" customWidth="1"/>
    <col min="16" max="16" width="12" style="3" customWidth="1"/>
    <col min="17" max="17" width="10.5546875" style="3" customWidth="1"/>
    <col min="18" max="18" width="11.33203125" style="3" customWidth="1"/>
    <col min="19" max="19" width="12" style="3" customWidth="1"/>
    <col min="20" max="20" width="10.5546875" style="3" customWidth="1"/>
    <col min="21" max="21" width="9.109375" style="3"/>
    <col min="22" max="22" width="12" style="3" customWidth="1"/>
    <col min="23" max="23" width="11.5546875" style="3" customWidth="1"/>
    <col min="24" max="24" width="12" customWidth="1"/>
    <col min="25" max="25" width="8.88671875" style="25"/>
  </cols>
  <sheetData>
    <row r="1" spans="1:25" x14ac:dyDescent="0.3">
      <c r="A1" t="s">
        <v>1</v>
      </c>
      <c r="B1" t="s">
        <v>109</v>
      </c>
      <c r="C1" s="27" t="s">
        <v>250</v>
      </c>
      <c r="D1" t="s">
        <v>110</v>
      </c>
      <c r="E1" t="s">
        <v>3</v>
      </c>
      <c r="F1" t="s">
        <v>111</v>
      </c>
      <c r="G1" t="s">
        <v>475</v>
      </c>
      <c r="H1" s="29" t="s">
        <v>112</v>
      </c>
      <c r="I1" s="2" t="s">
        <v>7</v>
      </c>
      <c r="J1" t="s">
        <v>485</v>
      </c>
      <c r="K1" t="s">
        <v>486</v>
      </c>
      <c r="L1" s="2" t="s">
        <v>8</v>
      </c>
      <c r="M1" s="3" t="s">
        <v>477</v>
      </c>
      <c r="N1" s="3" t="s">
        <v>478</v>
      </c>
      <c r="O1" s="2" t="s">
        <v>9</v>
      </c>
      <c r="P1" s="3" t="s">
        <v>479</v>
      </c>
      <c r="Q1" s="3" t="s">
        <v>480</v>
      </c>
      <c r="R1" s="2" t="s">
        <v>10</v>
      </c>
      <c r="S1" s="3" t="s">
        <v>481</v>
      </c>
      <c r="T1" s="3" t="s">
        <v>482</v>
      </c>
      <c r="U1" s="2" t="s">
        <v>11</v>
      </c>
      <c r="V1" s="3" t="s">
        <v>483</v>
      </c>
      <c r="W1" s="3" t="s">
        <v>484</v>
      </c>
      <c r="X1" t="s">
        <v>513</v>
      </c>
      <c r="Y1" s="76" t="s">
        <v>387</v>
      </c>
    </row>
    <row r="2" spans="1:25" x14ac:dyDescent="0.3">
      <c r="A2">
        <v>1</v>
      </c>
      <c r="B2" t="s">
        <v>116</v>
      </c>
      <c r="C2" s="27" t="s">
        <v>117</v>
      </c>
      <c r="D2" t="s">
        <v>118</v>
      </c>
      <c r="E2" t="s">
        <v>100</v>
      </c>
      <c r="F2" t="s">
        <v>119</v>
      </c>
      <c r="G2" t="s">
        <v>120</v>
      </c>
      <c r="H2" s="29">
        <v>12.5</v>
      </c>
      <c r="I2" s="3">
        <v>11.49</v>
      </c>
      <c r="J2">
        <f>ABS(H2-I2)</f>
        <v>1.0099999999999998</v>
      </c>
      <c r="K2">
        <f>J2^2</f>
        <v>1.0200999999999996</v>
      </c>
      <c r="L2" s="3">
        <v>12.432155439210501</v>
      </c>
      <c r="M2" s="3">
        <f>ABS(H2-L2)</f>
        <v>6.7844560789499297E-2</v>
      </c>
      <c r="N2" s="3">
        <f>M2^2</f>
        <v>4.6028844287200653E-3</v>
      </c>
      <c r="O2" s="3">
        <v>9.49</v>
      </c>
      <c r="P2" s="3">
        <f>ABS(H2-O2)</f>
        <v>3.01</v>
      </c>
      <c r="Q2" s="3">
        <f>P2^2</f>
        <v>9.0600999999999985</v>
      </c>
      <c r="R2" s="3">
        <v>12.3</v>
      </c>
      <c r="S2" s="3">
        <f>ABS(H2-R2)</f>
        <v>0.19999999999999929</v>
      </c>
      <c r="T2" s="3">
        <f>S2^2</f>
        <v>3.9999999999999716E-2</v>
      </c>
      <c r="U2" s="3">
        <v>9.2200000000000006</v>
      </c>
      <c r="V2" s="3">
        <f>ABS(H2-U2)</f>
        <v>3.2799999999999994</v>
      </c>
      <c r="W2" s="3">
        <f>V2^2</f>
        <v>10.758399999999996</v>
      </c>
      <c r="X2" t="s">
        <v>121</v>
      </c>
      <c r="Y2" s="25" t="s">
        <v>388</v>
      </c>
    </row>
    <row r="3" spans="1:25" x14ac:dyDescent="0.3">
      <c r="A3">
        <v>2</v>
      </c>
      <c r="B3" t="s">
        <v>116</v>
      </c>
      <c r="C3" s="27" t="s">
        <v>117</v>
      </c>
      <c r="D3" t="s">
        <v>118</v>
      </c>
      <c r="E3" t="s">
        <v>100</v>
      </c>
      <c r="F3" t="s">
        <v>119</v>
      </c>
      <c r="G3" t="s">
        <v>120</v>
      </c>
      <c r="H3" s="29">
        <v>12.43</v>
      </c>
      <c r="I3" s="3">
        <v>11.49</v>
      </c>
      <c r="J3">
        <f t="shared" ref="J3:J30" si="0">ABS(H3-I3)</f>
        <v>0.9399999999999995</v>
      </c>
      <c r="K3">
        <f t="shared" ref="K3:K30" si="1">J3^2</f>
        <v>0.88359999999999905</v>
      </c>
      <c r="L3" s="3">
        <v>12.432155439210501</v>
      </c>
      <c r="M3" s="3">
        <f t="shared" ref="M3:M30" si="2">ABS(H3-L3)</f>
        <v>2.1554392105009867E-3</v>
      </c>
      <c r="N3" s="3">
        <f t="shared" ref="N3:N30" si="3">M3^2</f>
        <v>4.6459181901651172E-6</v>
      </c>
      <c r="O3" s="3">
        <v>9.49</v>
      </c>
      <c r="P3" s="3">
        <f t="shared" ref="P3:P30" si="4">ABS(H3-O3)</f>
        <v>2.9399999999999995</v>
      </c>
      <c r="Q3" s="3">
        <f t="shared" ref="Q3:Q30" si="5">P3^2</f>
        <v>8.6435999999999975</v>
      </c>
      <c r="R3" s="3">
        <v>12.3</v>
      </c>
      <c r="S3" s="3">
        <f t="shared" ref="S3:S30" si="6">ABS(H3-R3)</f>
        <v>0.12999999999999901</v>
      </c>
      <c r="T3" s="3">
        <f t="shared" ref="T3:T30" si="7">S3^2</f>
        <v>1.6899999999999742E-2</v>
      </c>
      <c r="U3" s="3">
        <v>9.2200000000000006</v>
      </c>
      <c r="V3" s="3">
        <f t="shared" ref="V3:V30" si="8">ABS(H3-U3)</f>
        <v>3.2099999999999991</v>
      </c>
      <c r="W3" s="3">
        <f t="shared" ref="W3:W30" si="9">V3^2</f>
        <v>10.304099999999995</v>
      </c>
      <c r="X3" t="s">
        <v>121</v>
      </c>
      <c r="Y3" s="25" t="s">
        <v>389</v>
      </c>
    </row>
    <row r="4" spans="1:25" x14ac:dyDescent="0.3">
      <c r="A4">
        <v>3</v>
      </c>
      <c r="B4" t="s">
        <v>116</v>
      </c>
      <c r="C4" s="27" t="s">
        <v>122</v>
      </c>
      <c r="D4" t="s">
        <v>118</v>
      </c>
      <c r="E4" t="s">
        <v>100</v>
      </c>
      <c r="F4" t="s">
        <v>119</v>
      </c>
      <c r="G4" t="s">
        <v>120</v>
      </c>
      <c r="H4" s="29">
        <v>12.37</v>
      </c>
      <c r="I4" s="3">
        <v>11.49</v>
      </c>
      <c r="J4">
        <f t="shared" si="0"/>
        <v>0.87999999999999901</v>
      </c>
      <c r="K4">
        <f t="shared" si="1"/>
        <v>0.7743999999999982</v>
      </c>
      <c r="L4" s="3">
        <v>12.432155439210501</v>
      </c>
      <c r="M4" s="3">
        <f t="shared" si="2"/>
        <v>6.2155439210501484E-2</v>
      </c>
      <c r="N4" s="3">
        <f t="shared" si="3"/>
        <v>3.8632986234503454E-3</v>
      </c>
      <c r="O4" s="3">
        <v>9.49</v>
      </c>
      <c r="P4" s="3">
        <f t="shared" si="4"/>
        <v>2.879999999999999</v>
      </c>
      <c r="Q4" s="3">
        <f t="shared" si="5"/>
        <v>8.2943999999999942</v>
      </c>
      <c r="R4" s="3">
        <v>12.3</v>
      </c>
      <c r="S4" s="3">
        <f t="shared" si="6"/>
        <v>6.9999999999998508E-2</v>
      </c>
      <c r="T4" s="3">
        <f t="shared" si="7"/>
        <v>4.8999999999997908E-3</v>
      </c>
      <c r="U4" s="3">
        <v>9.2200000000000006</v>
      </c>
      <c r="V4" s="3">
        <f t="shared" si="8"/>
        <v>3.1499999999999986</v>
      </c>
      <c r="W4" s="3">
        <f t="shared" si="9"/>
        <v>9.9224999999999905</v>
      </c>
      <c r="X4" t="s">
        <v>121</v>
      </c>
      <c r="Y4" s="25" t="s">
        <v>389</v>
      </c>
    </row>
    <row r="5" spans="1:25" x14ac:dyDescent="0.3">
      <c r="A5">
        <v>4</v>
      </c>
      <c r="B5" t="s">
        <v>116</v>
      </c>
      <c r="C5" s="27" t="s">
        <v>122</v>
      </c>
      <c r="D5" t="s">
        <v>118</v>
      </c>
      <c r="E5" t="s">
        <v>100</v>
      </c>
      <c r="F5" t="s">
        <v>119</v>
      </c>
      <c r="G5" t="s">
        <v>120</v>
      </c>
      <c r="H5" s="26">
        <v>11.4</v>
      </c>
      <c r="I5" s="3">
        <v>11.49</v>
      </c>
      <c r="J5">
        <f t="shared" si="0"/>
        <v>8.9999999999999858E-2</v>
      </c>
      <c r="K5">
        <f t="shared" si="1"/>
        <v>8.0999999999999753E-3</v>
      </c>
      <c r="L5" s="3">
        <v>12.432155439210501</v>
      </c>
      <c r="M5" s="3">
        <f t="shared" si="2"/>
        <v>1.0321554392105003</v>
      </c>
      <c r="N5" s="3">
        <f t="shared" si="3"/>
        <v>1.0653448506918208</v>
      </c>
      <c r="O5" s="3">
        <v>9.49</v>
      </c>
      <c r="P5" s="3">
        <f t="shared" si="4"/>
        <v>1.9100000000000001</v>
      </c>
      <c r="Q5" s="3">
        <f t="shared" si="5"/>
        <v>3.6481000000000003</v>
      </c>
      <c r="R5" s="3">
        <v>12.3</v>
      </c>
      <c r="S5" s="3">
        <f t="shared" si="6"/>
        <v>0.90000000000000036</v>
      </c>
      <c r="T5" s="3">
        <f t="shared" si="7"/>
        <v>0.81000000000000061</v>
      </c>
      <c r="U5" s="3">
        <v>9.2200000000000006</v>
      </c>
      <c r="V5" s="3">
        <f t="shared" si="8"/>
        <v>2.1799999999999997</v>
      </c>
      <c r="W5" s="3">
        <f t="shared" si="9"/>
        <v>4.7523999999999988</v>
      </c>
      <c r="X5" t="s">
        <v>121</v>
      </c>
      <c r="Y5" s="25" t="s">
        <v>390</v>
      </c>
    </row>
    <row r="6" spans="1:25" x14ac:dyDescent="0.3">
      <c r="A6">
        <v>5</v>
      </c>
      <c r="B6" t="s">
        <v>116</v>
      </c>
      <c r="C6" s="27" t="s">
        <v>122</v>
      </c>
      <c r="D6" t="s">
        <v>118</v>
      </c>
      <c r="E6" t="s">
        <v>100</v>
      </c>
      <c r="F6" t="s">
        <v>119</v>
      </c>
      <c r="G6" t="s">
        <v>120</v>
      </c>
      <c r="H6" s="29">
        <v>12.8</v>
      </c>
      <c r="I6" s="3">
        <v>11.49</v>
      </c>
      <c r="J6">
        <f t="shared" si="0"/>
        <v>1.3100000000000005</v>
      </c>
      <c r="K6">
        <f t="shared" si="1"/>
        <v>1.7161000000000013</v>
      </c>
      <c r="L6" s="3">
        <v>12.432155439210501</v>
      </c>
      <c r="M6" s="3">
        <f t="shared" si="2"/>
        <v>0.36784456078950001</v>
      </c>
      <c r="N6" s="3">
        <f t="shared" si="3"/>
        <v>0.13530962090242016</v>
      </c>
      <c r="O6" s="3">
        <v>9.49</v>
      </c>
      <c r="P6" s="3">
        <f t="shared" si="4"/>
        <v>3.3100000000000005</v>
      </c>
      <c r="Q6" s="3">
        <f t="shared" si="5"/>
        <v>10.956100000000003</v>
      </c>
      <c r="R6" s="3">
        <v>12.3</v>
      </c>
      <c r="S6" s="3">
        <f t="shared" si="6"/>
        <v>0.5</v>
      </c>
      <c r="T6" s="3">
        <f t="shared" si="7"/>
        <v>0.25</v>
      </c>
      <c r="U6" s="3">
        <v>9.2216852538146892</v>
      </c>
      <c r="V6" s="3">
        <f t="shared" si="8"/>
        <v>3.5783147461853115</v>
      </c>
      <c r="W6" s="3">
        <f t="shared" si="9"/>
        <v>12.80433642276725</v>
      </c>
      <c r="X6" t="s">
        <v>121</v>
      </c>
      <c r="Y6" s="25" t="s">
        <v>391</v>
      </c>
    </row>
    <row r="7" spans="1:25" x14ac:dyDescent="0.3">
      <c r="A7">
        <v>6</v>
      </c>
      <c r="B7" t="s">
        <v>116</v>
      </c>
      <c r="C7" s="27" t="s">
        <v>117</v>
      </c>
      <c r="D7" t="s">
        <v>118</v>
      </c>
      <c r="E7" t="s">
        <v>100</v>
      </c>
      <c r="F7" t="s">
        <v>119</v>
      </c>
      <c r="G7" t="s">
        <v>120</v>
      </c>
      <c r="H7" s="29">
        <v>12.4</v>
      </c>
      <c r="I7" s="3">
        <v>11.49</v>
      </c>
      <c r="J7">
        <f t="shared" si="0"/>
        <v>0.91000000000000014</v>
      </c>
      <c r="K7">
        <f t="shared" si="1"/>
        <v>0.82810000000000028</v>
      </c>
      <c r="L7" s="3">
        <v>12.432155439210501</v>
      </c>
      <c r="M7" s="3">
        <f t="shared" si="2"/>
        <v>3.2155439210500347E-2</v>
      </c>
      <c r="N7" s="3">
        <f t="shared" si="3"/>
        <v>1.0339722708201831E-3</v>
      </c>
      <c r="O7" s="3">
        <v>9.49</v>
      </c>
      <c r="P7" s="3">
        <f t="shared" si="4"/>
        <v>2.91</v>
      </c>
      <c r="Q7" s="3">
        <f t="shared" si="5"/>
        <v>8.4681000000000015</v>
      </c>
      <c r="R7" s="3">
        <v>12.3</v>
      </c>
      <c r="S7" s="3">
        <f t="shared" si="6"/>
        <v>9.9999999999999645E-2</v>
      </c>
      <c r="T7" s="3">
        <f t="shared" si="7"/>
        <v>9.9999999999999291E-3</v>
      </c>
      <c r="U7" s="3">
        <v>9.2200000000000006</v>
      </c>
      <c r="V7" s="3">
        <f t="shared" si="8"/>
        <v>3.1799999999999997</v>
      </c>
      <c r="W7" s="3">
        <f t="shared" si="9"/>
        <v>10.112399999999997</v>
      </c>
      <c r="X7" t="s">
        <v>121</v>
      </c>
      <c r="Y7" s="25" t="s">
        <v>392</v>
      </c>
    </row>
    <row r="8" spans="1:25" x14ac:dyDescent="0.3">
      <c r="A8">
        <v>7</v>
      </c>
      <c r="B8" t="s">
        <v>116</v>
      </c>
      <c r="C8" s="27" t="s">
        <v>122</v>
      </c>
      <c r="D8" t="s">
        <v>118</v>
      </c>
      <c r="E8" t="s">
        <v>100</v>
      </c>
      <c r="F8" t="s">
        <v>119</v>
      </c>
      <c r="G8" t="s">
        <v>120</v>
      </c>
      <c r="H8" s="29">
        <v>11.3</v>
      </c>
      <c r="I8" s="3">
        <v>11.49</v>
      </c>
      <c r="J8">
        <f t="shared" si="0"/>
        <v>0.1899999999999995</v>
      </c>
      <c r="K8">
        <f t="shared" si="1"/>
        <v>3.6099999999999813E-2</v>
      </c>
      <c r="L8" s="3">
        <v>12.432155439210501</v>
      </c>
      <c r="M8" s="3">
        <f t="shared" si="2"/>
        <v>1.1321554392105</v>
      </c>
      <c r="N8" s="3">
        <f t="shared" si="3"/>
        <v>1.2817759385339202</v>
      </c>
      <c r="O8" s="3">
        <v>9.49</v>
      </c>
      <c r="P8" s="3">
        <f t="shared" si="4"/>
        <v>1.8100000000000005</v>
      </c>
      <c r="Q8" s="3">
        <f t="shared" si="5"/>
        <v>3.2761000000000018</v>
      </c>
      <c r="R8" s="3">
        <v>12.3</v>
      </c>
      <c r="S8" s="3">
        <f t="shared" si="6"/>
        <v>1</v>
      </c>
      <c r="T8" s="3">
        <f t="shared" si="7"/>
        <v>1</v>
      </c>
      <c r="U8" s="3">
        <v>9.2216852538146892</v>
      </c>
      <c r="V8" s="3">
        <f t="shared" si="8"/>
        <v>2.0783147461853115</v>
      </c>
      <c r="W8" s="3">
        <f t="shared" si="9"/>
        <v>4.3193921842113161</v>
      </c>
      <c r="X8" t="s">
        <v>121</v>
      </c>
      <c r="Y8" s="25" t="s">
        <v>389</v>
      </c>
    </row>
    <row r="9" spans="1:25" x14ac:dyDescent="0.3">
      <c r="A9">
        <v>8</v>
      </c>
      <c r="B9" t="s">
        <v>123</v>
      </c>
      <c r="C9" s="27" t="s">
        <v>124</v>
      </c>
      <c r="D9" t="s">
        <v>118</v>
      </c>
      <c r="E9" t="s">
        <v>100</v>
      </c>
      <c r="G9" t="s">
        <v>120</v>
      </c>
      <c r="H9" s="29">
        <v>12.29</v>
      </c>
      <c r="I9" s="3">
        <v>11.22</v>
      </c>
      <c r="J9">
        <f t="shared" si="0"/>
        <v>1.0699999999999985</v>
      </c>
      <c r="K9">
        <f t="shared" si="1"/>
        <v>1.1448999999999967</v>
      </c>
      <c r="L9" s="3">
        <v>12.1017838255091</v>
      </c>
      <c r="M9" s="3">
        <f t="shared" si="2"/>
        <v>0.18821617449089878</v>
      </c>
      <c r="N9" s="3">
        <f t="shared" si="3"/>
        <v>3.542532833998846E-2</v>
      </c>
      <c r="O9" s="3">
        <v>8.9499999999999993</v>
      </c>
      <c r="P9" s="3">
        <f t="shared" si="4"/>
        <v>3.34</v>
      </c>
      <c r="Q9" s="3">
        <f t="shared" si="5"/>
        <v>11.1556</v>
      </c>
      <c r="R9" s="3">
        <v>10.9</v>
      </c>
      <c r="S9" s="3">
        <f t="shared" si="6"/>
        <v>1.3899999999999988</v>
      </c>
      <c r="T9" s="3">
        <f t="shared" si="7"/>
        <v>1.9320999999999966</v>
      </c>
      <c r="U9" s="3">
        <v>8.4178035023375593</v>
      </c>
      <c r="V9" s="3">
        <f t="shared" si="8"/>
        <v>3.8721964976624399</v>
      </c>
      <c r="W9" s="3">
        <f t="shared" si="9"/>
        <v>14.993905716509266</v>
      </c>
      <c r="X9" t="s">
        <v>125</v>
      </c>
      <c r="Y9" s="25" t="s">
        <v>393</v>
      </c>
    </row>
    <row r="10" spans="1:25" x14ac:dyDescent="0.3">
      <c r="A10">
        <v>9</v>
      </c>
      <c r="B10" t="s">
        <v>126</v>
      </c>
      <c r="C10" s="27" t="s">
        <v>127</v>
      </c>
      <c r="D10" t="s">
        <v>118</v>
      </c>
      <c r="E10" t="s">
        <v>100</v>
      </c>
      <c r="G10" t="s">
        <v>120</v>
      </c>
      <c r="H10" s="29">
        <v>12.56</v>
      </c>
      <c r="I10" s="3">
        <v>11.06</v>
      </c>
      <c r="J10">
        <f t="shared" si="0"/>
        <v>1.5</v>
      </c>
      <c r="K10">
        <f t="shared" si="1"/>
        <v>2.25</v>
      </c>
      <c r="L10" s="3">
        <v>12.071098073810701</v>
      </c>
      <c r="M10" s="3">
        <f t="shared" si="2"/>
        <v>0.48890192618929973</v>
      </c>
      <c r="N10" s="3">
        <f t="shared" si="3"/>
        <v>0.23902509343160749</v>
      </c>
      <c r="O10" s="3">
        <v>8.61</v>
      </c>
      <c r="P10" s="3">
        <f t="shared" si="4"/>
        <v>3.9500000000000011</v>
      </c>
      <c r="Q10" s="3">
        <f t="shared" si="5"/>
        <v>15.602500000000008</v>
      </c>
      <c r="R10" s="3">
        <v>12</v>
      </c>
      <c r="S10" s="3">
        <f t="shared" si="6"/>
        <v>0.5600000000000005</v>
      </c>
      <c r="T10" s="3">
        <f t="shared" si="7"/>
        <v>0.31360000000000054</v>
      </c>
      <c r="U10" s="3">
        <v>8.8677706854432508</v>
      </c>
      <c r="V10" s="3">
        <f t="shared" si="8"/>
        <v>3.6922293145567497</v>
      </c>
      <c r="W10" s="3">
        <f t="shared" si="9"/>
        <v>13.632557311272206</v>
      </c>
      <c r="X10" t="s">
        <v>125</v>
      </c>
      <c r="Y10" s="25" t="s">
        <v>393</v>
      </c>
    </row>
    <row r="11" spans="1:25" x14ac:dyDescent="0.3">
      <c r="A11">
        <v>10</v>
      </c>
      <c r="B11" t="s">
        <v>128</v>
      </c>
      <c r="C11" s="27" t="s">
        <v>129</v>
      </c>
      <c r="D11" t="s">
        <v>118</v>
      </c>
      <c r="E11" t="s">
        <v>100</v>
      </c>
      <c r="F11" t="s">
        <v>130</v>
      </c>
      <c r="G11" t="s">
        <v>120</v>
      </c>
      <c r="H11" s="29">
        <v>9.6</v>
      </c>
      <c r="I11" s="3">
        <v>8.08</v>
      </c>
      <c r="J11">
        <f t="shared" si="0"/>
        <v>1.5199999999999996</v>
      </c>
      <c r="K11">
        <f t="shared" si="1"/>
        <v>2.3103999999999987</v>
      </c>
      <c r="L11" s="3">
        <v>9.2063768854588108</v>
      </c>
      <c r="M11" s="3">
        <f t="shared" si="2"/>
        <v>0.39362311454118881</v>
      </c>
      <c r="N11" s="3">
        <f t="shared" si="3"/>
        <v>0.15493915630110586</v>
      </c>
      <c r="O11" s="3">
        <v>9.0299999999999994</v>
      </c>
      <c r="P11" s="3">
        <f t="shared" si="4"/>
        <v>0.57000000000000028</v>
      </c>
      <c r="Q11" s="3">
        <f t="shared" si="5"/>
        <v>0.3249000000000003</v>
      </c>
      <c r="R11" s="3">
        <v>9.9</v>
      </c>
      <c r="S11" s="3">
        <f t="shared" si="6"/>
        <v>0.30000000000000071</v>
      </c>
      <c r="T11" s="3">
        <f t="shared" si="7"/>
        <v>9.0000000000000427E-2</v>
      </c>
      <c r="U11" s="3">
        <v>9.5500000000000007</v>
      </c>
      <c r="V11" s="3">
        <f t="shared" si="8"/>
        <v>4.9999999999998934E-2</v>
      </c>
      <c r="W11" s="3">
        <f t="shared" si="9"/>
        <v>2.4999999999998934E-3</v>
      </c>
      <c r="X11" t="s">
        <v>121</v>
      </c>
      <c r="Y11" s="25" t="s">
        <v>392</v>
      </c>
    </row>
    <row r="12" spans="1:25" x14ac:dyDescent="0.3">
      <c r="A12">
        <v>11</v>
      </c>
      <c r="B12" t="s">
        <v>131</v>
      </c>
      <c r="C12" s="27" t="s">
        <v>132</v>
      </c>
      <c r="D12" t="s">
        <v>118</v>
      </c>
      <c r="E12" t="s">
        <v>100</v>
      </c>
      <c r="F12" t="s">
        <v>130</v>
      </c>
      <c r="G12" t="s">
        <v>120</v>
      </c>
      <c r="H12" s="29">
        <v>9.3000000000000007</v>
      </c>
      <c r="I12" s="3">
        <v>7.97</v>
      </c>
      <c r="J12">
        <f t="shared" si="0"/>
        <v>1.330000000000001</v>
      </c>
      <c r="K12">
        <f t="shared" si="1"/>
        <v>1.7689000000000026</v>
      </c>
      <c r="L12" s="3">
        <v>9.1762014598755908</v>
      </c>
      <c r="M12" s="3">
        <f t="shared" si="2"/>
        <v>0.12379854012440994</v>
      </c>
      <c r="N12" s="3">
        <f t="shared" si="3"/>
        <v>1.5326078536935137E-2</v>
      </c>
      <c r="O12" s="3">
        <v>8.59</v>
      </c>
      <c r="P12" s="3">
        <f t="shared" si="4"/>
        <v>0.71000000000000085</v>
      </c>
      <c r="Q12" s="3">
        <f t="shared" si="5"/>
        <v>0.50410000000000121</v>
      </c>
      <c r="R12" s="3">
        <v>9.1</v>
      </c>
      <c r="S12" s="3">
        <f t="shared" si="6"/>
        <v>0.20000000000000107</v>
      </c>
      <c r="T12" s="3">
        <f t="shared" si="7"/>
        <v>4.0000000000000424E-2</v>
      </c>
      <c r="U12" s="3">
        <v>7.52</v>
      </c>
      <c r="V12" s="3">
        <f t="shared" si="8"/>
        <v>1.7800000000000011</v>
      </c>
      <c r="W12" s="3">
        <f t="shared" si="9"/>
        <v>3.1684000000000041</v>
      </c>
      <c r="X12" t="s">
        <v>121</v>
      </c>
      <c r="Y12" s="25" t="s">
        <v>392</v>
      </c>
    </row>
    <row r="13" spans="1:25" x14ac:dyDescent="0.3">
      <c r="A13">
        <v>12</v>
      </c>
      <c r="B13" t="s">
        <v>133</v>
      </c>
      <c r="C13" s="27" t="s">
        <v>134</v>
      </c>
      <c r="D13" t="s">
        <v>118</v>
      </c>
      <c r="E13" t="s">
        <v>100</v>
      </c>
      <c r="F13" t="s">
        <v>135</v>
      </c>
      <c r="G13" t="s">
        <v>120</v>
      </c>
      <c r="H13" s="29">
        <v>5.3</v>
      </c>
      <c r="I13" s="3">
        <v>5.31</v>
      </c>
      <c r="J13">
        <f t="shared" si="0"/>
        <v>9.9999999999997868E-3</v>
      </c>
      <c r="K13">
        <f t="shared" si="1"/>
        <v>9.9999999999995736E-5</v>
      </c>
      <c r="L13" s="3">
        <v>5.7325249524924704</v>
      </c>
      <c r="M13" s="3">
        <f t="shared" si="2"/>
        <v>0.43252495249247058</v>
      </c>
      <c r="N13" s="3">
        <f t="shared" si="3"/>
        <v>0.18707783452861393</v>
      </c>
      <c r="O13" s="3">
        <v>8.1300000000000008</v>
      </c>
      <c r="P13" s="3">
        <f t="shared" si="4"/>
        <v>2.830000000000001</v>
      </c>
      <c r="Q13" s="3">
        <f t="shared" si="5"/>
        <v>8.0089000000000059</v>
      </c>
      <c r="R13" s="3">
        <v>8.4</v>
      </c>
      <c r="S13" s="3">
        <f t="shared" si="6"/>
        <v>3.1000000000000005</v>
      </c>
      <c r="T13" s="3">
        <f t="shared" si="7"/>
        <v>9.610000000000003</v>
      </c>
      <c r="U13" s="3">
        <v>7.7778175439971804</v>
      </c>
      <c r="V13" s="3">
        <f t="shared" si="8"/>
        <v>2.4778175439971806</v>
      </c>
      <c r="W13" s="3">
        <f t="shared" si="9"/>
        <v>6.1395797813402195</v>
      </c>
      <c r="X13" t="s">
        <v>125</v>
      </c>
      <c r="Y13" s="25" t="s">
        <v>392</v>
      </c>
    </row>
    <row r="14" spans="1:25" x14ac:dyDescent="0.3">
      <c r="A14">
        <v>13</v>
      </c>
      <c r="B14" t="s">
        <v>136</v>
      </c>
      <c r="C14" s="27" t="s">
        <v>137</v>
      </c>
      <c r="D14" t="s">
        <v>118</v>
      </c>
      <c r="E14" t="s">
        <v>100</v>
      </c>
      <c r="F14" t="s">
        <v>135</v>
      </c>
      <c r="G14" t="s">
        <v>120</v>
      </c>
      <c r="H14" s="29">
        <v>5.0999999999999996</v>
      </c>
      <c r="I14" s="3">
        <v>6.1</v>
      </c>
      <c r="J14">
        <f t="shared" si="0"/>
        <v>1</v>
      </c>
      <c r="K14">
        <f t="shared" si="1"/>
        <v>1</v>
      </c>
      <c r="L14" s="3">
        <v>5.3625756365701198</v>
      </c>
      <c r="M14" s="3">
        <f t="shared" si="2"/>
        <v>0.26257563657012017</v>
      </c>
      <c r="N14" s="3">
        <f t="shared" si="3"/>
        <v>6.8945964920203828E-2</v>
      </c>
      <c r="O14" s="3">
        <v>7.74</v>
      </c>
      <c r="P14" s="3">
        <f t="shared" si="4"/>
        <v>2.6400000000000006</v>
      </c>
      <c r="Q14" s="3">
        <f t="shared" si="5"/>
        <v>6.9696000000000033</v>
      </c>
      <c r="R14" s="3">
        <v>8.6999999999999993</v>
      </c>
      <c r="S14" s="3">
        <f t="shared" si="6"/>
        <v>3.5999999999999996</v>
      </c>
      <c r="T14" s="3">
        <f t="shared" si="7"/>
        <v>12.959999999999997</v>
      </c>
      <c r="U14" s="3">
        <v>7.6845563365182503</v>
      </c>
      <c r="V14" s="3">
        <f t="shared" si="8"/>
        <v>2.5845563365182507</v>
      </c>
      <c r="W14" s="3">
        <f t="shared" si="9"/>
        <v>6.6799314566366412</v>
      </c>
      <c r="X14" t="s">
        <v>125</v>
      </c>
      <c r="Y14" s="25" t="s">
        <v>392</v>
      </c>
    </row>
    <row r="15" spans="1:25" x14ac:dyDescent="0.3">
      <c r="A15">
        <v>14</v>
      </c>
      <c r="B15" t="s">
        <v>138</v>
      </c>
      <c r="C15" s="27" t="s">
        <v>139</v>
      </c>
      <c r="D15" t="s">
        <v>118</v>
      </c>
      <c r="E15" t="s">
        <v>100</v>
      </c>
      <c r="F15" t="s">
        <v>140</v>
      </c>
      <c r="G15" t="s">
        <v>120</v>
      </c>
      <c r="H15" s="29">
        <v>5.95</v>
      </c>
      <c r="I15" s="3">
        <v>6.33</v>
      </c>
      <c r="J15">
        <f t="shared" si="0"/>
        <v>0.37999999999999989</v>
      </c>
      <c r="K15">
        <f t="shared" si="1"/>
        <v>0.14439999999999992</v>
      </c>
      <c r="L15" s="3">
        <v>6.1807655216408701</v>
      </c>
      <c r="M15" s="3">
        <f t="shared" si="2"/>
        <v>0.23076552164086994</v>
      </c>
      <c r="N15" s="3">
        <f t="shared" si="3"/>
        <v>5.3252725978182813E-2</v>
      </c>
      <c r="O15" s="3">
        <v>6.64</v>
      </c>
      <c r="P15" s="3">
        <f t="shared" si="4"/>
        <v>0.6899999999999995</v>
      </c>
      <c r="Q15" s="3">
        <f t="shared" si="5"/>
        <v>0.4760999999999993</v>
      </c>
      <c r="R15" s="3">
        <v>8</v>
      </c>
      <c r="S15" s="3">
        <f t="shared" si="6"/>
        <v>2.0499999999999998</v>
      </c>
      <c r="T15" s="3">
        <f t="shared" si="7"/>
        <v>4.2024999999999997</v>
      </c>
      <c r="U15" s="3">
        <v>6.2546773670309799</v>
      </c>
      <c r="V15" s="3">
        <f t="shared" si="8"/>
        <v>0.3046773670309797</v>
      </c>
      <c r="W15" s="3">
        <f t="shared" si="9"/>
        <v>9.2828297980930313E-2</v>
      </c>
      <c r="X15" t="s">
        <v>125</v>
      </c>
      <c r="Y15" s="25" t="s">
        <v>394</v>
      </c>
    </row>
    <row r="16" spans="1:25" x14ac:dyDescent="0.3">
      <c r="A16">
        <v>15</v>
      </c>
      <c r="B16" t="s">
        <v>141</v>
      </c>
      <c r="C16" s="27" t="s">
        <v>142</v>
      </c>
      <c r="D16" t="s">
        <v>118</v>
      </c>
      <c r="E16" t="s">
        <v>100</v>
      </c>
      <c r="F16" t="s">
        <v>140</v>
      </c>
      <c r="G16" t="s">
        <v>120</v>
      </c>
      <c r="H16" s="29">
        <v>6.58</v>
      </c>
      <c r="I16" s="3">
        <v>6</v>
      </c>
      <c r="J16">
        <f t="shared" si="0"/>
        <v>0.58000000000000007</v>
      </c>
      <c r="K16">
        <f t="shared" si="1"/>
        <v>0.33640000000000009</v>
      </c>
      <c r="L16" s="3">
        <v>7.37111237017601</v>
      </c>
      <c r="M16" s="3">
        <f t="shared" si="2"/>
        <v>0.79111237017600988</v>
      </c>
      <c r="N16" s="3">
        <f t="shared" si="3"/>
        <v>0.62585878224550406</v>
      </c>
      <c r="O16" s="3">
        <v>9.18</v>
      </c>
      <c r="P16" s="3">
        <f t="shared" si="4"/>
        <v>2.5999999999999996</v>
      </c>
      <c r="Q16" s="3">
        <f t="shared" si="5"/>
        <v>6.759999999999998</v>
      </c>
      <c r="R16" s="3">
        <v>7.8</v>
      </c>
      <c r="S16" s="3">
        <f t="shared" si="6"/>
        <v>1.2199999999999998</v>
      </c>
      <c r="T16" s="3">
        <f t="shared" si="7"/>
        <v>1.4883999999999995</v>
      </c>
      <c r="U16" s="3">
        <v>2.6006184182377101</v>
      </c>
      <c r="V16" s="3">
        <f t="shared" si="8"/>
        <v>3.97938158176229</v>
      </c>
      <c r="W16" s="3">
        <f t="shared" si="9"/>
        <v>15.835477773268945</v>
      </c>
      <c r="X16" t="s">
        <v>125</v>
      </c>
      <c r="Y16" s="25" t="s">
        <v>394</v>
      </c>
    </row>
    <row r="17" spans="1:29" x14ac:dyDescent="0.3">
      <c r="A17">
        <v>16</v>
      </c>
      <c r="B17" t="s">
        <v>143</v>
      </c>
      <c r="C17" s="27" t="s">
        <v>144</v>
      </c>
      <c r="D17" t="s">
        <v>118</v>
      </c>
      <c r="E17" t="s">
        <v>100</v>
      </c>
      <c r="G17" t="s">
        <v>120</v>
      </c>
      <c r="H17" s="29">
        <v>7.69</v>
      </c>
      <c r="I17" s="3">
        <v>8.2249999999999996</v>
      </c>
      <c r="J17">
        <f t="shared" si="0"/>
        <v>0.53499999999999925</v>
      </c>
      <c r="K17">
        <f t="shared" si="1"/>
        <v>0.28622499999999917</v>
      </c>
      <c r="L17" s="3">
        <v>7.9248302190484399</v>
      </c>
      <c r="M17" s="3">
        <f t="shared" si="2"/>
        <v>0.23483021904843948</v>
      </c>
      <c r="N17" s="3">
        <f t="shared" si="3"/>
        <v>5.514523177833807E-2</v>
      </c>
      <c r="O17" s="3">
        <v>9.81</v>
      </c>
      <c r="P17" s="3">
        <f t="shared" si="4"/>
        <v>2.12</v>
      </c>
      <c r="Q17" s="3">
        <f t="shared" si="5"/>
        <v>4.4944000000000006</v>
      </c>
      <c r="R17" s="3">
        <v>8.3000000000000007</v>
      </c>
      <c r="S17" s="3">
        <f t="shared" si="6"/>
        <v>0.61000000000000032</v>
      </c>
      <c r="T17" s="3">
        <f t="shared" si="7"/>
        <v>0.37210000000000037</v>
      </c>
      <c r="U17" s="3">
        <v>2.9653485377447799</v>
      </c>
      <c r="V17" s="3">
        <f t="shared" si="8"/>
        <v>4.7246514622552205</v>
      </c>
      <c r="W17" s="3">
        <f t="shared" si="9"/>
        <v>22.322331439790393</v>
      </c>
      <c r="X17" t="s">
        <v>125</v>
      </c>
      <c r="Y17" s="25" t="s">
        <v>394</v>
      </c>
    </row>
    <row r="18" spans="1:29" x14ac:dyDescent="0.3">
      <c r="A18">
        <v>17</v>
      </c>
      <c r="B18" t="s">
        <v>145</v>
      </c>
      <c r="C18" s="27" t="s">
        <v>146</v>
      </c>
      <c r="D18" t="s">
        <v>118</v>
      </c>
      <c r="E18" t="s">
        <v>100</v>
      </c>
      <c r="G18" t="s">
        <v>120</v>
      </c>
      <c r="H18" s="29">
        <v>11.8</v>
      </c>
      <c r="I18" s="3">
        <v>11.58</v>
      </c>
      <c r="J18">
        <f t="shared" si="0"/>
        <v>0.22000000000000064</v>
      </c>
      <c r="K18">
        <f t="shared" si="1"/>
        <v>4.8400000000000283E-2</v>
      </c>
      <c r="L18" s="3">
        <v>12.4603110258921</v>
      </c>
      <c r="M18" s="3">
        <f t="shared" si="2"/>
        <v>0.66031102589209922</v>
      </c>
      <c r="N18" s="3">
        <f t="shared" si="3"/>
        <v>0.43601065091467656</v>
      </c>
      <c r="O18" s="3">
        <v>9.2200000000000006</v>
      </c>
      <c r="P18" s="3">
        <f t="shared" si="4"/>
        <v>2.58</v>
      </c>
      <c r="Q18" s="3">
        <f t="shared" si="5"/>
        <v>6.6564000000000005</v>
      </c>
      <c r="R18" s="3">
        <v>12.5</v>
      </c>
      <c r="S18" s="3">
        <f t="shared" si="6"/>
        <v>0.69999999999999929</v>
      </c>
      <c r="T18" s="3">
        <f t="shared" si="7"/>
        <v>0.48999999999999899</v>
      </c>
      <c r="U18" s="3">
        <v>4.9821812149967002</v>
      </c>
      <c r="V18" s="3">
        <f t="shared" si="8"/>
        <v>6.8178187850033005</v>
      </c>
      <c r="W18" s="3">
        <f t="shared" si="9"/>
        <v>46.482652985143879</v>
      </c>
      <c r="X18" t="s">
        <v>121</v>
      </c>
      <c r="Y18" s="25" t="s">
        <v>389</v>
      </c>
    </row>
    <row r="19" spans="1:29" x14ac:dyDescent="0.3">
      <c r="A19">
        <v>18</v>
      </c>
      <c r="B19" t="s">
        <v>145</v>
      </c>
      <c r="C19" s="27" t="s">
        <v>147</v>
      </c>
      <c r="D19" t="s">
        <v>118</v>
      </c>
      <c r="E19" t="s">
        <v>100</v>
      </c>
      <c r="G19" t="s">
        <v>120</v>
      </c>
      <c r="H19" s="26">
        <v>11.22</v>
      </c>
      <c r="I19" s="3">
        <v>11.58</v>
      </c>
      <c r="J19">
        <f t="shared" si="0"/>
        <v>0.35999999999999943</v>
      </c>
      <c r="K19">
        <f t="shared" si="1"/>
        <v>0.1295999999999996</v>
      </c>
      <c r="L19" s="3">
        <v>12.4603110258921</v>
      </c>
      <c r="M19" s="3">
        <f t="shared" si="2"/>
        <v>1.2403110258920993</v>
      </c>
      <c r="N19" s="3">
        <f t="shared" si="3"/>
        <v>1.5383714409495117</v>
      </c>
      <c r="O19" s="3">
        <v>9.2200000000000006</v>
      </c>
      <c r="P19" s="3">
        <f t="shared" si="4"/>
        <v>2</v>
      </c>
      <c r="Q19" s="3">
        <f t="shared" si="5"/>
        <v>4</v>
      </c>
      <c r="R19" s="3">
        <v>12.5</v>
      </c>
      <c r="S19" s="3">
        <f t="shared" si="6"/>
        <v>1.2799999999999994</v>
      </c>
      <c r="T19" s="3">
        <f t="shared" si="7"/>
        <v>1.6383999999999983</v>
      </c>
      <c r="U19" s="3">
        <v>4.9821812149967002</v>
      </c>
      <c r="V19" s="3">
        <f t="shared" si="8"/>
        <v>6.2378187850033004</v>
      </c>
      <c r="W19" s="3">
        <f t="shared" si="9"/>
        <v>38.910383194540053</v>
      </c>
      <c r="X19" t="s">
        <v>121</v>
      </c>
      <c r="Y19" s="25" t="s">
        <v>390</v>
      </c>
    </row>
    <row r="20" spans="1:29" x14ac:dyDescent="0.3">
      <c r="A20">
        <v>19</v>
      </c>
      <c r="B20" t="s">
        <v>148</v>
      </c>
      <c r="C20" s="27" t="s">
        <v>149</v>
      </c>
      <c r="D20" t="s">
        <v>118</v>
      </c>
      <c r="E20" t="s">
        <v>100</v>
      </c>
      <c r="G20" t="s">
        <v>120</v>
      </c>
      <c r="H20" s="26">
        <v>11.6</v>
      </c>
      <c r="I20" s="3">
        <v>11.59</v>
      </c>
      <c r="J20">
        <f t="shared" si="0"/>
        <v>9.9999999999997868E-3</v>
      </c>
      <c r="K20">
        <f t="shared" si="1"/>
        <v>9.9999999999995736E-5</v>
      </c>
      <c r="L20" s="3">
        <v>14.32</v>
      </c>
      <c r="M20" s="3">
        <f>ABS(H20-L20)</f>
        <v>2.7200000000000006</v>
      </c>
      <c r="N20" s="3">
        <f t="shared" si="3"/>
        <v>7.3984000000000032</v>
      </c>
      <c r="O20" s="3">
        <v>9.9</v>
      </c>
      <c r="P20" s="3">
        <f t="shared" si="4"/>
        <v>1.6999999999999993</v>
      </c>
      <c r="Q20" s="3">
        <f t="shared" si="5"/>
        <v>2.8899999999999975</v>
      </c>
      <c r="R20" s="3">
        <v>12.6</v>
      </c>
      <c r="S20" s="3">
        <f t="shared" si="6"/>
        <v>1</v>
      </c>
      <c r="T20" s="3">
        <f t="shared" si="7"/>
        <v>1</v>
      </c>
      <c r="U20" s="3">
        <v>5.8720676113953498</v>
      </c>
      <c r="V20" s="3">
        <f t="shared" si="8"/>
        <v>5.7279323886046498</v>
      </c>
      <c r="W20" s="3">
        <f t="shared" si="9"/>
        <v>32.809209448426166</v>
      </c>
      <c r="X20" t="s">
        <v>121</v>
      </c>
      <c r="Y20" s="25" t="s">
        <v>390</v>
      </c>
    </row>
    <row r="21" spans="1:29" x14ac:dyDescent="0.3">
      <c r="A21">
        <v>20</v>
      </c>
      <c r="B21" t="s">
        <v>150</v>
      </c>
      <c r="C21" s="27" t="s">
        <v>151</v>
      </c>
      <c r="D21" t="s">
        <v>118</v>
      </c>
      <c r="E21" t="s">
        <v>100</v>
      </c>
      <c r="F21" t="s">
        <v>135</v>
      </c>
      <c r="G21" t="s">
        <v>120</v>
      </c>
      <c r="H21" s="29">
        <v>5.2</v>
      </c>
      <c r="I21" s="3">
        <v>4.91</v>
      </c>
      <c r="J21">
        <f t="shared" si="0"/>
        <v>0.29000000000000004</v>
      </c>
      <c r="K21">
        <f t="shared" si="1"/>
        <v>8.4100000000000022E-2</v>
      </c>
      <c r="L21" s="3">
        <v>5.8927848260795699</v>
      </c>
      <c r="M21" s="3">
        <f t="shared" si="2"/>
        <v>0.6927848260795697</v>
      </c>
      <c r="N21" s="3">
        <f t="shared" si="3"/>
        <v>0.47995081524609967</v>
      </c>
      <c r="O21" s="3">
        <v>8.2799999999999994</v>
      </c>
      <c r="P21" s="3">
        <f t="shared" si="4"/>
        <v>3.0799999999999992</v>
      </c>
      <c r="Q21" s="3">
        <f t="shared" si="5"/>
        <v>9.4863999999999944</v>
      </c>
      <c r="R21" s="3">
        <v>8.3000000000000007</v>
      </c>
      <c r="S21" s="3">
        <f t="shared" si="6"/>
        <v>3.1000000000000005</v>
      </c>
      <c r="T21" s="3">
        <f t="shared" si="7"/>
        <v>9.610000000000003</v>
      </c>
      <c r="U21" s="3">
        <v>7.6354781717069802</v>
      </c>
      <c r="V21" s="3">
        <f t="shared" si="8"/>
        <v>2.43547817170698</v>
      </c>
      <c r="W21" s="3">
        <f t="shared" si="9"/>
        <v>5.9315539248611744</v>
      </c>
      <c r="X21" t="s">
        <v>121</v>
      </c>
      <c r="Y21" s="25" t="s">
        <v>392</v>
      </c>
    </row>
    <row r="22" spans="1:29" x14ac:dyDescent="0.3">
      <c r="A22">
        <v>21</v>
      </c>
      <c r="B22" t="s">
        <v>150</v>
      </c>
      <c r="C22" s="27" t="s">
        <v>152</v>
      </c>
      <c r="D22" t="s">
        <v>118</v>
      </c>
      <c r="E22" t="s">
        <v>100</v>
      </c>
      <c r="F22" t="s">
        <v>135</v>
      </c>
      <c r="G22" t="s">
        <v>120</v>
      </c>
      <c r="H22" s="29">
        <v>5.4</v>
      </c>
      <c r="I22" s="3">
        <v>4.91</v>
      </c>
      <c r="J22">
        <f t="shared" si="0"/>
        <v>0.49000000000000021</v>
      </c>
      <c r="K22">
        <f t="shared" si="1"/>
        <v>0.2401000000000002</v>
      </c>
      <c r="L22" s="3">
        <v>5.8927848260795699</v>
      </c>
      <c r="M22" s="3">
        <f t="shared" si="2"/>
        <v>0.49278482607956953</v>
      </c>
      <c r="N22" s="3">
        <f t="shared" si="3"/>
        <v>0.2428368848142716</v>
      </c>
      <c r="O22" s="3">
        <v>8.2799999999999994</v>
      </c>
      <c r="P22" s="3">
        <f t="shared" si="4"/>
        <v>2.879999999999999</v>
      </c>
      <c r="Q22" s="3">
        <f t="shared" si="5"/>
        <v>8.2943999999999942</v>
      </c>
      <c r="R22" s="3">
        <v>8.3000000000000007</v>
      </c>
      <c r="S22" s="3">
        <f t="shared" si="6"/>
        <v>2.9000000000000004</v>
      </c>
      <c r="T22" s="3">
        <f t="shared" si="7"/>
        <v>8.4100000000000019</v>
      </c>
      <c r="U22" s="3">
        <v>7.6354781717069802</v>
      </c>
      <c r="V22" s="3">
        <f t="shared" si="8"/>
        <v>2.2354781717069798</v>
      </c>
      <c r="W22" s="3">
        <f t="shared" si="9"/>
        <v>4.9973626561783808</v>
      </c>
      <c r="X22" t="s">
        <v>121</v>
      </c>
      <c r="Y22" s="25" t="s">
        <v>395</v>
      </c>
    </row>
    <row r="23" spans="1:29" x14ac:dyDescent="0.3">
      <c r="A23">
        <v>22</v>
      </c>
      <c r="B23" t="s">
        <v>153</v>
      </c>
      <c r="C23" s="27" t="s">
        <v>154</v>
      </c>
      <c r="D23" t="s">
        <v>118</v>
      </c>
      <c r="E23" t="s">
        <v>100</v>
      </c>
      <c r="G23" t="s">
        <v>120</v>
      </c>
      <c r="H23" s="29">
        <v>5.71</v>
      </c>
      <c r="I23" s="3">
        <v>5.96</v>
      </c>
      <c r="J23">
        <f t="shared" si="0"/>
        <v>0.25</v>
      </c>
      <c r="K23">
        <f t="shared" si="1"/>
        <v>6.25E-2</v>
      </c>
      <c r="L23" s="3">
        <v>7.6903556682554601</v>
      </c>
      <c r="M23" s="3">
        <f t="shared" si="2"/>
        <v>1.9803556682554602</v>
      </c>
      <c r="N23" s="3">
        <f t="shared" si="3"/>
        <v>3.9218085727915302</v>
      </c>
      <c r="O23" s="3">
        <v>8.68</v>
      </c>
      <c r="P23" s="3">
        <f t="shared" si="4"/>
        <v>2.9699999999999998</v>
      </c>
      <c r="Q23" s="3">
        <f t="shared" si="5"/>
        <v>8.8208999999999982</v>
      </c>
      <c r="R23" s="3">
        <v>8.6</v>
      </c>
      <c r="S23" s="3">
        <f t="shared" si="6"/>
        <v>2.8899999999999997</v>
      </c>
      <c r="T23" s="3">
        <f t="shared" si="7"/>
        <v>8.3520999999999983</v>
      </c>
      <c r="U23" s="3">
        <v>7.8096439579052097</v>
      </c>
      <c r="V23" s="3">
        <f t="shared" si="8"/>
        <v>2.0996439579052097</v>
      </c>
      <c r="W23" s="3">
        <f t="shared" si="9"/>
        <v>4.4085047499678538</v>
      </c>
      <c r="X23" t="s">
        <v>125</v>
      </c>
      <c r="Y23" s="25" t="s">
        <v>395</v>
      </c>
    </row>
    <row r="24" spans="1:29" x14ac:dyDescent="0.3">
      <c r="A24">
        <v>23</v>
      </c>
      <c r="B24" t="s">
        <v>155</v>
      </c>
      <c r="C24" s="27" t="s">
        <v>156</v>
      </c>
      <c r="D24" t="s">
        <v>118</v>
      </c>
      <c r="E24" t="s">
        <v>100</v>
      </c>
      <c r="G24" t="s">
        <v>120</v>
      </c>
      <c r="H24" s="29">
        <v>5.35</v>
      </c>
      <c r="I24" s="3">
        <v>6.49</v>
      </c>
      <c r="J24">
        <f t="shared" si="0"/>
        <v>1.1400000000000006</v>
      </c>
      <c r="K24">
        <f t="shared" si="1"/>
        <v>1.2996000000000012</v>
      </c>
      <c r="L24" s="3">
        <v>6.64777604172723</v>
      </c>
      <c r="M24" s="3">
        <f t="shared" si="2"/>
        <v>1.2977760417272304</v>
      </c>
      <c r="N24" s="3">
        <f t="shared" si="3"/>
        <v>1.684222654481198</v>
      </c>
      <c r="O24" s="3">
        <v>8.7200000000000006</v>
      </c>
      <c r="P24" s="3">
        <f t="shared" si="4"/>
        <v>3.370000000000001</v>
      </c>
      <c r="Q24" s="3">
        <f t="shared" si="5"/>
        <v>11.356900000000007</v>
      </c>
      <c r="R24" s="3">
        <v>9</v>
      </c>
      <c r="S24" s="3">
        <f t="shared" si="6"/>
        <v>3.6500000000000004</v>
      </c>
      <c r="T24" s="3">
        <f t="shared" si="7"/>
        <v>13.322500000000003</v>
      </c>
      <c r="U24" s="3">
        <v>8.4446467660917204</v>
      </c>
      <c r="V24" s="3">
        <f t="shared" si="8"/>
        <v>3.0946467660917207</v>
      </c>
      <c r="W24" s="3">
        <f t="shared" si="9"/>
        <v>9.576838606881946</v>
      </c>
      <c r="X24" t="s">
        <v>125</v>
      </c>
      <c r="Y24" s="25" t="s">
        <v>395</v>
      </c>
    </row>
    <row r="25" spans="1:29" x14ac:dyDescent="0.3">
      <c r="A25">
        <v>24</v>
      </c>
      <c r="B25" t="s">
        <v>157</v>
      </c>
      <c r="C25" s="27" t="s">
        <v>158</v>
      </c>
      <c r="D25" t="s">
        <v>118</v>
      </c>
      <c r="E25" t="s">
        <v>100</v>
      </c>
      <c r="G25" t="s">
        <v>120</v>
      </c>
      <c r="H25" s="29">
        <v>5.61</v>
      </c>
      <c r="I25" s="3">
        <v>6.34</v>
      </c>
      <c r="J25">
        <f t="shared" si="0"/>
        <v>0.72999999999999954</v>
      </c>
      <c r="K25">
        <f t="shared" si="1"/>
        <v>0.53289999999999937</v>
      </c>
      <c r="L25" s="3">
        <v>6.6772750826416196</v>
      </c>
      <c r="M25" s="3">
        <f t="shared" si="2"/>
        <v>1.0672750826416193</v>
      </c>
      <c r="N25" s="3">
        <f t="shared" si="3"/>
        <v>1.1390761020276754</v>
      </c>
      <c r="O25" s="3">
        <v>8.73</v>
      </c>
      <c r="P25" s="3">
        <f t="shared" si="4"/>
        <v>3.12</v>
      </c>
      <c r="Q25" s="3">
        <f t="shared" si="5"/>
        <v>9.7344000000000008</v>
      </c>
      <c r="R25" s="3">
        <v>9.1</v>
      </c>
      <c r="S25" s="3">
        <f t="shared" si="6"/>
        <v>3.4899999999999993</v>
      </c>
      <c r="T25" s="3">
        <f t="shared" si="7"/>
        <v>12.180099999999996</v>
      </c>
      <c r="U25" s="3">
        <v>9.3653997452886895</v>
      </c>
      <c r="V25" s="3">
        <f t="shared" si="8"/>
        <v>3.7553997452886891</v>
      </c>
      <c r="W25" s="3">
        <f t="shared" si="9"/>
        <v>14.103027246914351</v>
      </c>
      <c r="X25" t="s">
        <v>125</v>
      </c>
      <c r="Y25" s="25" t="s">
        <v>395</v>
      </c>
    </row>
    <row r="26" spans="1:29" x14ac:dyDescent="0.3">
      <c r="A26">
        <v>25</v>
      </c>
      <c r="B26" t="s">
        <v>159</v>
      </c>
      <c r="C26" s="27" t="s">
        <v>160</v>
      </c>
      <c r="D26" t="s">
        <v>118</v>
      </c>
      <c r="E26" t="s">
        <v>100</v>
      </c>
      <c r="G26" t="s">
        <v>120</v>
      </c>
      <c r="H26" s="29">
        <v>6.39</v>
      </c>
      <c r="I26" s="2">
        <v>7.85</v>
      </c>
      <c r="J26">
        <f t="shared" si="0"/>
        <v>1.46</v>
      </c>
      <c r="K26">
        <f t="shared" si="1"/>
        <v>2.1315999999999997</v>
      </c>
      <c r="L26" s="2">
        <v>7.5928112820925202</v>
      </c>
      <c r="M26" s="3">
        <f t="shared" si="2"/>
        <v>1.2028112820925205</v>
      </c>
      <c r="N26" s="3">
        <f t="shared" si="3"/>
        <v>1.4467549803290529</v>
      </c>
      <c r="O26" s="2">
        <v>8.99</v>
      </c>
      <c r="P26" s="3">
        <f t="shared" si="4"/>
        <v>2.6000000000000005</v>
      </c>
      <c r="Q26" s="3">
        <f t="shared" si="5"/>
        <v>6.7600000000000025</v>
      </c>
      <c r="R26" s="2">
        <v>9.5</v>
      </c>
      <c r="S26" s="3">
        <f t="shared" si="6"/>
        <v>3.1100000000000003</v>
      </c>
      <c r="T26" s="3">
        <f t="shared" si="7"/>
        <v>9.6721000000000021</v>
      </c>
      <c r="U26" s="2">
        <v>9.1420922403616398</v>
      </c>
      <c r="V26" s="3">
        <f t="shared" si="8"/>
        <v>2.7520922403616401</v>
      </c>
      <c r="W26" s="3">
        <f t="shared" si="9"/>
        <v>7.5740116994587519</v>
      </c>
      <c r="X26" t="s">
        <v>125</v>
      </c>
      <c r="Y26" s="25" t="s">
        <v>395</v>
      </c>
    </row>
    <row r="27" spans="1:29" s="9" customFormat="1" x14ac:dyDescent="0.3">
      <c r="A27">
        <v>26</v>
      </c>
      <c r="B27" s="9" t="s">
        <v>161</v>
      </c>
      <c r="C27" s="28" t="s">
        <v>162</v>
      </c>
      <c r="D27" s="9" t="s">
        <v>118</v>
      </c>
      <c r="E27" s="9" t="s">
        <v>100</v>
      </c>
      <c r="F27" s="9" t="s">
        <v>119</v>
      </c>
      <c r="G27" s="9" t="s">
        <v>120</v>
      </c>
      <c r="H27" s="30">
        <v>12.74</v>
      </c>
      <c r="I27" s="6">
        <v>12.65</v>
      </c>
      <c r="J27" s="9">
        <f>ABS(H27-I27)</f>
        <v>8.9999999999999858E-2</v>
      </c>
      <c r="K27" s="9">
        <f>J27^2</f>
        <v>8.0999999999999753E-3</v>
      </c>
      <c r="L27" s="6">
        <v>12.399664035805699</v>
      </c>
      <c r="M27" s="6">
        <f>ABS(H27-L27)</f>
        <v>0.3403359641943009</v>
      </c>
      <c r="N27" s="6">
        <f>M27^2</f>
        <v>0.11582856852406447</v>
      </c>
      <c r="O27" s="6">
        <v>8.09</v>
      </c>
      <c r="P27" s="6">
        <f>ABS(H27-O27)</f>
        <v>4.6500000000000004</v>
      </c>
      <c r="Q27" s="6">
        <f>P27^2</f>
        <v>21.622500000000002</v>
      </c>
      <c r="R27" s="6">
        <v>12.8</v>
      </c>
      <c r="S27" s="6">
        <f>ABS(H27-R27)</f>
        <v>6.0000000000000497E-2</v>
      </c>
      <c r="T27" s="6">
        <f>S27^2</f>
        <v>3.6000000000000597E-3</v>
      </c>
      <c r="U27" s="6">
        <v>9.9571143578324808</v>
      </c>
      <c r="V27" s="6">
        <f>ABS(H27-U27)</f>
        <v>2.7828856421675194</v>
      </c>
      <c r="W27" s="6">
        <f>V27^2</f>
        <v>7.7444524973821274</v>
      </c>
      <c r="X27" s="9" t="s">
        <v>121</v>
      </c>
      <c r="Y27" s="25" t="s">
        <v>391</v>
      </c>
    </row>
    <row r="28" spans="1:29" s="10" customFormat="1" x14ac:dyDescent="0.3">
      <c r="A28">
        <v>27</v>
      </c>
      <c r="B28" t="s">
        <v>163</v>
      </c>
      <c r="C28" s="31" t="s">
        <v>164</v>
      </c>
      <c r="D28" t="s">
        <v>165</v>
      </c>
      <c r="E28" t="s">
        <v>102</v>
      </c>
      <c r="F28" t="s">
        <v>119</v>
      </c>
      <c r="G28" t="s">
        <v>166</v>
      </c>
      <c r="H28" s="29">
        <v>11.4</v>
      </c>
      <c r="I28" s="3">
        <v>12.61</v>
      </c>
      <c r="J28">
        <f t="shared" si="0"/>
        <v>1.2099999999999991</v>
      </c>
      <c r="K28">
        <f t="shared" si="1"/>
        <v>1.4640999999999977</v>
      </c>
      <c r="L28" s="3">
        <v>12.0622868213402</v>
      </c>
      <c r="M28" s="3">
        <f t="shared" si="2"/>
        <v>0.66228682134019934</v>
      </c>
      <c r="N28" s="3">
        <f t="shared" si="3"/>
        <v>0.43862383372090513</v>
      </c>
      <c r="O28" s="3">
        <v>8.4</v>
      </c>
      <c r="P28" s="3">
        <f t="shared" si="4"/>
        <v>3</v>
      </c>
      <c r="Q28" s="3">
        <f t="shared" si="5"/>
        <v>9</v>
      </c>
      <c r="R28" s="3">
        <v>12.7</v>
      </c>
      <c r="S28" s="3">
        <f t="shared" si="6"/>
        <v>1.2999999999999989</v>
      </c>
      <c r="T28" s="3">
        <f t="shared" si="7"/>
        <v>1.6899999999999973</v>
      </c>
      <c r="U28" s="3">
        <v>8.3800000000000008</v>
      </c>
      <c r="V28" s="3">
        <f t="shared" si="8"/>
        <v>3.0199999999999996</v>
      </c>
      <c r="W28" s="3">
        <f t="shared" si="9"/>
        <v>9.1203999999999983</v>
      </c>
      <c r="X28" t="s">
        <v>125</v>
      </c>
      <c r="Y28" s="25" t="s">
        <v>389</v>
      </c>
      <c r="Z28"/>
      <c r="AA28"/>
      <c r="AB28"/>
      <c r="AC28"/>
    </row>
    <row r="29" spans="1:29" x14ac:dyDescent="0.3">
      <c r="A29">
        <v>28</v>
      </c>
      <c r="B29" t="s">
        <v>167</v>
      </c>
      <c r="C29" s="27" t="s">
        <v>168</v>
      </c>
      <c r="D29" t="s">
        <v>165</v>
      </c>
      <c r="E29" t="s">
        <v>102</v>
      </c>
      <c r="F29" t="s">
        <v>130</v>
      </c>
      <c r="G29" t="s">
        <v>166</v>
      </c>
      <c r="H29" s="29">
        <v>10.6</v>
      </c>
      <c r="I29" s="3">
        <v>9.8699999999999992</v>
      </c>
      <c r="J29">
        <f t="shared" si="0"/>
        <v>0.73000000000000043</v>
      </c>
      <c r="K29">
        <f t="shared" si="1"/>
        <v>0.5329000000000006</v>
      </c>
      <c r="L29" s="3">
        <v>8.3666169857005208</v>
      </c>
      <c r="M29" s="3">
        <f t="shared" si="2"/>
        <v>2.2333830142994788</v>
      </c>
      <c r="N29" s="3">
        <f t="shared" si="3"/>
        <v>4.9879996885614259</v>
      </c>
      <c r="O29" s="3">
        <v>7.75</v>
      </c>
      <c r="P29" s="3">
        <f t="shared" si="4"/>
        <v>2.8499999999999996</v>
      </c>
      <c r="Q29" s="3">
        <f t="shared" si="5"/>
        <v>8.1224999999999987</v>
      </c>
      <c r="R29" s="3">
        <v>9.9</v>
      </c>
      <c r="S29" s="3">
        <f t="shared" si="6"/>
        <v>0.69999999999999929</v>
      </c>
      <c r="T29" s="3">
        <f t="shared" si="7"/>
        <v>0.48999999999999899</v>
      </c>
      <c r="U29" s="3">
        <v>7.3790897151857999</v>
      </c>
      <c r="V29" s="3">
        <f t="shared" si="8"/>
        <v>3.2209102848141997</v>
      </c>
      <c r="W29" s="3">
        <f t="shared" si="9"/>
        <v>10.374263062821889</v>
      </c>
      <c r="X29" t="s">
        <v>125</v>
      </c>
      <c r="Y29" s="25" t="s">
        <v>389</v>
      </c>
    </row>
    <row r="30" spans="1:29" x14ac:dyDescent="0.3">
      <c r="A30">
        <v>29</v>
      </c>
      <c r="B30" t="s">
        <v>169</v>
      </c>
      <c r="C30" s="27" t="s">
        <v>170</v>
      </c>
      <c r="D30" t="s">
        <v>171</v>
      </c>
      <c r="E30" t="s">
        <v>101</v>
      </c>
      <c r="F30" t="s">
        <v>119</v>
      </c>
      <c r="G30" t="s">
        <v>166</v>
      </c>
      <c r="H30" s="29">
        <v>11.35</v>
      </c>
      <c r="I30" s="3">
        <v>12.52</v>
      </c>
      <c r="J30">
        <f t="shared" si="0"/>
        <v>1.17</v>
      </c>
      <c r="K30">
        <f t="shared" si="1"/>
        <v>1.3688999999999998</v>
      </c>
      <c r="L30" s="3">
        <v>12.346656919027099</v>
      </c>
      <c r="M30" s="3">
        <f t="shared" si="2"/>
        <v>0.99665691902709952</v>
      </c>
      <c r="N30" s="3">
        <f t="shared" si="3"/>
        <v>0.99332501424459041</v>
      </c>
      <c r="O30" s="3">
        <v>8.9700000000000006</v>
      </c>
      <c r="P30" s="3">
        <f t="shared" si="4"/>
        <v>2.379999999999999</v>
      </c>
      <c r="Q30" s="3">
        <f t="shared" si="5"/>
        <v>5.6643999999999952</v>
      </c>
      <c r="R30" s="3">
        <v>12.6</v>
      </c>
      <c r="S30" s="3">
        <f t="shared" si="6"/>
        <v>1.25</v>
      </c>
      <c r="T30" s="3">
        <f t="shared" si="7"/>
        <v>1.5625</v>
      </c>
      <c r="U30" s="3">
        <v>9.4395105715565304</v>
      </c>
      <c r="V30" s="3">
        <f t="shared" si="8"/>
        <v>1.9104894284434693</v>
      </c>
      <c r="W30" s="3">
        <f t="shared" si="9"/>
        <v>3.6499698561942537</v>
      </c>
      <c r="X30" t="s">
        <v>121</v>
      </c>
      <c r="Y30" s="25" t="s">
        <v>391</v>
      </c>
    </row>
    <row r="31" spans="1:29" x14ac:dyDescent="0.3">
      <c r="H31" t="s">
        <v>172</v>
      </c>
      <c r="I31" t="s">
        <v>96</v>
      </c>
      <c r="J31" s="3">
        <f>AVERAGE(J2:J30)</f>
        <v>0.73810344827586183</v>
      </c>
      <c r="K31" s="3">
        <f>SQRT(SUM(K2:K30)/29)</f>
        <v>0.87908112292874019</v>
      </c>
      <c r="M31" s="3">
        <f>AVERAGE(M2:M30)</f>
        <v>0.73896163001470572</v>
      </c>
      <c r="N31" s="3">
        <f>SQRT(SUM(N2:N30)/29)</f>
        <v>0.99568276027289404</v>
      </c>
      <c r="P31" s="3">
        <f>AVERAGE(P2:P30)</f>
        <v>2.5999999999999996</v>
      </c>
      <c r="Q31" s="3">
        <f>SQRT(SUM(Q2:Q30)/29)</f>
        <v>2.7483625218890135</v>
      </c>
      <c r="S31" s="3">
        <f>AVERAGE(S2:S30)</f>
        <v>1.4262068965517241</v>
      </c>
      <c r="T31" s="3">
        <f>SQRT(SUM(T2:T30)/29)</f>
        <v>1.8713981496418015</v>
      </c>
      <c r="V31" s="3">
        <f>AVERAGE(V2:V30)</f>
        <v>3.1107839297672886</v>
      </c>
      <c r="W31" s="3">
        <f>SQRT(SUM(W2:W30)/29)</f>
        <v>3.4317165218939034</v>
      </c>
      <c r="X31" s="10"/>
    </row>
    <row r="32" spans="1:29" x14ac:dyDescent="0.3">
      <c r="H32" t="s">
        <v>173</v>
      </c>
      <c r="I32" t="s">
        <v>96</v>
      </c>
      <c r="J32" s="3">
        <f>AVERAGE(J2:J27)</f>
        <v>0.70365384615384596</v>
      </c>
      <c r="K32" s="3">
        <f>SQRT(SUM(K2:K27)/26)</f>
        <v>0.85585820626478126</v>
      </c>
      <c r="M32" s="3">
        <f>AVERAGE(M2:M27)</f>
        <v>0.67452155829844951</v>
      </c>
      <c r="N32" s="3">
        <f>SQRT(SUM(N2:N27)/26)</f>
        <v>0.92674351437849944</v>
      </c>
      <c r="P32" s="3">
        <f>AVERAGE(P2:P27)</f>
        <v>2.5834615384615387</v>
      </c>
      <c r="Q32" s="3">
        <f>SQRT(SUM(Q2:Q27)/26)</f>
        <v>2.7474778644030264</v>
      </c>
      <c r="S32" s="3">
        <f>AVERAGE(S2:S27)</f>
        <v>1.4657692307692307</v>
      </c>
      <c r="T32" s="3">
        <f>SQRT(SUM(T2:T27)/26)</f>
        <v>1.9396599622693587</v>
      </c>
      <c r="V32" s="3">
        <f>AVERAGE(V2:V27)</f>
        <v>3.1562051634612964</v>
      </c>
      <c r="W32" s="3">
        <f>SQRT(SUM(W2:W27)/26)</f>
        <v>3.4993353071774815</v>
      </c>
      <c r="Z32" s="10"/>
      <c r="AA32" s="10"/>
      <c r="AB32" s="10"/>
      <c r="AC32" s="10"/>
    </row>
    <row r="33" spans="4:23" x14ac:dyDescent="0.3">
      <c r="H33" t="s">
        <v>174</v>
      </c>
      <c r="I33" t="s">
        <v>96</v>
      </c>
      <c r="J33" s="3">
        <f>AVERAGE(J28:J30)</f>
        <v>1.0366666666666664</v>
      </c>
      <c r="K33" s="3">
        <f>SQRT(SUM(K28:K30)/3)</f>
        <v>1.0592292795550291</v>
      </c>
      <c r="M33" s="3">
        <f>AVERAGE(M28:M30)</f>
        <v>1.2974422515555926</v>
      </c>
      <c r="N33" s="3">
        <f>SQRT(SUM(N28:N30)/3)</f>
        <v>1.462868020536704</v>
      </c>
      <c r="P33" s="3">
        <f>AVERAGE(P28:P30)</f>
        <v>2.7433333333333327</v>
      </c>
      <c r="Q33" s="3">
        <f>SQRT(SUM(Q28:Q30)/3)</f>
        <v>2.7560176583856157</v>
      </c>
      <c r="S33" s="3">
        <f>AVERAGE(S28:S30)</f>
        <v>1.0833333333333328</v>
      </c>
      <c r="T33" s="3">
        <f>SQRT(SUM(T28:T30)/3)</f>
        <v>1.1169153951844333</v>
      </c>
      <c r="V33" s="3">
        <f>AVERAGE(V28:V30)</f>
        <v>2.7171332377525559</v>
      </c>
      <c r="W33" s="3">
        <f>SQRT(SUM(W28:W30)/3)</f>
        <v>2.7775668560220197</v>
      </c>
    </row>
    <row r="35" spans="4:23" x14ac:dyDescent="0.3">
      <c r="H35"/>
      <c r="I35"/>
    </row>
    <row r="36" spans="4:23" x14ac:dyDescent="0.3">
      <c r="H36">
        <f>-LOG(0.00000000000043)</f>
        <v>12.366531544420413</v>
      </c>
      <c r="I36"/>
    </row>
    <row r="37" spans="4:23" x14ac:dyDescent="0.3">
      <c r="H37"/>
      <c r="I37"/>
    </row>
    <row r="39" spans="4:23" x14ac:dyDescent="0.3">
      <c r="H39"/>
      <c r="J39"/>
      <c r="K39"/>
      <c r="M39"/>
      <c r="N39"/>
    </row>
    <row r="40" spans="4:23" x14ac:dyDescent="0.3">
      <c r="H40"/>
      <c r="J40"/>
      <c r="M40"/>
    </row>
    <row r="41" spans="4:23" x14ac:dyDescent="0.3">
      <c r="D41" s="3"/>
      <c r="E41" s="3"/>
      <c r="F41" s="3"/>
      <c r="G41" s="3"/>
    </row>
    <row r="42" spans="4:23" x14ac:dyDescent="0.3">
      <c r="D42" s="3"/>
      <c r="E42" s="3"/>
      <c r="F42" s="3"/>
      <c r="G42" s="3"/>
    </row>
    <row r="43" spans="4:23" x14ac:dyDescent="0.3">
      <c r="D43" s="3"/>
      <c r="E43" s="3"/>
      <c r="F43" s="3"/>
      <c r="G43" s="3"/>
    </row>
    <row r="44" spans="4:23" x14ac:dyDescent="0.3">
      <c r="D44" s="3"/>
      <c r="E44" s="3"/>
      <c r="F44" s="3"/>
      <c r="G44" s="3"/>
    </row>
    <row r="45" spans="4:23" x14ac:dyDescent="0.3">
      <c r="D45" s="3"/>
      <c r="E45" s="3"/>
      <c r="F45" s="3"/>
      <c r="G45" s="3"/>
    </row>
    <row r="46" spans="4:23" x14ac:dyDescent="0.3">
      <c r="D46" s="3"/>
      <c r="E46" s="3"/>
      <c r="F46" s="3"/>
      <c r="G46" s="3"/>
    </row>
    <row r="47" spans="4:23" x14ac:dyDescent="0.3">
      <c r="D47" s="3"/>
      <c r="E47" s="3"/>
      <c r="F47" s="3"/>
      <c r="G47" s="3"/>
    </row>
    <row r="48" spans="4:23" x14ac:dyDescent="0.3">
      <c r="D48" s="3"/>
      <c r="E48" s="3"/>
      <c r="F48" s="3"/>
      <c r="G48" s="3"/>
    </row>
    <row r="49" spans="4:7" x14ac:dyDescent="0.3">
      <c r="D49" s="3"/>
      <c r="E49" s="3"/>
      <c r="F49" s="3"/>
      <c r="G49" s="3"/>
    </row>
    <row r="50" spans="4:7" x14ac:dyDescent="0.3">
      <c r="D50" s="3"/>
      <c r="E50" s="3"/>
      <c r="F50" s="3"/>
      <c r="G50" s="3"/>
    </row>
    <row r="51" spans="4:7" x14ac:dyDescent="0.3">
      <c r="D51" s="3"/>
      <c r="E51" s="3"/>
      <c r="F51" s="3"/>
      <c r="G51" s="3"/>
    </row>
    <row r="52" spans="4:7" x14ac:dyDescent="0.3">
      <c r="D52" s="3"/>
      <c r="E52" s="3"/>
      <c r="F52" s="3"/>
      <c r="G52" s="3"/>
    </row>
    <row r="53" spans="4:7" x14ac:dyDescent="0.3">
      <c r="D53" s="3"/>
      <c r="E53" s="3"/>
      <c r="F53" s="3"/>
      <c r="G53" s="3"/>
    </row>
    <row r="54" spans="4:7" x14ac:dyDescent="0.3">
      <c r="D54" s="3"/>
      <c r="E54" s="3"/>
      <c r="F54" s="3"/>
      <c r="G54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8B275-4E61-4A53-8279-859E2E0F10B0}">
  <dimension ref="A1:X52"/>
  <sheetViews>
    <sheetView workbookViewId="0"/>
  </sheetViews>
  <sheetFormatPr defaultRowHeight="14.4" x14ac:dyDescent="0.3"/>
  <cols>
    <col min="2" max="2" width="25.6640625" customWidth="1"/>
    <col min="4" max="4" width="10.88671875" customWidth="1"/>
    <col min="5" max="5" width="17.6640625" customWidth="1"/>
    <col min="6" max="6" width="8.88671875" style="3"/>
    <col min="7" max="7" width="12.88671875" customWidth="1"/>
    <col min="8" max="8" width="11" customWidth="1"/>
    <col min="9" max="9" width="9.5546875" customWidth="1"/>
    <col min="10" max="10" width="13.44140625" customWidth="1"/>
    <col min="11" max="11" width="12" customWidth="1"/>
    <col min="12" max="12" width="10.5546875" customWidth="1"/>
    <col min="13" max="13" width="11.88671875" customWidth="1"/>
    <col min="14" max="14" width="12" customWidth="1"/>
    <col min="15" max="15" width="10.5546875" customWidth="1"/>
    <col min="16" max="16" width="11.33203125" customWidth="1"/>
    <col min="17" max="17" width="12" customWidth="1"/>
    <col min="18" max="18" width="10.5546875" customWidth="1"/>
    <col min="20" max="20" width="12" customWidth="1"/>
    <col min="21" max="21" width="10.5546875" customWidth="1"/>
  </cols>
  <sheetData>
    <row r="1" spans="1:24" x14ac:dyDescent="0.3">
      <c r="A1" t="s">
        <v>1</v>
      </c>
      <c r="B1" t="s">
        <v>175</v>
      </c>
      <c r="C1" t="s">
        <v>176</v>
      </c>
      <c r="D1" t="s">
        <v>382</v>
      </c>
      <c r="E1" s="27" t="s">
        <v>4</v>
      </c>
      <c r="F1" s="29" t="s">
        <v>6</v>
      </c>
      <c r="G1" s="2" t="s">
        <v>7</v>
      </c>
      <c r="H1" t="s">
        <v>485</v>
      </c>
      <c r="I1" t="s">
        <v>486</v>
      </c>
      <c r="J1" s="2" t="s">
        <v>8</v>
      </c>
      <c r="K1" s="3" t="s">
        <v>477</v>
      </c>
      <c r="L1" s="3" t="s">
        <v>478</v>
      </c>
      <c r="M1" s="2" t="s">
        <v>9</v>
      </c>
      <c r="N1" s="3" t="s">
        <v>479</v>
      </c>
      <c r="O1" s="3" t="s">
        <v>480</v>
      </c>
      <c r="P1" s="2" t="s">
        <v>10</v>
      </c>
      <c r="Q1" s="3" t="s">
        <v>481</v>
      </c>
      <c r="R1" s="3" t="s">
        <v>482</v>
      </c>
      <c r="S1" s="2" t="s">
        <v>11</v>
      </c>
      <c r="T1" s="3" t="s">
        <v>483</v>
      </c>
      <c r="U1" s="3" t="s">
        <v>484</v>
      </c>
      <c r="V1" s="76" t="s">
        <v>387</v>
      </c>
    </row>
    <row r="2" spans="1:24" s="1" customFormat="1" x14ac:dyDescent="0.3">
      <c r="A2" s="1">
        <v>1</v>
      </c>
      <c r="B2" s="1" t="s">
        <v>177</v>
      </c>
      <c r="C2" s="1" t="s">
        <v>101</v>
      </c>
      <c r="D2" s="1" t="s">
        <v>383</v>
      </c>
      <c r="E2" s="31" t="s">
        <v>178</v>
      </c>
      <c r="F2" s="26">
        <f>-LOG(0.000018)</f>
        <v>4.7447274948966935</v>
      </c>
      <c r="G2" s="2">
        <v>4.54</v>
      </c>
      <c r="H2" s="3">
        <f>ABS(F2-G2)</f>
        <v>0.20472749489669351</v>
      </c>
      <c r="I2" s="3">
        <f>H2^2</f>
        <v>4.1913347166675663E-2</v>
      </c>
      <c r="J2" s="2">
        <v>4.7610267434009303</v>
      </c>
      <c r="K2" s="3">
        <f>ABS(F2-J2)</f>
        <v>1.6299248504236807E-2</v>
      </c>
      <c r="L2" s="3">
        <f>K2^2</f>
        <v>2.6566550180286581E-4</v>
      </c>
      <c r="M2" s="2">
        <v>4.1900000000000004</v>
      </c>
      <c r="N2" s="3">
        <f>ABS(F2-M2)</f>
        <v>0.55472749489669315</v>
      </c>
      <c r="O2" s="3">
        <f>N2^2</f>
        <v>0.30772259359436072</v>
      </c>
      <c r="P2" s="2">
        <v>4.5</v>
      </c>
      <c r="Q2" s="3">
        <f>ABS(F2-P2)</f>
        <v>0.24472749489669354</v>
      </c>
      <c r="R2" s="3">
        <f>Q2^2</f>
        <v>5.9891546758411164E-2</v>
      </c>
      <c r="S2" s="2">
        <v>3.9493875893325199</v>
      </c>
      <c r="T2" s="3">
        <f>ABS(F2-S2)</f>
        <v>0.79533990556417367</v>
      </c>
      <c r="U2" s="3">
        <f>T2^2</f>
        <v>0.63256556538282871</v>
      </c>
      <c r="V2" s="77" t="s">
        <v>397</v>
      </c>
      <c r="W2"/>
      <c r="X2"/>
    </row>
    <row r="3" spans="1:24" s="1" customFormat="1" x14ac:dyDescent="0.3">
      <c r="A3" s="1">
        <v>2</v>
      </c>
      <c r="B3" s="1" t="s">
        <v>177</v>
      </c>
      <c r="C3" s="1" t="s">
        <v>101</v>
      </c>
      <c r="D3" s="1" t="s">
        <v>383</v>
      </c>
      <c r="E3" s="31" t="s">
        <v>178</v>
      </c>
      <c r="F3" s="26">
        <v>4.76</v>
      </c>
      <c r="G3" s="2">
        <v>4.54</v>
      </c>
      <c r="H3" s="3">
        <f t="shared" ref="H3:H45" si="0">ABS(F3-G3)</f>
        <v>0.21999999999999975</v>
      </c>
      <c r="I3" s="3">
        <f t="shared" ref="I3:I45" si="1">H3^2</f>
        <v>4.8399999999999888E-2</v>
      </c>
      <c r="J3" s="2">
        <v>4.7610267434009303</v>
      </c>
      <c r="K3" s="3">
        <f t="shared" ref="K3:K45" si="2">ABS(F3-J3)</f>
        <v>1.0267434009305632E-3</v>
      </c>
      <c r="L3" s="3">
        <f t="shared" ref="L3:L45" si="3">K3^2</f>
        <v>1.0542020113544591E-6</v>
      </c>
      <c r="M3" s="2">
        <v>4.1900000000000004</v>
      </c>
      <c r="N3" s="3">
        <f t="shared" ref="N3:N45" si="4">ABS(F3-M3)</f>
        <v>0.5699999999999994</v>
      </c>
      <c r="O3" s="3">
        <f t="shared" ref="O3:O45" si="5">N3^2</f>
        <v>0.3248999999999993</v>
      </c>
      <c r="P3" s="2">
        <v>4.5</v>
      </c>
      <c r="Q3" s="3">
        <f t="shared" ref="Q3:Q45" si="6">ABS(F3-P3)</f>
        <v>0.25999999999999979</v>
      </c>
      <c r="R3" s="3">
        <f t="shared" ref="R3:R45" si="7">Q3^2</f>
        <v>6.7599999999999882E-2</v>
      </c>
      <c r="S3" s="2">
        <v>3.9493875893325199</v>
      </c>
      <c r="T3" s="3">
        <f t="shared" ref="T3:T45" si="8">ABS(F3-S3)</f>
        <v>0.81061241066747991</v>
      </c>
      <c r="U3" s="3">
        <f t="shared" ref="U3:U45" si="9">T3^2</f>
        <v>0.65709248032814305</v>
      </c>
      <c r="V3" s="77" t="s">
        <v>415</v>
      </c>
      <c r="W3"/>
      <c r="X3"/>
    </row>
    <row r="4" spans="1:24" x14ac:dyDescent="0.3">
      <c r="A4" s="1">
        <v>3</v>
      </c>
      <c r="B4" t="s">
        <v>179</v>
      </c>
      <c r="C4" s="1" t="s">
        <v>102</v>
      </c>
      <c r="D4" s="1" t="s">
        <v>383</v>
      </c>
      <c r="E4" s="27" t="s">
        <v>180</v>
      </c>
      <c r="F4" s="26">
        <f>-LOG(0.00001343)</f>
        <v>4.871923987331285</v>
      </c>
      <c r="G4" s="2">
        <v>4.75</v>
      </c>
      <c r="H4" s="3">
        <f t="shared" si="0"/>
        <v>0.12192398733128496</v>
      </c>
      <c r="I4" s="3">
        <f t="shared" si="1"/>
        <v>1.4865458686759335E-2</v>
      </c>
      <c r="J4" s="2">
        <v>4.73320459563333</v>
      </c>
      <c r="K4" s="3">
        <f t="shared" si="2"/>
        <v>0.138719391697955</v>
      </c>
      <c r="L4" s="3">
        <f t="shared" si="3"/>
        <v>1.9243069633050666E-2</v>
      </c>
      <c r="M4" s="2">
        <v>4.6399999999999997</v>
      </c>
      <c r="N4" s="3">
        <f t="shared" si="4"/>
        <v>0.23192398733128528</v>
      </c>
      <c r="O4" s="3">
        <f t="shared" si="5"/>
        <v>5.3788735899642171E-2</v>
      </c>
      <c r="P4" s="2">
        <v>4.7</v>
      </c>
      <c r="Q4" s="3">
        <f t="shared" si="6"/>
        <v>0.17192398733128478</v>
      </c>
      <c r="R4" s="3">
        <f t="shared" si="7"/>
        <v>2.955785741988777E-2</v>
      </c>
      <c r="S4" s="2">
        <v>4.7420816271157404</v>
      </c>
      <c r="T4" s="3">
        <f t="shared" si="8"/>
        <v>0.12984236021554452</v>
      </c>
      <c r="U4" s="3">
        <f t="shared" si="9"/>
        <v>1.6859038506343217E-2</v>
      </c>
      <c r="V4" s="77" t="s">
        <v>397</v>
      </c>
    </row>
    <row r="5" spans="1:24" x14ac:dyDescent="0.3">
      <c r="A5" s="1">
        <v>4</v>
      </c>
      <c r="B5" t="s">
        <v>179</v>
      </c>
      <c r="C5" s="1" t="s">
        <v>102</v>
      </c>
      <c r="D5" s="1" t="s">
        <v>383</v>
      </c>
      <c r="E5" s="27" t="s">
        <v>180</v>
      </c>
      <c r="F5" s="26">
        <v>4.87</v>
      </c>
      <c r="G5" s="2">
        <v>4.75</v>
      </c>
      <c r="H5" s="3">
        <f t="shared" si="0"/>
        <v>0.12000000000000011</v>
      </c>
      <c r="I5" s="3">
        <f t="shared" si="1"/>
        <v>1.4400000000000026E-2</v>
      </c>
      <c r="J5" s="2">
        <v>4.73320459563333</v>
      </c>
      <c r="K5" s="3">
        <f t="shared" si="2"/>
        <v>0.13679540436667015</v>
      </c>
      <c r="L5" s="3">
        <f t="shared" si="3"/>
        <v>1.8712982655840798E-2</v>
      </c>
      <c r="M5" s="2">
        <v>4.6399999999999997</v>
      </c>
      <c r="N5" s="3">
        <f t="shared" si="4"/>
        <v>0.23000000000000043</v>
      </c>
      <c r="O5" s="3">
        <f t="shared" si="5"/>
        <v>5.2900000000000197E-2</v>
      </c>
      <c r="P5" s="2">
        <v>4.7</v>
      </c>
      <c r="Q5" s="3">
        <f t="shared" si="6"/>
        <v>0.16999999999999993</v>
      </c>
      <c r="R5" s="3">
        <f t="shared" si="7"/>
        <v>2.8899999999999974E-2</v>
      </c>
      <c r="S5" s="2">
        <v>4.7420816271157404</v>
      </c>
      <c r="T5" s="3">
        <f t="shared" si="8"/>
        <v>0.12791837288425967</v>
      </c>
      <c r="U5" s="3">
        <f t="shared" si="9"/>
        <v>1.6363110121356498E-2</v>
      </c>
      <c r="V5" s="77" t="s">
        <v>415</v>
      </c>
    </row>
    <row r="6" spans="1:24" x14ac:dyDescent="0.3">
      <c r="A6" s="1">
        <v>5</v>
      </c>
      <c r="B6" t="s">
        <v>181</v>
      </c>
      <c r="C6" t="s">
        <v>103</v>
      </c>
      <c r="D6" s="1" t="s">
        <v>383</v>
      </c>
      <c r="E6" s="27" t="s">
        <v>182</v>
      </c>
      <c r="F6" s="26">
        <f>-LOG(0.00001506)</f>
        <v>4.8221750281353186</v>
      </c>
      <c r="G6" s="2">
        <v>4.91</v>
      </c>
      <c r="H6" s="3">
        <f t="shared" si="0"/>
        <v>8.7824971864681523E-2</v>
      </c>
      <c r="I6" s="3">
        <f t="shared" si="1"/>
        <v>7.7132256830321011E-3</v>
      </c>
      <c r="J6" s="2">
        <v>4.73320459563333</v>
      </c>
      <c r="K6" s="3">
        <f t="shared" si="2"/>
        <v>8.8970432501988661E-2</v>
      </c>
      <c r="L6" s="3">
        <f t="shared" si="3"/>
        <v>7.9157378595909201E-3</v>
      </c>
      <c r="M6" s="2">
        <v>4.7300000000000004</v>
      </c>
      <c r="N6" s="3">
        <f t="shared" si="4"/>
        <v>9.2175028135318193E-2</v>
      </c>
      <c r="O6" s="3">
        <f t="shared" si="5"/>
        <v>8.4962358117467007E-3</v>
      </c>
      <c r="P6" s="2">
        <v>4.7</v>
      </c>
      <c r="Q6" s="3">
        <f t="shared" si="6"/>
        <v>0.12217502813531844</v>
      </c>
      <c r="R6" s="3">
        <f t="shared" si="7"/>
        <v>1.4926737499865853E-2</v>
      </c>
      <c r="S6" s="2">
        <v>4.8667271482631298</v>
      </c>
      <c r="T6" s="3">
        <f t="shared" si="8"/>
        <v>4.4552120127811179E-2</v>
      </c>
      <c r="U6" s="3">
        <f t="shared" si="9"/>
        <v>1.9848914078829179E-3</v>
      </c>
      <c r="V6" s="77" t="s">
        <v>397</v>
      </c>
    </row>
    <row r="7" spans="1:24" x14ac:dyDescent="0.3">
      <c r="A7" s="1">
        <v>6</v>
      </c>
      <c r="B7" t="s">
        <v>181</v>
      </c>
      <c r="C7" t="s">
        <v>103</v>
      </c>
      <c r="D7" s="1" t="s">
        <v>383</v>
      </c>
      <c r="E7" s="27" t="s">
        <v>182</v>
      </c>
      <c r="F7" s="26">
        <v>4.8099999999999996</v>
      </c>
      <c r="G7" s="2">
        <v>4.91</v>
      </c>
      <c r="H7" s="3">
        <f t="shared" si="0"/>
        <v>0.10000000000000053</v>
      </c>
      <c r="I7" s="3">
        <f t="shared" si="1"/>
        <v>1.0000000000000106E-2</v>
      </c>
      <c r="J7" s="2">
        <v>4.73320459563333</v>
      </c>
      <c r="K7" s="3">
        <f t="shared" si="2"/>
        <v>7.6795404366669651E-2</v>
      </c>
      <c r="L7" s="3">
        <f t="shared" si="3"/>
        <v>5.8975341318403037E-3</v>
      </c>
      <c r="M7" s="2">
        <v>4.7300000000000004</v>
      </c>
      <c r="N7" s="3">
        <f t="shared" si="4"/>
        <v>7.9999999999999183E-2</v>
      </c>
      <c r="O7" s="3">
        <f t="shared" si="5"/>
        <v>6.3999999999998693E-3</v>
      </c>
      <c r="P7" s="2">
        <v>4.7</v>
      </c>
      <c r="Q7" s="3">
        <f t="shared" si="6"/>
        <v>0.10999999999999943</v>
      </c>
      <c r="R7" s="3">
        <f t="shared" si="7"/>
        <v>1.2099999999999875E-2</v>
      </c>
      <c r="S7" s="2">
        <v>4.8667271482631298</v>
      </c>
      <c r="T7" s="3">
        <f t="shared" si="8"/>
        <v>5.6727148263130189E-2</v>
      </c>
      <c r="U7" s="3">
        <f t="shared" si="9"/>
        <v>3.2179693500671543E-3</v>
      </c>
      <c r="V7" s="77" t="s">
        <v>415</v>
      </c>
    </row>
    <row r="8" spans="1:24" x14ac:dyDescent="0.3">
      <c r="A8" s="1">
        <v>7</v>
      </c>
      <c r="B8" t="s">
        <v>183</v>
      </c>
      <c r="C8" t="s">
        <v>104</v>
      </c>
      <c r="D8" s="1" t="s">
        <v>383</v>
      </c>
      <c r="E8" s="27" t="s">
        <v>184</v>
      </c>
      <c r="F8" s="26">
        <v>4.8099999999999996</v>
      </c>
      <c r="G8" s="2">
        <v>5.01</v>
      </c>
      <c r="H8" s="3">
        <f t="shared" si="0"/>
        <v>0.20000000000000018</v>
      </c>
      <c r="I8" s="3">
        <f t="shared" si="1"/>
        <v>4.000000000000007E-2</v>
      </c>
      <c r="J8" s="2">
        <v>4.73320459563333</v>
      </c>
      <c r="K8" s="3">
        <f t="shared" si="2"/>
        <v>7.6795404366669651E-2</v>
      </c>
      <c r="L8" s="3">
        <f t="shared" si="3"/>
        <v>5.8975341318403037E-3</v>
      </c>
      <c r="M8" s="2">
        <v>4.79</v>
      </c>
      <c r="N8" s="3">
        <f t="shared" si="4"/>
        <v>1.9999999999999574E-2</v>
      </c>
      <c r="O8" s="3">
        <f t="shared" si="5"/>
        <v>3.9999999999998294E-4</v>
      </c>
      <c r="P8" s="2">
        <v>4.8</v>
      </c>
      <c r="Q8" s="3">
        <f t="shared" si="6"/>
        <v>9.9999999999997868E-3</v>
      </c>
      <c r="R8" s="3">
        <f t="shared" si="7"/>
        <v>9.9999999999995736E-5</v>
      </c>
      <c r="S8" s="2">
        <v>4.7718434534462704</v>
      </c>
      <c r="T8" s="3">
        <f t="shared" si="8"/>
        <v>3.8156546553729243E-2</v>
      </c>
      <c r="U8" s="3">
        <f t="shared" si="9"/>
        <v>1.4559220449069069E-3</v>
      </c>
      <c r="V8" s="77" t="s">
        <v>415</v>
      </c>
    </row>
    <row r="9" spans="1:24" x14ac:dyDescent="0.3">
      <c r="A9" s="1">
        <v>8</v>
      </c>
      <c r="B9" t="s">
        <v>185</v>
      </c>
      <c r="C9" t="s">
        <v>105</v>
      </c>
      <c r="D9" s="1" t="s">
        <v>383</v>
      </c>
      <c r="E9" s="27" t="s">
        <v>186</v>
      </c>
      <c r="F9" s="26">
        <v>4.8499999999999996</v>
      </c>
      <c r="G9" s="2">
        <v>5.15</v>
      </c>
      <c r="H9" s="3">
        <f t="shared" si="0"/>
        <v>0.30000000000000071</v>
      </c>
      <c r="I9" s="3">
        <f t="shared" si="1"/>
        <v>9.0000000000000427E-2</v>
      </c>
      <c r="J9" s="2">
        <v>4.73320459563333</v>
      </c>
      <c r="K9" s="3">
        <f t="shared" si="2"/>
        <v>0.11679540436666969</v>
      </c>
      <c r="L9" s="3">
        <f t="shared" si="3"/>
        <v>1.3641166481173885E-2</v>
      </c>
      <c r="M9" s="2">
        <v>4.8099999999999996</v>
      </c>
      <c r="N9" s="3">
        <f t="shared" si="4"/>
        <v>4.0000000000000036E-2</v>
      </c>
      <c r="O9" s="3">
        <f t="shared" si="5"/>
        <v>1.6000000000000029E-3</v>
      </c>
      <c r="P9" s="2">
        <v>4.8</v>
      </c>
      <c r="Q9" s="3">
        <f t="shared" si="6"/>
        <v>4.9999999999999822E-2</v>
      </c>
      <c r="R9" s="3">
        <f t="shared" si="7"/>
        <v>2.4999999999999823E-3</v>
      </c>
      <c r="S9" s="2">
        <v>4.6927407569953603</v>
      </c>
      <c r="T9" s="3">
        <f t="shared" si="8"/>
        <v>0.15725924300463934</v>
      </c>
      <c r="U9" s="3">
        <f t="shared" si="9"/>
        <v>2.4730469510392206E-2</v>
      </c>
      <c r="V9" s="77" t="s">
        <v>415</v>
      </c>
    </row>
    <row r="10" spans="1:24" x14ac:dyDescent="0.3">
      <c r="A10" s="1">
        <v>9</v>
      </c>
      <c r="B10" t="s">
        <v>187</v>
      </c>
      <c r="C10" t="s">
        <v>106</v>
      </c>
      <c r="D10" s="1" t="s">
        <v>383</v>
      </c>
      <c r="E10" s="27" t="s">
        <v>188</v>
      </c>
      <c r="F10" s="26">
        <v>4.8499999999999996</v>
      </c>
      <c r="G10" s="2">
        <v>5.15</v>
      </c>
      <c r="H10" s="3">
        <f t="shared" si="0"/>
        <v>0.30000000000000071</v>
      </c>
      <c r="I10" s="3">
        <f t="shared" si="1"/>
        <v>9.0000000000000427E-2</v>
      </c>
      <c r="J10" s="2">
        <v>4.73320459563333</v>
      </c>
      <c r="K10" s="3">
        <f t="shared" si="2"/>
        <v>0.11679540436666969</v>
      </c>
      <c r="L10" s="3">
        <f t="shared" si="3"/>
        <v>1.3641166481173885E-2</v>
      </c>
      <c r="M10" s="2">
        <v>4.83</v>
      </c>
      <c r="N10" s="3">
        <f t="shared" si="4"/>
        <v>1.9999999999999574E-2</v>
      </c>
      <c r="O10" s="3">
        <f t="shared" si="5"/>
        <v>3.9999999999998294E-4</v>
      </c>
      <c r="P10" s="2">
        <v>4.8</v>
      </c>
      <c r="Q10" s="3">
        <f t="shared" si="6"/>
        <v>4.9999999999999822E-2</v>
      </c>
      <c r="R10" s="3">
        <f t="shared" si="7"/>
        <v>2.4999999999999823E-3</v>
      </c>
      <c r="S10" s="2">
        <v>4.9638763589154902</v>
      </c>
      <c r="T10" s="3">
        <f t="shared" si="8"/>
        <v>0.11387635891549053</v>
      </c>
      <c r="U10" s="3">
        <f t="shared" si="9"/>
        <v>1.2967825119849619E-2</v>
      </c>
      <c r="V10" s="77" t="s">
        <v>415</v>
      </c>
    </row>
    <row r="11" spans="1:24" x14ac:dyDescent="0.3">
      <c r="A11" s="1">
        <v>10</v>
      </c>
      <c r="B11" t="s">
        <v>189</v>
      </c>
      <c r="C11" t="s">
        <v>107</v>
      </c>
      <c r="D11" s="1" t="s">
        <v>383</v>
      </c>
      <c r="E11" s="27" t="s">
        <v>190</v>
      </c>
      <c r="F11" s="26">
        <v>4.8</v>
      </c>
      <c r="G11" s="2">
        <v>5.19</v>
      </c>
      <c r="H11" s="3">
        <f t="shared" si="0"/>
        <v>0.39000000000000057</v>
      </c>
      <c r="I11" s="3">
        <f t="shared" si="1"/>
        <v>0.15210000000000046</v>
      </c>
      <c r="J11" s="2">
        <v>4.73320459563333</v>
      </c>
      <c r="K11" s="3">
        <f t="shared" si="2"/>
        <v>6.6795404366669864E-2</v>
      </c>
      <c r="L11" s="3">
        <f t="shared" si="3"/>
        <v>4.4616260445069396E-3</v>
      </c>
      <c r="M11" s="2">
        <v>4.83</v>
      </c>
      <c r="N11" s="3">
        <f t="shared" si="4"/>
        <v>3.0000000000000249E-2</v>
      </c>
      <c r="O11" s="3">
        <f t="shared" si="5"/>
        <v>9.0000000000001494E-4</v>
      </c>
      <c r="P11" s="2">
        <v>4.8</v>
      </c>
      <c r="Q11" s="3">
        <f t="shared" si="6"/>
        <v>0</v>
      </c>
      <c r="R11" s="3">
        <f t="shared" si="7"/>
        <v>0</v>
      </c>
      <c r="S11" s="2">
        <v>5.0582937960315597</v>
      </c>
      <c r="T11" s="3">
        <f t="shared" si="8"/>
        <v>0.25829379603155989</v>
      </c>
      <c r="U11" s="3">
        <f t="shared" si="9"/>
        <v>6.6715685068393066E-2</v>
      </c>
      <c r="V11" s="77" t="s">
        <v>416</v>
      </c>
    </row>
    <row r="12" spans="1:24" x14ac:dyDescent="0.3">
      <c r="A12" s="1">
        <v>11</v>
      </c>
      <c r="B12" t="s">
        <v>189</v>
      </c>
      <c r="C12" t="s">
        <v>107</v>
      </c>
      <c r="D12" s="1" t="s">
        <v>383</v>
      </c>
      <c r="E12" s="27" t="s">
        <v>190</v>
      </c>
      <c r="F12" s="26">
        <v>4.8499999999999996</v>
      </c>
      <c r="G12" s="2">
        <v>5.19</v>
      </c>
      <c r="H12" s="3">
        <f t="shared" si="0"/>
        <v>0.34000000000000075</v>
      </c>
      <c r="I12" s="3">
        <f t="shared" si="1"/>
        <v>0.11560000000000051</v>
      </c>
      <c r="J12" s="2">
        <v>4.73320459563333</v>
      </c>
      <c r="K12" s="3">
        <f t="shared" si="2"/>
        <v>0.11679540436666969</v>
      </c>
      <c r="L12" s="3">
        <f t="shared" si="3"/>
        <v>1.3641166481173885E-2</v>
      </c>
      <c r="M12" s="2">
        <v>4.83</v>
      </c>
      <c r="N12" s="3">
        <f t="shared" si="4"/>
        <v>1.9999999999999574E-2</v>
      </c>
      <c r="O12" s="3">
        <f t="shared" si="5"/>
        <v>3.9999999999998294E-4</v>
      </c>
      <c r="P12" s="2">
        <v>4.8</v>
      </c>
      <c r="Q12" s="3">
        <f t="shared" si="6"/>
        <v>4.9999999999999822E-2</v>
      </c>
      <c r="R12" s="3">
        <f t="shared" si="7"/>
        <v>2.4999999999999823E-3</v>
      </c>
      <c r="S12" s="2">
        <v>5.0582937960315597</v>
      </c>
      <c r="T12" s="3">
        <f t="shared" si="8"/>
        <v>0.20829379603156006</v>
      </c>
      <c r="U12" s="3">
        <f t="shared" si="9"/>
        <v>4.3386305465237147E-2</v>
      </c>
      <c r="V12" s="77" t="s">
        <v>415</v>
      </c>
    </row>
    <row r="13" spans="1:24" x14ac:dyDescent="0.3">
      <c r="A13" s="1">
        <v>12</v>
      </c>
      <c r="B13" t="s">
        <v>189</v>
      </c>
      <c r="C13" t="s">
        <v>107</v>
      </c>
      <c r="D13" t="s">
        <v>384</v>
      </c>
      <c r="E13" s="27" t="s">
        <v>190</v>
      </c>
      <c r="F13" s="26">
        <v>4.9000000000000004</v>
      </c>
      <c r="G13" s="2">
        <v>5.19</v>
      </c>
      <c r="H13" s="3">
        <f t="shared" si="0"/>
        <v>0.29000000000000004</v>
      </c>
      <c r="I13" s="3">
        <f t="shared" si="1"/>
        <v>8.4100000000000022E-2</v>
      </c>
      <c r="J13" s="2">
        <v>4.73320459563333</v>
      </c>
      <c r="K13" s="3">
        <f t="shared" si="2"/>
        <v>0.1667954043666704</v>
      </c>
      <c r="L13" s="3">
        <f t="shared" si="3"/>
        <v>2.7820706917841088E-2</v>
      </c>
      <c r="M13" s="2">
        <v>4.83</v>
      </c>
      <c r="N13" s="3">
        <f t="shared" si="4"/>
        <v>7.0000000000000284E-2</v>
      </c>
      <c r="O13" s="3">
        <f t="shared" si="5"/>
        <v>4.9000000000000397E-3</v>
      </c>
      <c r="P13" s="2">
        <v>4.8</v>
      </c>
      <c r="Q13" s="3">
        <f t="shared" si="6"/>
        <v>0.10000000000000053</v>
      </c>
      <c r="R13" s="3">
        <f t="shared" si="7"/>
        <v>1.0000000000000106E-2</v>
      </c>
      <c r="S13" s="2">
        <v>5.0582937960315597</v>
      </c>
      <c r="T13" s="3">
        <f t="shared" si="8"/>
        <v>0.15829379603155935</v>
      </c>
      <c r="U13" s="3">
        <f t="shared" si="9"/>
        <v>2.5056925862080914E-2</v>
      </c>
      <c r="V13" s="77" t="s">
        <v>417</v>
      </c>
    </row>
    <row r="14" spans="1:24" x14ac:dyDescent="0.3">
      <c r="A14" s="1">
        <v>13</v>
      </c>
      <c r="B14" t="s">
        <v>189</v>
      </c>
      <c r="C14" t="s">
        <v>107</v>
      </c>
      <c r="D14" t="s">
        <v>384</v>
      </c>
      <c r="E14" s="27" t="s">
        <v>190</v>
      </c>
      <c r="F14" s="26">
        <v>6.4</v>
      </c>
      <c r="G14" s="2">
        <v>5.19</v>
      </c>
      <c r="H14" s="3">
        <f t="shared" si="0"/>
        <v>1.21</v>
      </c>
      <c r="I14" s="3">
        <f t="shared" si="1"/>
        <v>1.4641</v>
      </c>
      <c r="J14" s="2">
        <v>4.73320459563333</v>
      </c>
      <c r="K14" s="3">
        <f t="shared" si="2"/>
        <v>1.6667954043666704</v>
      </c>
      <c r="L14" s="3">
        <f t="shared" si="3"/>
        <v>2.7782069200178521</v>
      </c>
      <c r="M14" s="2">
        <v>4.83</v>
      </c>
      <c r="N14" s="3">
        <f t="shared" si="4"/>
        <v>1.5700000000000003</v>
      </c>
      <c r="O14" s="3">
        <f t="shared" si="5"/>
        <v>2.464900000000001</v>
      </c>
      <c r="P14" s="2">
        <v>4.8</v>
      </c>
      <c r="Q14" s="3">
        <f t="shared" si="6"/>
        <v>1.6000000000000005</v>
      </c>
      <c r="R14" s="3">
        <f t="shared" si="7"/>
        <v>2.5600000000000018</v>
      </c>
      <c r="S14" s="2">
        <v>5.0582937960315597</v>
      </c>
      <c r="T14" s="3">
        <f t="shared" si="8"/>
        <v>1.3417062039684406</v>
      </c>
      <c r="U14" s="3">
        <f t="shared" si="9"/>
        <v>1.8001755377674029</v>
      </c>
      <c r="V14" s="77" t="s">
        <v>415</v>
      </c>
    </row>
    <row r="15" spans="1:24" x14ac:dyDescent="0.3">
      <c r="A15" s="1">
        <v>14</v>
      </c>
      <c r="B15" t="s">
        <v>191</v>
      </c>
      <c r="C15" t="s">
        <v>108</v>
      </c>
      <c r="D15" t="s">
        <v>384</v>
      </c>
      <c r="E15" s="27" t="s">
        <v>192</v>
      </c>
      <c r="F15" s="26">
        <v>5.8</v>
      </c>
      <c r="G15" s="2">
        <v>5.23</v>
      </c>
      <c r="H15" s="3">
        <f t="shared" si="0"/>
        <v>0.5699999999999994</v>
      </c>
      <c r="I15" s="3">
        <f t="shared" si="1"/>
        <v>0.3248999999999993</v>
      </c>
      <c r="J15" s="2">
        <v>4.73320459563333</v>
      </c>
      <c r="K15" s="3">
        <f t="shared" si="2"/>
        <v>1.0667954043666699</v>
      </c>
      <c r="L15" s="3">
        <f t="shared" si="3"/>
        <v>1.1380524347778467</v>
      </c>
      <c r="M15" s="2">
        <v>4.8</v>
      </c>
      <c r="N15" s="3">
        <f t="shared" si="4"/>
        <v>1</v>
      </c>
      <c r="O15" s="3">
        <f t="shared" si="5"/>
        <v>1</v>
      </c>
      <c r="P15" s="2">
        <v>4.8</v>
      </c>
      <c r="Q15" s="3">
        <f t="shared" si="6"/>
        <v>1</v>
      </c>
      <c r="R15" s="3">
        <f t="shared" si="7"/>
        <v>1</v>
      </c>
      <c r="S15" s="2">
        <v>4.9215356742785596</v>
      </c>
      <c r="T15" s="3">
        <f t="shared" si="8"/>
        <v>0.87846432572144018</v>
      </c>
      <c r="U15" s="3">
        <f t="shared" si="9"/>
        <v>0.77169957156522451</v>
      </c>
      <c r="V15" s="77" t="s">
        <v>417</v>
      </c>
    </row>
    <row r="16" spans="1:24" x14ac:dyDescent="0.3">
      <c r="A16" s="1">
        <v>15</v>
      </c>
      <c r="B16" t="s">
        <v>193</v>
      </c>
      <c r="C16" t="s">
        <v>45</v>
      </c>
      <c r="D16" t="s">
        <v>384</v>
      </c>
      <c r="E16" s="27" t="s">
        <v>194</v>
      </c>
      <c r="F16" s="26">
        <v>6.1</v>
      </c>
      <c r="G16" s="2">
        <v>4.95</v>
      </c>
      <c r="H16" s="3">
        <f t="shared" si="0"/>
        <v>1.1499999999999995</v>
      </c>
      <c r="I16" s="3">
        <f t="shared" si="1"/>
        <v>1.3224999999999987</v>
      </c>
      <c r="J16" s="2">
        <v>4.73320459563333</v>
      </c>
      <c r="K16" s="3">
        <f t="shared" si="2"/>
        <v>1.3667954043666697</v>
      </c>
      <c r="L16" s="3">
        <f t="shared" si="3"/>
        <v>1.8681296773978482</v>
      </c>
      <c r="M16" s="2">
        <v>4.78</v>
      </c>
      <c r="N16" s="3">
        <f t="shared" si="4"/>
        <v>1.3199999999999994</v>
      </c>
      <c r="O16" s="3">
        <f t="shared" si="5"/>
        <v>1.7423999999999984</v>
      </c>
      <c r="P16" s="2">
        <v>4.8</v>
      </c>
      <c r="Q16" s="3">
        <f t="shared" si="6"/>
        <v>1.2999999999999998</v>
      </c>
      <c r="R16" s="3">
        <f t="shared" si="7"/>
        <v>1.6899999999999995</v>
      </c>
      <c r="S16" s="2">
        <v>5.0595122594156097</v>
      </c>
      <c r="T16" s="3">
        <f t="shared" si="8"/>
        <v>1.04048774058439</v>
      </c>
      <c r="U16" s="3">
        <f t="shared" si="9"/>
        <v>1.0826147383064089</v>
      </c>
      <c r="V16" s="77" t="s">
        <v>415</v>
      </c>
    </row>
    <row r="17" spans="1:22" x14ac:dyDescent="0.3">
      <c r="A17" s="1">
        <v>16</v>
      </c>
      <c r="B17" t="s">
        <v>193</v>
      </c>
      <c r="C17" t="s">
        <v>45</v>
      </c>
      <c r="D17" t="s">
        <v>384</v>
      </c>
      <c r="E17" s="27" t="s">
        <v>194</v>
      </c>
      <c r="F17" s="26">
        <v>6.4</v>
      </c>
      <c r="G17" s="2">
        <v>4.95</v>
      </c>
      <c r="H17" s="3">
        <f t="shared" si="0"/>
        <v>1.4500000000000002</v>
      </c>
      <c r="I17" s="3">
        <f t="shared" si="1"/>
        <v>2.1025000000000005</v>
      </c>
      <c r="J17" s="2">
        <v>4.73320459563333</v>
      </c>
      <c r="K17" s="3">
        <f t="shared" si="2"/>
        <v>1.6667954043666704</v>
      </c>
      <c r="L17" s="3">
        <f t="shared" si="3"/>
        <v>2.7782069200178521</v>
      </c>
      <c r="M17" s="2">
        <v>4.78</v>
      </c>
      <c r="N17" s="3">
        <f t="shared" si="4"/>
        <v>1.62</v>
      </c>
      <c r="O17" s="3">
        <f t="shared" si="5"/>
        <v>2.6244000000000005</v>
      </c>
      <c r="P17" s="2">
        <v>4.8</v>
      </c>
      <c r="Q17" s="3">
        <f t="shared" si="6"/>
        <v>1.6000000000000005</v>
      </c>
      <c r="R17" s="3">
        <f t="shared" si="7"/>
        <v>2.5600000000000018</v>
      </c>
      <c r="S17" s="2">
        <v>5.0595122594156097</v>
      </c>
      <c r="T17" s="3">
        <f t="shared" si="8"/>
        <v>1.3404877405843907</v>
      </c>
      <c r="U17" s="3">
        <f t="shared" si="9"/>
        <v>1.7969073826570447</v>
      </c>
      <c r="V17" s="77" t="s">
        <v>417</v>
      </c>
    </row>
    <row r="18" spans="1:22" x14ac:dyDescent="0.3">
      <c r="A18" s="1">
        <v>17</v>
      </c>
      <c r="B18" t="s">
        <v>193</v>
      </c>
      <c r="C18" t="s">
        <v>45</v>
      </c>
      <c r="D18" t="s">
        <v>384</v>
      </c>
      <c r="E18" s="27" t="s">
        <v>194</v>
      </c>
      <c r="F18" s="26">
        <v>6.8</v>
      </c>
      <c r="G18" s="2">
        <v>4.95</v>
      </c>
      <c r="H18" s="3">
        <f t="shared" si="0"/>
        <v>1.8499999999999996</v>
      </c>
      <c r="I18" s="3">
        <f t="shared" si="1"/>
        <v>3.4224999999999985</v>
      </c>
      <c r="J18" s="2">
        <v>4.73320459563333</v>
      </c>
      <c r="K18" s="3">
        <f t="shared" si="2"/>
        <v>2.0667954043666699</v>
      </c>
      <c r="L18" s="3">
        <f t="shared" si="3"/>
        <v>4.2716432435111864</v>
      </c>
      <c r="M18" s="2">
        <v>4.78</v>
      </c>
      <c r="N18" s="3">
        <f t="shared" si="4"/>
        <v>2.0199999999999996</v>
      </c>
      <c r="O18" s="3">
        <f t="shared" si="5"/>
        <v>4.0803999999999983</v>
      </c>
      <c r="P18" s="2">
        <v>4.8</v>
      </c>
      <c r="Q18" s="3">
        <f t="shared" si="6"/>
        <v>2</v>
      </c>
      <c r="R18" s="3">
        <f t="shared" si="7"/>
        <v>4</v>
      </c>
      <c r="S18" s="2">
        <v>5.0595122594156097</v>
      </c>
      <c r="T18" s="3">
        <f t="shared" si="8"/>
        <v>1.7404877405843902</v>
      </c>
      <c r="U18" s="3">
        <f t="shared" si="9"/>
        <v>3.0292975751245552</v>
      </c>
      <c r="V18" s="77" t="s">
        <v>415</v>
      </c>
    </row>
    <row r="19" spans="1:22" x14ac:dyDescent="0.3">
      <c r="A19" s="1">
        <v>18</v>
      </c>
      <c r="B19" t="s">
        <v>193</v>
      </c>
      <c r="C19" t="s">
        <v>45</v>
      </c>
      <c r="D19" t="s">
        <v>384</v>
      </c>
      <c r="E19" s="27" t="s">
        <v>194</v>
      </c>
      <c r="F19" s="26">
        <v>7.2</v>
      </c>
      <c r="G19" s="2">
        <v>4.95</v>
      </c>
      <c r="H19" s="3">
        <f t="shared" si="0"/>
        <v>2.25</v>
      </c>
      <c r="I19" s="3">
        <f t="shared" si="1"/>
        <v>5.0625</v>
      </c>
      <c r="J19" s="2">
        <v>4.73320459563333</v>
      </c>
      <c r="K19" s="3">
        <f t="shared" si="2"/>
        <v>2.4667954043666702</v>
      </c>
      <c r="L19" s="3">
        <f t="shared" si="3"/>
        <v>6.0850795670045237</v>
      </c>
      <c r="M19" s="2">
        <v>4.78</v>
      </c>
      <c r="N19" s="3">
        <f t="shared" si="4"/>
        <v>2.42</v>
      </c>
      <c r="O19" s="3">
        <f t="shared" si="5"/>
        <v>5.8563999999999998</v>
      </c>
      <c r="P19" s="2">
        <v>4.8</v>
      </c>
      <c r="Q19" s="3">
        <f t="shared" si="6"/>
        <v>2.4000000000000004</v>
      </c>
      <c r="R19" s="3">
        <f t="shared" si="7"/>
        <v>5.7600000000000016</v>
      </c>
      <c r="S19" s="2">
        <v>5.0595122594156097</v>
      </c>
      <c r="T19" s="3">
        <f t="shared" si="8"/>
        <v>2.1404877405843905</v>
      </c>
      <c r="U19" s="3">
        <f t="shared" si="9"/>
        <v>4.5816877675920686</v>
      </c>
      <c r="V19" s="77" t="s">
        <v>415</v>
      </c>
    </row>
    <row r="20" spans="1:22" x14ac:dyDescent="0.3">
      <c r="A20" s="1">
        <v>19</v>
      </c>
      <c r="B20" t="s">
        <v>195</v>
      </c>
      <c r="C20" t="s">
        <v>45</v>
      </c>
      <c r="D20" t="s">
        <v>384</v>
      </c>
      <c r="E20" s="27" t="s">
        <v>196</v>
      </c>
      <c r="F20" s="26">
        <v>6.17</v>
      </c>
      <c r="G20" s="2">
        <v>4.95</v>
      </c>
      <c r="H20" s="3">
        <f t="shared" si="0"/>
        <v>1.2199999999999998</v>
      </c>
      <c r="I20" s="3">
        <f t="shared" si="1"/>
        <v>1.4883999999999995</v>
      </c>
      <c r="J20" s="2">
        <v>4.73320459563333</v>
      </c>
      <c r="K20" s="3">
        <f t="shared" si="2"/>
        <v>1.43679540436667</v>
      </c>
      <c r="L20" s="3">
        <f t="shared" si="3"/>
        <v>2.0643810340091826</v>
      </c>
      <c r="M20" s="2">
        <v>4.78</v>
      </c>
      <c r="N20" s="3">
        <f t="shared" si="4"/>
        <v>1.3899999999999997</v>
      </c>
      <c r="O20" s="3">
        <f t="shared" si="5"/>
        <v>1.932099999999999</v>
      </c>
      <c r="P20" s="2">
        <v>4.8</v>
      </c>
      <c r="Q20" s="3">
        <f t="shared" si="6"/>
        <v>1.37</v>
      </c>
      <c r="R20" s="3">
        <f t="shared" si="7"/>
        <v>1.8769000000000002</v>
      </c>
      <c r="S20" s="2">
        <v>5.0595122594156097</v>
      </c>
      <c r="T20" s="3">
        <f t="shared" si="8"/>
        <v>1.1104877405843903</v>
      </c>
      <c r="U20" s="3">
        <f t="shared" si="9"/>
        <v>1.233183021988224</v>
      </c>
      <c r="V20" s="77" t="s">
        <v>401</v>
      </c>
    </row>
    <row r="21" spans="1:22" x14ac:dyDescent="0.3">
      <c r="A21" s="1">
        <v>20</v>
      </c>
      <c r="B21" t="s">
        <v>197</v>
      </c>
      <c r="C21" t="s">
        <v>198</v>
      </c>
      <c r="D21" t="s">
        <v>384</v>
      </c>
      <c r="E21" s="27" t="s">
        <v>199</v>
      </c>
      <c r="F21" s="26">
        <v>5.3</v>
      </c>
      <c r="G21" s="2">
        <v>4.95</v>
      </c>
      <c r="H21" s="3">
        <f t="shared" si="0"/>
        <v>0.34999999999999964</v>
      </c>
      <c r="I21" s="3">
        <f t="shared" si="1"/>
        <v>0.12249999999999975</v>
      </c>
      <c r="J21" s="2">
        <v>4.73320459563333</v>
      </c>
      <c r="K21" s="3">
        <f t="shared" si="2"/>
        <v>0.56679540436666986</v>
      </c>
      <c r="L21" s="3">
        <f t="shared" si="3"/>
        <v>0.32125703041117681</v>
      </c>
      <c r="M21" s="2">
        <v>4.8499999999999996</v>
      </c>
      <c r="N21" s="3">
        <f t="shared" si="4"/>
        <v>0.45000000000000018</v>
      </c>
      <c r="O21" s="3">
        <f t="shared" si="5"/>
        <v>0.20250000000000015</v>
      </c>
      <c r="P21" s="2">
        <v>4.8</v>
      </c>
      <c r="Q21" s="3">
        <f t="shared" si="6"/>
        <v>0.5</v>
      </c>
      <c r="R21" s="3">
        <f t="shared" si="7"/>
        <v>0.25</v>
      </c>
      <c r="S21" s="2">
        <v>5.1913926122944902</v>
      </c>
      <c r="T21" s="3">
        <f t="shared" si="8"/>
        <v>0.10860738770550959</v>
      </c>
      <c r="U21" s="3">
        <f t="shared" si="9"/>
        <v>1.1795564664214877E-2</v>
      </c>
      <c r="V21" s="77" t="s">
        <v>415</v>
      </c>
    </row>
    <row r="22" spans="1:22" x14ac:dyDescent="0.3">
      <c r="A22" s="1">
        <v>21</v>
      </c>
      <c r="B22" t="s">
        <v>197</v>
      </c>
      <c r="C22" t="s">
        <v>198</v>
      </c>
      <c r="D22" t="s">
        <v>384</v>
      </c>
      <c r="E22" s="27" t="s">
        <v>200</v>
      </c>
      <c r="F22" s="26">
        <v>6.13</v>
      </c>
      <c r="G22" s="2">
        <v>4.95</v>
      </c>
      <c r="H22" s="3">
        <f t="shared" si="0"/>
        <v>1.1799999999999997</v>
      </c>
      <c r="I22" s="3">
        <f t="shared" si="1"/>
        <v>1.3923999999999994</v>
      </c>
      <c r="J22" s="2">
        <v>4.73320459563333</v>
      </c>
      <c r="K22" s="3">
        <f t="shared" si="2"/>
        <v>1.3967954043666699</v>
      </c>
      <c r="L22" s="3">
        <f t="shared" si="3"/>
        <v>1.9510374016598491</v>
      </c>
      <c r="M22" s="2">
        <v>4.8499999999999996</v>
      </c>
      <c r="N22" s="3">
        <f t="shared" si="4"/>
        <v>1.2800000000000002</v>
      </c>
      <c r="O22" s="3">
        <f t="shared" si="5"/>
        <v>1.6384000000000007</v>
      </c>
      <c r="P22" s="2">
        <v>4.8</v>
      </c>
      <c r="Q22" s="3">
        <f t="shared" si="6"/>
        <v>1.33</v>
      </c>
      <c r="R22" s="3">
        <f t="shared" si="7"/>
        <v>1.7689000000000001</v>
      </c>
      <c r="S22" s="2">
        <v>5.1913926122944902</v>
      </c>
      <c r="T22" s="3">
        <f t="shared" si="8"/>
        <v>0.93860738770550967</v>
      </c>
      <c r="U22" s="3">
        <f t="shared" si="9"/>
        <v>0.88098382825536092</v>
      </c>
      <c r="V22" s="77" t="s">
        <v>401</v>
      </c>
    </row>
    <row r="23" spans="1:22" x14ac:dyDescent="0.3">
      <c r="A23" s="1">
        <v>22</v>
      </c>
      <c r="B23" t="s">
        <v>197</v>
      </c>
      <c r="C23" t="s">
        <v>198</v>
      </c>
      <c r="D23" t="s">
        <v>384</v>
      </c>
      <c r="E23" s="27" t="s">
        <v>199</v>
      </c>
      <c r="F23" s="26">
        <v>6.6</v>
      </c>
      <c r="G23" s="2">
        <v>4.95</v>
      </c>
      <c r="H23" s="3">
        <f t="shared" si="0"/>
        <v>1.6499999999999995</v>
      </c>
      <c r="I23" s="3">
        <f t="shared" si="1"/>
        <v>2.7224999999999984</v>
      </c>
      <c r="J23" s="2">
        <v>4.73320459563333</v>
      </c>
      <c r="K23" s="3">
        <f t="shared" si="2"/>
        <v>1.8667954043666697</v>
      </c>
      <c r="L23" s="3">
        <f t="shared" si="3"/>
        <v>3.4849250817645179</v>
      </c>
      <c r="M23" s="2">
        <v>4.8499999999999996</v>
      </c>
      <c r="N23" s="3">
        <f t="shared" si="4"/>
        <v>1.75</v>
      </c>
      <c r="O23" s="3">
        <f t="shared" si="5"/>
        <v>3.0625</v>
      </c>
      <c r="P23" s="2">
        <v>4.8</v>
      </c>
      <c r="Q23" s="3">
        <f t="shared" si="6"/>
        <v>1.7999999999999998</v>
      </c>
      <c r="R23" s="3">
        <f t="shared" si="7"/>
        <v>3.2399999999999993</v>
      </c>
      <c r="S23" s="2">
        <v>5.1913926122944902</v>
      </c>
      <c r="T23" s="3">
        <f t="shared" si="8"/>
        <v>1.4086073877055094</v>
      </c>
      <c r="U23" s="3">
        <f t="shared" si="9"/>
        <v>1.9841747726985393</v>
      </c>
      <c r="V23" s="77" t="s">
        <v>415</v>
      </c>
    </row>
    <row r="24" spans="1:22" x14ac:dyDescent="0.3">
      <c r="A24" s="1">
        <v>23</v>
      </c>
      <c r="B24" t="s">
        <v>197</v>
      </c>
      <c r="C24" t="s">
        <v>198</v>
      </c>
      <c r="D24" t="s">
        <v>384</v>
      </c>
      <c r="E24" s="27" t="s">
        <v>199</v>
      </c>
      <c r="F24" s="26">
        <v>7</v>
      </c>
      <c r="G24" s="2">
        <v>4.95</v>
      </c>
      <c r="H24" s="3">
        <f t="shared" si="0"/>
        <v>2.0499999999999998</v>
      </c>
      <c r="I24" s="3">
        <f t="shared" si="1"/>
        <v>4.2024999999999997</v>
      </c>
      <c r="J24" s="2">
        <v>4.73320459563333</v>
      </c>
      <c r="K24" s="3">
        <f t="shared" si="2"/>
        <v>2.26679540436667</v>
      </c>
      <c r="L24" s="3">
        <f t="shared" si="3"/>
        <v>5.1383614052578555</v>
      </c>
      <c r="M24" s="2">
        <v>4.8499999999999996</v>
      </c>
      <c r="N24" s="3">
        <f t="shared" si="4"/>
        <v>2.1500000000000004</v>
      </c>
      <c r="O24" s="3">
        <f t="shared" si="5"/>
        <v>4.6225000000000014</v>
      </c>
      <c r="P24" s="2">
        <v>4.8</v>
      </c>
      <c r="Q24" s="3">
        <f t="shared" si="6"/>
        <v>2.2000000000000002</v>
      </c>
      <c r="R24" s="3">
        <f t="shared" si="7"/>
        <v>4.8400000000000007</v>
      </c>
      <c r="S24" s="2">
        <v>5.1913926122944902</v>
      </c>
      <c r="T24" s="3">
        <f t="shared" si="8"/>
        <v>1.8086073877055098</v>
      </c>
      <c r="U24" s="3">
        <f t="shared" si="9"/>
        <v>3.2710606828629483</v>
      </c>
      <c r="V24" s="77" t="s">
        <v>415</v>
      </c>
    </row>
    <row r="25" spans="1:22" x14ac:dyDescent="0.3">
      <c r="A25" s="1">
        <v>24</v>
      </c>
      <c r="B25" t="s">
        <v>197</v>
      </c>
      <c r="C25" t="s">
        <v>198</v>
      </c>
      <c r="D25" t="s">
        <v>384</v>
      </c>
      <c r="E25" s="27" t="s">
        <v>199</v>
      </c>
      <c r="F25" s="26">
        <v>7.07</v>
      </c>
      <c r="G25" s="2">
        <v>4.95</v>
      </c>
      <c r="H25" s="3">
        <f t="shared" si="0"/>
        <v>2.12</v>
      </c>
      <c r="I25" s="3">
        <f t="shared" si="1"/>
        <v>4.4944000000000006</v>
      </c>
      <c r="J25" s="2">
        <v>4.73320459563333</v>
      </c>
      <c r="K25" s="3">
        <f t="shared" si="2"/>
        <v>2.3367954043666703</v>
      </c>
      <c r="L25" s="3">
        <f t="shared" si="3"/>
        <v>5.4606127618691902</v>
      </c>
      <c r="M25" s="2">
        <v>4.8499999999999996</v>
      </c>
      <c r="N25" s="3">
        <f t="shared" si="4"/>
        <v>2.2200000000000006</v>
      </c>
      <c r="O25" s="3">
        <f t="shared" si="5"/>
        <v>4.9284000000000026</v>
      </c>
      <c r="P25" s="2">
        <v>4.8</v>
      </c>
      <c r="Q25" s="3">
        <f t="shared" si="6"/>
        <v>2.2700000000000005</v>
      </c>
      <c r="R25" s="3">
        <f t="shared" si="7"/>
        <v>5.1529000000000025</v>
      </c>
      <c r="S25" s="2">
        <v>5.1913926122944902</v>
      </c>
      <c r="T25" s="3">
        <f t="shared" si="8"/>
        <v>1.8786073877055101</v>
      </c>
      <c r="U25" s="3">
        <f t="shared" si="9"/>
        <v>3.5291657171417206</v>
      </c>
      <c r="V25" s="77" t="s">
        <v>415</v>
      </c>
    </row>
    <row r="26" spans="1:22" x14ac:dyDescent="0.3">
      <c r="A26" s="1">
        <v>25</v>
      </c>
      <c r="B26" t="s">
        <v>197</v>
      </c>
      <c r="C26" t="s">
        <v>198</v>
      </c>
      <c r="D26" t="s">
        <v>384</v>
      </c>
      <c r="E26" s="27" t="s">
        <v>199</v>
      </c>
      <c r="F26" s="26">
        <v>7.5</v>
      </c>
      <c r="G26" s="2">
        <v>4.95</v>
      </c>
      <c r="H26" s="3">
        <f t="shared" si="0"/>
        <v>2.5499999999999998</v>
      </c>
      <c r="I26" s="3">
        <f t="shared" si="1"/>
        <v>6.5024999999999995</v>
      </c>
      <c r="J26" s="2">
        <v>4.73320459563333</v>
      </c>
      <c r="K26" s="3">
        <f t="shared" si="2"/>
        <v>2.76679540436667</v>
      </c>
      <c r="L26" s="3">
        <f t="shared" si="3"/>
        <v>7.6551568096245255</v>
      </c>
      <c r="M26" s="2">
        <v>4.8499999999999996</v>
      </c>
      <c r="N26" s="3">
        <f t="shared" si="4"/>
        <v>2.6500000000000004</v>
      </c>
      <c r="O26" s="3">
        <f t="shared" si="5"/>
        <v>7.0225000000000017</v>
      </c>
      <c r="P26" s="2">
        <v>4.8</v>
      </c>
      <c r="Q26" s="3">
        <f t="shared" si="6"/>
        <v>2.7</v>
      </c>
      <c r="R26" s="3">
        <f t="shared" si="7"/>
        <v>7.2900000000000009</v>
      </c>
      <c r="S26" s="2">
        <v>5.1913926122944902</v>
      </c>
      <c r="T26" s="3">
        <f t="shared" si="8"/>
        <v>2.3086073877055098</v>
      </c>
      <c r="U26" s="3">
        <f t="shared" si="9"/>
        <v>5.3296680705684576</v>
      </c>
      <c r="V26" s="77" t="s">
        <v>415</v>
      </c>
    </row>
    <row r="27" spans="1:22" x14ac:dyDescent="0.3">
      <c r="A27" s="1">
        <v>26</v>
      </c>
      <c r="B27" t="s">
        <v>201</v>
      </c>
      <c r="C27" t="s">
        <v>202</v>
      </c>
      <c r="D27" t="s">
        <v>384</v>
      </c>
      <c r="E27" s="27" t="s">
        <v>203</v>
      </c>
      <c r="F27" s="26">
        <v>6.3</v>
      </c>
      <c r="G27" s="2">
        <v>4.95</v>
      </c>
      <c r="H27" s="3">
        <f t="shared" si="0"/>
        <v>1.3499999999999996</v>
      </c>
      <c r="I27" s="3">
        <f t="shared" si="1"/>
        <v>1.8224999999999991</v>
      </c>
      <c r="J27" s="2">
        <v>4.73320459563333</v>
      </c>
      <c r="K27" s="3">
        <f t="shared" si="2"/>
        <v>1.5667954043666699</v>
      </c>
      <c r="L27" s="3">
        <f t="shared" si="3"/>
        <v>2.4548478391445165</v>
      </c>
      <c r="M27" s="2">
        <v>4.88</v>
      </c>
      <c r="N27" s="3">
        <f t="shared" si="4"/>
        <v>1.42</v>
      </c>
      <c r="O27" s="3">
        <f t="shared" si="5"/>
        <v>2.0164</v>
      </c>
      <c r="P27" s="2">
        <v>4.8</v>
      </c>
      <c r="Q27" s="3">
        <f t="shared" si="6"/>
        <v>1.5</v>
      </c>
      <c r="R27" s="3">
        <f t="shared" si="7"/>
        <v>2.25</v>
      </c>
      <c r="S27" s="2">
        <v>5.1913926122944902</v>
      </c>
      <c r="T27" s="3">
        <f t="shared" si="8"/>
        <v>1.1086073877055096</v>
      </c>
      <c r="U27" s="3">
        <f t="shared" si="9"/>
        <v>1.2290103400752341</v>
      </c>
      <c r="V27" s="77" t="s">
        <v>415</v>
      </c>
    </row>
    <row r="28" spans="1:22" x14ac:dyDescent="0.3">
      <c r="A28" s="1">
        <v>27</v>
      </c>
      <c r="B28" t="s">
        <v>201</v>
      </c>
      <c r="C28" t="s">
        <v>202</v>
      </c>
      <c r="D28" t="s">
        <v>384</v>
      </c>
      <c r="E28" s="27" t="s">
        <v>203</v>
      </c>
      <c r="F28" s="26">
        <v>7.88</v>
      </c>
      <c r="G28" s="2">
        <v>4.95</v>
      </c>
      <c r="H28" s="3">
        <f t="shared" si="0"/>
        <v>2.9299999999999997</v>
      </c>
      <c r="I28" s="3">
        <f t="shared" si="1"/>
        <v>8.5848999999999975</v>
      </c>
      <c r="J28" s="2">
        <v>4.73320459563333</v>
      </c>
      <c r="K28" s="3">
        <f t="shared" si="2"/>
        <v>3.1467954043666699</v>
      </c>
      <c r="L28" s="3">
        <f t="shared" si="3"/>
        <v>9.9023213169431941</v>
      </c>
      <c r="M28" s="2">
        <v>4.88</v>
      </c>
      <c r="N28" s="3">
        <f t="shared" si="4"/>
        <v>3</v>
      </c>
      <c r="O28" s="3">
        <f t="shared" si="5"/>
        <v>9</v>
      </c>
      <c r="P28" s="2">
        <v>4.8</v>
      </c>
      <c r="Q28" s="3">
        <f t="shared" si="6"/>
        <v>3.08</v>
      </c>
      <c r="R28" s="3">
        <f t="shared" si="7"/>
        <v>9.4863999999999997</v>
      </c>
      <c r="S28" s="2">
        <v>5.1913926122944902</v>
      </c>
      <c r="T28" s="3">
        <f t="shared" si="8"/>
        <v>2.6886073877055097</v>
      </c>
      <c r="U28" s="3">
        <f t="shared" si="9"/>
        <v>7.2286096852246446</v>
      </c>
      <c r="V28" s="77" t="s">
        <v>415</v>
      </c>
    </row>
    <row r="29" spans="1:22" x14ac:dyDescent="0.3">
      <c r="A29" s="1">
        <v>28</v>
      </c>
      <c r="B29" t="s">
        <v>201</v>
      </c>
      <c r="C29" t="s">
        <v>202</v>
      </c>
      <c r="D29" t="s">
        <v>384</v>
      </c>
      <c r="E29" s="27" t="s">
        <v>203</v>
      </c>
      <c r="F29" s="26">
        <v>7.9</v>
      </c>
      <c r="G29" s="2">
        <v>4.95</v>
      </c>
      <c r="H29" s="3">
        <f t="shared" si="0"/>
        <v>2.95</v>
      </c>
      <c r="I29" s="3">
        <f t="shared" si="1"/>
        <v>8.7025000000000006</v>
      </c>
      <c r="J29" s="2">
        <v>4.73320459563333</v>
      </c>
      <c r="K29" s="3">
        <f t="shared" si="2"/>
        <v>3.1667954043666704</v>
      </c>
      <c r="L29" s="3">
        <f t="shared" si="3"/>
        <v>10.028593133117864</v>
      </c>
      <c r="M29" s="2">
        <v>4.88</v>
      </c>
      <c r="N29" s="3">
        <f t="shared" si="4"/>
        <v>3.0200000000000005</v>
      </c>
      <c r="O29" s="3">
        <f t="shared" si="5"/>
        <v>9.1204000000000036</v>
      </c>
      <c r="P29" s="2">
        <v>4.8</v>
      </c>
      <c r="Q29" s="3">
        <f t="shared" si="6"/>
        <v>3.1000000000000005</v>
      </c>
      <c r="R29" s="3">
        <f t="shared" si="7"/>
        <v>9.610000000000003</v>
      </c>
      <c r="S29" s="2">
        <v>5.1913926122944902</v>
      </c>
      <c r="T29" s="3">
        <f t="shared" si="8"/>
        <v>2.7086073877055101</v>
      </c>
      <c r="U29" s="3">
        <f t="shared" si="9"/>
        <v>7.3365539807328677</v>
      </c>
      <c r="V29" s="77" t="s">
        <v>415</v>
      </c>
    </row>
    <row r="30" spans="1:22" x14ac:dyDescent="0.3">
      <c r="A30" s="1">
        <v>29</v>
      </c>
      <c r="B30" t="s">
        <v>201</v>
      </c>
      <c r="C30" t="s">
        <v>202</v>
      </c>
      <c r="D30" t="s">
        <v>384</v>
      </c>
      <c r="E30" s="27" t="s">
        <v>203</v>
      </c>
      <c r="F30" s="26">
        <v>8.15</v>
      </c>
      <c r="G30" s="2">
        <v>4.95</v>
      </c>
      <c r="H30" s="3">
        <f t="shared" si="0"/>
        <v>3.2</v>
      </c>
      <c r="I30" s="3">
        <f t="shared" si="1"/>
        <v>10.240000000000002</v>
      </c>
      <c r="J30" s="2">
        <v>4.73320459563333</v>
      </c>
      <c r="K30" s="3">
        <f t="shared" si="2"/>
        <v>3.4167954043666704</v>
      </c>
      <c r="L30" s="3">
        <f t="shared" si="3"/>
        <v>11.674490835301199</v>
      </c>
      <c r="M30" s="2">
        <v>4.88</v>
      </c>
      <c r="N30" s="3">
        <f t="shared" si="4"/>
        <v>3.2700000000000005</v>
      </c>
      <c r="O30" s="3">
        <f t="shared" si="5"/>
        <v>10.692900000000003</v>
      </c>
      <c r="P30" s="2">
        <v>4.8</v>
      </c>
      <c r="Q30" s="3">
        <f t="shared" si="6"/>
        <v>3.3500000000000005</v>
      </c>
      <c r="R30" s="3">
        <f t="shared" si="7"/>
        <v>11.222500000000004</v>
      </c>
      <c r="S30" s="2">
        <v>5.1913926122944902</v>
      </c>
      <c r="T30" s="3">
        <f t="shared" si="8"/>
        <v>2.9586073877055101</v>
      </c>
      <c r="U30" s="3">
        <f t="shared" si="9"/>
        <v>8.7533576745856223</v>
      </c>
      <c r="V30" s="77" t="s">
        <v>415</v>
      </c>
    </row>
    <row r="31" spans="1:22" x14ac:dyDescent="0.3">
      <c r="A31" s="1">
        <v>30</v>
      </c>
      <c r="B31" t="s">
        <v>204</v>
      </c>
      <c r="C31" t="s">
        <v>205</v>
      </c>
      <c r="D31" t="s">
        <v>385</v>
      </c>
      <c r="E31" s="27" t="s">
        <v>206</v>
      </c>
      <c r="F31" s="26">
        <v>6.25</v>
      </c>
      <c r="G31" s="2">
        <v>4.95</v>
      </c>
      <c r="H31" s="3">
        <f t="shared" si="0"/>
        <v>1.2999999999999998</v>
      </c>
      <c r="I31" s="3">
        <f t="shared" si="1"/>
        <v>1.6899999999999995</v>
      </c>
      <c r="J31" s="2">
        <v>4.73320459563333</v>
      </c>
      <c r="K31" s="3">
        <f t="shared" si="2"/>
        <v>1.51679540436667</v>
      </c>
      <c r="L31" s="3">
        <f t="shared" si="3"/>
        <v>2.3006682987078499</v>
      </c>
      <c r="M31" s="2">
        <v>4.93</v>
      </c>
      <c r="N31" s="3">
        <f t="shared" si="4"/>
        <v>1.3200000000000003</v>
      </c>
      <c r="O31" s="3">
        <f t="shared" si="5"/>
        <v>1.7424000000000008</v>
      </c>
      <c r="P31" s="2">
        <v>4.8</v>
      </c>
      <c r="Q31" s="3">
        <f t="shared" si="6"/>
        <v>1.4500000000000002</v>
      </c>
      <c r="R31" s="3">
        <f t="shared" si="7"/>
        <v>2.1025000000000005</v>
      </c>
      <c r="S31" s="2">
        <v>5.1913926122944902</v>
      </c>
      <c r="T31" s="3">
        <f t="shared" si="8"/>
        <v>1.0586073877055098</v>
      </c>
      <c r="U31" s="3">
        <f t="shared" si="9"/>
        <v>1.1206496013046834</v>
      </c>
      <c r="V31" s="77" t="s">
        <v>418</v>
      </c>
    </row>
    <row r="32" spans="1:22" x14ac:dyDescent="0.3">
      <c r="A32" s="1">
        <v>31</v>
      </c>
      <c r="B32" t="s">
        <v>204</v>
      </c>
      <c r="C32" t="s">
        <v>205</v>
      </c>
      <c r="D32" t="s">
        <v>384</v>
      </c>
      <c r="E32" s="27" t="s">
        <v>206</v>
      </c>
      <c r="F32" s="26">
        <v>8.34</v>
      </c>
      <c r="G32" s="2">
        <v>4.95</v>
      </c>
      <c r="H32" s="3">
        <f t="shared" si="0"/>
        <v>3.3899999999999997</v>
      </c>
      <c r="I32" s="3">
        <f t="shared" si="1"/>
        <v>11.492099999999997</v>
      </c>
      <c r="J32" s="2">
        <v>4.73320459563333</v>
      </c>
      <c r="K32" s="3">
        <f t="shared" si="2"/>
        <v>3.6067954043666699</v>
      </c>
      <c r="L32" s="3">
        <f t="shared" si="3"/>
        <v>13.008973088960531</v>
      </c>
      <c r="M32" s="2">
        <v>4.93</v>
      </c>
      <c r="N32" s="3">
        <f t="shared" si="4"/>
        <v>3.41</v>
      </c>
      <c r="O32" s="3">
        <f t="shared" si="5"/>
        <v>11.628100000000002</v>
      </c>
      <c r="P32" s="2">
        <v>4.8</v>
      </c>
      <c r="Q32" s="3">
        <f t="shared" si="6"/>
        <v>3.54</v>
      </c>
      <c r="R32" s="3">
        <f t="shared" si="7"/>
        <v>12.531600000000001</v>
      </c>
      <c r="S32" s="2">
        <v>5.1913926122944902</v>
      </c>
      <c r="T32" s="3">
        <f t="shared" si="8"/>
        <v>3.1486073877055096</v>
      </c>
      <c r="U32" s="3">
        <f t="shared" si="9"/>
        <v>9.9137284819137133</v>
      </c>
      <c r="V32" s="77" t="s">
        <v>415</v>
      </c>
    </row>
    <row r="33" spans="1:22" x14ac:dyDescent="0.3">
      <c r="A33" s="1">
        <v>32</v>
      </c>
      <c r="B33" t="s">
        <v>204</v>
      </c>
      <c r="C33" t="s">
        <v>205</v>
      </c>
      <c r="D33" t="s">
        <v>384</v>
      </c>
      <c r="E33" s="27" t="s">
        <v>206</v>
      </c>
      <c r="F33" s="26">
        <v>8.5</v>
      </c>
      <c r="G33" s="2">
        <v>4.95</v>
      </c>
      <c r="H33" s="3">
        <f t="shared" si="0"/>
        <v>3.55</v>
      </c>
      <c r="I33" s="3">
        <f t="shared" si="1"/>
        <v>12.602499999999999</v>
      </c>
      <c r="J33" s="2">
        <v>4.73320459563333</v>
      </c>
      <c r="K33" s="3">
        <f t="shared" si="2"/>
        <v>3.76679540436667</v>
      </c>
      <c r="L33" s="3">
        <f t="shared" si="3"/>
        <v>14.188747618357866</v>
      </c>
      <c r="M33" s="2">
        <v>4.93</v>
      </c>
      <c r="N33" s="3">
        <f t="shared" si="4"/>
        <v>3.5700000000000003</v>
      </c>
      <c r="O33" s="3">
        <f t="shared" si="5"/>
        <v>12.744900000000001</v>
      </c>
      <c r="P33" s="2">
        <v>4.8</v>
      </c>
      <c r="Q33" s="3">
        <f t="shared" si="6"/>
        <v>3.7</v>
      </c>
      <c r="R33" s="3">
        <f t="shared" si="7"/>
        <v>13.690000000000001</v>
      </c>
      <c r="S33" s="2">
        <v>5.1913926122944902</v>
      </c>
      <c r="T33" s="3">
        <f t="shared" si="8"/>
        <v>3.3086073877055098</v>
      </c>
      <c r="U33" s="3">
        <f t="shared" si="9"/>
        <v>10.946882845979477</v>
      </c>
      <c r="V33" s="77" t="s">
        <v>415</v>
      </c>
    </row>
    <row r="34" spans="1:22" x14ac:dyDescent="0.3">
      <c r="A34" s="1">
        <v>33</v>
      </c>
      <c r="B34" t="s">
        <v>204</v>
      </c>
      <c r="C34" t="s">
        <v>205</v>
      </c>
      <c r="D34" t="s">
        <v>384</v>
      </c>
      <c r="E34" s="27" t="s">
        <v>206</v>
      </c>
      <c r="F34" s="26">
        <v>8.6999999999999993</v>
      </c>
      <c r="G34" s="2">
        <v>4.95</v>
      </c>
      <c r="H34" s="3">
        <f t="shared" si="0"/>
        <v>3.7499999999999991</v>
      </c>
      <c r="I34" s="3">
        <f t="shared" si="1"/>
        <v>14.062499999999993</v>
      </c>
      <c r="J34" s="2">
        <v>4.73320459563333</v>
      </c>
      <c r="K34" s="3">
        <f t="shared" si="2"/>
        <v>3.9667954043666693</v>
      </c>
      <c r="L34" s="3">
        <f t="shared" si="3"/>
        <v>15.735465780104528</v>
      </c>
      <c r="M34" s="2">
        <v>4.93</v>
      </c>
      <c r="N34" s="3">
        <f t="shared" si="4"/>
        <v>3.7699999999999996</v>
      </c>
      <c r="O34" s="3">
        <f t="shared" si="5"/>
        <v>14.212899999999998</v>
      </c>
      <c r="P34" s="2">
        <v>4.8</v>
      </c>
      <c r="Q34" s="3">
        <f t="shared" si="6"/>
        <v>3.8999999999999995</v>
      </c>
      <c r="R34" s="3">
        <f t="shared" si="7"/>
        <v>15.209999999999996</v>
      </c>
      <c r="S34" s="2">
        <v>5.1913926122944902</v>
      </c>
      <c r="T34" s="3">
        <f t="shared" si="8"/>
        <v>3.5086073877055091</v>
      </c>
      <c r="U34" s="3">
        <f t="shared" si="9"/>
        <v>12.310325801061676</v>
      </c>
      <c r="V34" s="77" t="s">
        <v>415</v>
      </c>
    </row>
    <row r="35" spans="1:22" x14ac:dyDescent="0.3">
      <c r="A35" s="1">
        <v>34</v>
      </c>
      <c r="B35" t="s">
        <v>204</v>
      </c>
      <c r="C35" t="s">
        <v>205</v>
      </c>
      <c r="D35" t="s">
        <v>384</v>
      </c>
      <c r="E35" s="27" t="s">
        <v>206</v>
      </c>
      <c r="F35" s="26">
        <v>9.6999999999999993</v>
      </c>
      <c r="G35" s="2">
        <v>4.95</v>
      </c>
      <c r="H35" s="3">
        <f t="shared" si="0"/>
        <v>4.7499999999999991</v>
      </c>
      <c r="I35" s="3">
        <f t="shared" si="1"/>
        <v>22.562499999999993</v>
      </c>
      <c r="J35" s="2">
        <v>4.73320459563333</v>
      </c>
      <c r="K35" s="3">
        <f t="shared" si="2"/>
        <v>4.9667954043666693</v>
      </c>
      <c r="L35" s="3">
        <f t="shared" si="3"/>
        <v>24.669056588837865</v>
      </c>
      <c r="M35" s="2">
        <v>4.93</v>
      </c>
      <c r="N35" s="3">
        <f t="shared" si="4"/>
        <v>4.7699999999999996</v>
      </c>
      <c r="O35" s="3">
        <f t="shared" si="5"/>
        <v>22.752899999999997</v>
      </c>
      <c r="P35" s="2">
        <v>4.8</v>
      </c>
      <c r="Q35" s="3">
        <f t="shared" si="6"/>
        <v>4.8999999999999995</v>
      </c>
      <c r="R35" s="3">
        <f t="shared" si="7"/>
        <v>24.009999999999994</v>
      </c>
      <c r="S35" s="2">
        <v>5.1913926122944902</v>
      </c>
      <c r="T35" s="3">
        <f t="shared" si="8"/>
        <v>4.5086073877055091</v>
      </c>
      <c r="U35" s="3">
        <f t="shared" si="9"/>
        <v>20.327540576472696</v>
      </c>
      <c r="V35" s="77" t="s">
        <v>415</v>
      </c>
    </row>
    <row r="36" spans="1:22" x14ac:dyDescent="0.3">
      <c r="A36" s="1">
        <v>35</v>
      </c>
      <c r="B36" t="s">
        <v>207</v>
      </c>
      <c r="C36" t="s">
        <v>208</v>
      </c>
      <c r="D36" t="s">
        <v>386</v>
      </c>
      <c r="E36" s="27" t="s">
        <v>209</v>
      </c>
      <c r="F36" s="26">
        <v>6.93</v>
      </c>
      <c r="G36" s="2">
        <v>4.95</v>
      </c>
      <c r="H36" s="3">
        <f t="shared" si="0"/>
        <v>1.9799999999999995</v>
      </c>
      <c r="I36" s="3">
        <f t="shared" si="1"/>
        <v>3.9203999999999981</v>
      </c>
      <c r="J36" s="2">
        <v>4.73320459563333</v>
      </c>
      <c r="K36" s="3">
        <f t="shared" si="2"/>
        <v>2.1967954043666698</v>
      </c>
      <c r="L36" s="3">
        <f t="shared" si="3"/>
        <v>4.8259100486465201</v>
      </c>
      <c r="M36" s="2">
        <v>4.9800000000000004</v>
      </c>
      <c r="N36" s="3">
        <f t="shared" si="4"/>
        <v>1.9499999999999993</v>
      </c>
      <c r="O36" s="3">
        <f t="shared" si="5"/>
        <v>3.8024999999999971</v>
      </c>
      <c r="P36" s="2">
        <v>4.8</v>
      </c>
      <c r="Q36" s="3">
        <f t="shared" si="6"/>
        <v>2.13</v>
      </c>
      <c r="R36" s="3">
        <f t="shared" si="7"/>
        <v>4.5368999999999993</v>
      </c>
      <c r="S36" s="2">
        <v>5.1913926122944902</v>
      </c>
      <c r="T36" s="3">
        <f t="shared" si="8"/>
        <v>1.7386073877055095</v>
      </c>
      <c r="U36" s="3">
        <f t="shared" si="9"/>
        <v>3.0227556485841758</v>
      </c>
      <c r="V36" s="77" t="s">
        <v>418</v>
      </c>
    </row>
    <row r="37" spans="1:22" x14ac:dyDescent="0.3">
      <c r="A37" s="1">
        <v>36</v>
      </c>
      <c r="B37" t="s">
        <v>207</v>
      </c>
      <c r="C37" t="s">
        <v>208</v>
      </c>
      <c r="D37" t="s">
        <v>384</v>
      </c>
      <c r="E37" s="27" t="s">
        <v>209</v>
      </c>
      <c r="F37" s="26">
        <v>8</v>
      </c>
      <c r="G37" s="2">
        <v>4.95</v>
      </c>
      <c r="H37" s="3">
        <f t="shared" si="0"/>
        <v>3.05</v>
      </c>
      <c r="I37" s="3">
        <f t="shared" si="1"/>
        <v>9.3024999999999984</v>
      </c>
      <c r="J37" s="2">
        <v>4.73320459563333</v>
      </c>
      <c r="K37" s="3">
        <f t="shared" si="2"/>
        <v>3.26679540436667</v>
      </c>
      <c r="L37" s="3">
        <f t="shared" si="3"/>
        <v>10.671952213991196</v>
      </c>
      <c r="M37" s="2">
        <v>4.9800000000000004</v>
      </c>
      <c r="N37" s="3">
        <f t="shared" si="4"/>
        <v>3.0199999999999996</v>
      </c>
      <c r="O37" s="3">
        <f t="shared" si="5"/>
        <v>9.1203999999999983</v>
      </c>
      <c r="P37" s="2">
        <v>4.8</v>
      </c>
      <c r="Q37" s="3">
        <f t="shared" si="6"/>
        <v>3.2</v>
      </c>
      <c r="R37" s="3">
        <f t="shared" si="7"/>
        <v>10.240000000000002</v>
      </c>
      <c r="S37" s="2">
        <v>5.1913926122944902</v>
      </c>
      <c r="T37" s="3">
        <f t="shared" si="8"/>
        <v>2.8086073877055098</v>
      </c>
      <c r="U37" s="3">
        <f t="shared" si="9"/>
        <v>7.8882754582739674</v>
      </c>
      <c r="V37" s="77" t="s">
        <v>415</v>
      </c>
    </row>
    <row r="38" spans="1:22" x14ac:dyDescent="0.3">
      <c r="A38" s="1">
        <v>37</v>
      </c>
      <c r="B38" t="s">
        <v>207</v>
      </c>
      <c r="C38" t="s">
        <v>208</v>
      </c>
      <c r="D38" t="s">
        <v>384</v>
      </c>
      <c r="E38" s="27" t="s">
        <v>209</v>
      </c>
      <c r="F38" s="26">
        <v>8.5500000000000007</v>
      </c>
      <c r="G38" s="2">
        <v>4.95</v>
      </c>
      <c r="H38" s="3">
        <f t="shared" si="0"/>
        <v>3.6000000000000005</v>
      </c>
      <c r="I38" s="3">
        <f t="shared" si="1"/>
        <v>12.960000000000004</v>
      </c>
      <c r="J38" s="2">
        <v>4.73320459563333</v>
      </c>
      <c r="K38" s="3">
        <f t="shared" si="2"/>
        <v>3.8167954043666708</v>
      </c>
      <c r="L38" s="3">
        <f t="shared" si="3"/>
        <v>14.567927158794538</v>
      </c>
      <c r="M38" s="2">
        <v>4.9800000000000004</v>
      </c>
      <c r="N38" s="3">
        <f t="shared" si="4"/>
        <v>3.5700000000000003</v>
      </c>
      <c r="O38" s="3">
        <f t="shared" si="5"/>
        <v>12.744900000000001</v>
      </c>
      <c r="P38" s="2">
        <v>4.8</v>
      </c>
      <c r="Q38" s="3">
        <f t="shared" si="6"/>
        <v>3.7500000000000009</v>
      </c>
      <c r="R38" s="3">
        <f t="shared" si="7"/>
        <v>14.062500000000007</v>
      </c>
      <c r="S38" s="2">
        <v>5.1913926122944902</v>
      </c>
      <c r="T38" s="3">
        <f t="shared" si="8"/>
        <v>3.3586073877055105</v>
      </c>
      <c r="U38" s="3">
        <f t="shared" si="9"/>
        <v>11.280243584750034</v>
      </c>
      <c r="V38" s="77" t="s">
        <v>415</v>
      </c>
    </row>
    <row r="39" spans="1:22" x14ac:dyDescent="0.3">
      <c r="A39" s="1">
        <v>38</v>
      </c>
      <c r="B39" t="s">
        <v>207</v>
      </c>
      <c r="C39" t="s">
        <v>208</v>
      </c>
      <c r="D39" t="s">
        <v>384</v>
      </c>
      <c r="E39" s="27" t="s">
        <v>209</v>
      </c>
      <c r="F39" s="26">
        <v>9.5</v>
      </c>
      <c r="G39" s="2">
        <v>4.95</v>
      </c>
      <c r="H39" s="3">
        <f t="shared" si="0"/>
        <v>4.55</v>
      </c>
      <c r="I39" s="3">
        <f t="shared" si="1"/>
        <v>20.702499999999997</v>
      </c>
      <c r="J39" s="2">
        <v>4.73320459563333</v>
      </c>
      <c r="K39" s="3">
        <f t="shared" si="2"/>
        <v>4.76679540436667</v>
      </c>
      <c r="L39" s="3">
        <f t="shared" si="3"/>
        <v>22.722338427091206</v>
      </c>
      <c r="M39" s="2">
        <v>4.9800000000000004</v>
      </c>
      <c r="N39" s="3">
        <f t="shared" si="4"/>
        <v>4.5199999999999996</v>
      </c>
      <c r="O39" s="3">
        <f t="shared" si="5"/>
        <v>20.430399999999995</v>
      </c>
      <c r="P39" s="2">
        <v>4.8</v>
      </c>
      <c r="Q39" s="3">
        <f t="shared" si="6"/>
        <v>4.7</v>
      </c>
      <c r="R39" s="3">
        <f t="shared" si="7"/>
        <v>22.090000000000003</v>
      </c>
      <c r="S39" s="2">
        <v>5.1913926122944902</v>
      </c>
      <c r="T39" s="3">
        <f t="shared" si="8"/>
        <v>4.3086073877055098</v>
      </c>
      <c r="U39" s="3">
        <f t="shared" si="9"/>
        <v>18.564097621390498</v>
      </c>
      <c r="V39" s="77" t="s">
        <v>415</v>
      </c>
    </row>
    <row r="40" spans="1:22" x14ac:dyDescent="0.3">
      <c r="A40" s="1">
        <v>39</v>
      </c>
      <c r="B40" t="s">
        <v>207</v>
      </c>
      <c r="C40" t="s">
        <v>208</v>
      </c>
      <c r="D40" t="s">
        <v>384</v>
      </c>
      <c r="E40" s="27" t="s">
        <v>209</v>
      </c>
      <c r="F40" s="26">
        <v>9.89</v>
      </c>
      <c r="G40" s="2">
        <v>4.95</v>
      </c>
      <c r="H40" s="3">
        <f t="shared" si="0"/>
        <v>4.9400000000000004</v>
      </c>
      <c r="I40" s="3">
        <f t="shared" si="1"/>
        <v>24.403600000000004</v>
      </c>
      <c r="J40" s="2">
        <v>4.73320459563333</v>
      </c>
      <c r="K40" s="3">
        <f t="shared" si="2"/>
        <v>5.1567954043666706</v>
      </c>
      <c r="L40" s="3">
        <f t="shared" si="3"/>
        <v>26.592538842497213</v>
      </c>
      <c r="M40" s="2">
        <v>4.9800000000000004</v>
      </c>
      <c r="N40" s="3">
        <f t="shared" si="4"/>
        <v>4.91</v>
      </c>
      <c r="O40" s="3">
        <f t="shared" si="5"/>
        <v>24.1081</v>
      </c>
      <c r="P40" s="2">
        <v>4.8</v>
      </c>
      <c r="Q40" s="3">
        <f t="shared" si="6"/>
        <v>5.0900000000000007</v>
      </c>
      <c r="R40" s="3">
        <f t="shared" si="7"/>
        <v>25.908100000000008</v>
      </c>
      <c r="S40" s="2">
        <v>5.1913926122944902</v>
      </c>
      <c r="T40" s="3">
        <f t="shared" si="8"/>
        <v>4.6986073877055103</v>
      </c>
      <c r="U40" s="3">
        <f t="shared" si="9"/>
        <v>22.076911383800798</v>
      </c>
      <c r="V40" s="77" t="s">
        <v>415</v>
      </c>
    </row>
    <row r="41" spans="1:22" x14ac:dyDescent="0.3">
      <c r="A41" s="1">
        <v>40</v>
      </c>
      <c r="B41" t="s">
        <v>207</v>
      </c>
      <c r="C41" t="s">
        <v>208</v>
      </c>
      <c r="D41" t="s">
        <v>384</v>
      </c>
      <c r="E41" s="27" t="s">
        <v>209</v>
      </c>
      <c r="F41" s="26">
        <v>10.199999999999999</v>
      </c>
      <c r="G41" s="2">
        <v>4.95</v>
      </c>
      <c r="H41" s="3">
        <f t="shared" si="0"/>
        <v>5.2499999999999991</v>
      </c>
      <c r="I41" s="3">
        <f t="shared" si="1"/>
        <v>27.562499999999989</v>
      </c>
      <c r="J41" s="2">
        <v>4.73320459563333</v>
      </c>
      <c r="K41" s="3">
        <f t="shared" si="2"/>
        <v>5.4667954043666693</v>
      </c>
      <c r="L41" s="3">
        <f t="shared" si="3"/>
        <v>29.885851993204536</v>
      </c>
      <c r="M41" s="2">
        <v>4.9800000000000004</v>
      </c>
      <c r="N41" s="3">
        <f t="shared" si="4"/>
        <v>5.2199999999999989</v>
      </c>
      <c r="O41" s="3">
        <f t="shared" si="5"/>
        <v>27.24839999999999</v>
      </c>
      <c r="P41" s="2">
        <v>4.8</v>
      </c>
      <c r="Q41" s="3">
        <f t="shared" si="6"/>
        <v>5.3999999999999995</v>
      </c>
      <c r="R41" s="3">
        <f t="shared" si="7"/>
        <v>29.159999999999993</v>
      </c>
      <c r="S41" s="2">
        <v>5.1913926122944902</v>
      </c>
      <c r="T41" s="3">
        <f t="shared" si="8"/>
        <v>5.0086073877055091</v>
      </c>
      <c r="U41" s="3">
        <f t="shared" si="9"/>
        <v>25.086147964178203</v>
      </c>
      <c r="V41" s="77" t="s">
        <v>415</v>
      </c>
    </row>
    <row r="42" spans="1:22" x14ac:dyDescent="0.3">
      <c r="A42" s="1">
        <v>41</v>
      </c>
      <c r="B42" t="s">
        <v>207</v>
      </c>
      <c r="C42" t="s">
        <v>208</v>
      </c>
      <c r="D42" t="s">
        <v>384</v>
      </c>
      <c r="E42" s="27" t="s">
        <v>209</v>
      </c>
      <c r="F42" s="26">
        <v>10.15</v>
      </c>
      <c r="G42" s="2">
        <v>4.95</v>
      </c>
      <c r="H42" s="3">
        <f t="shared" si="0"/>
        <v>5.2</v>
      </c>
      <c r="I42" s="3">
        <f t="shared" si="1"/>
        <v>27.040000000000003</v>
      </c>
      <c r="J42" s="2">
        <v>4.73320459563333</v>
      </c>
      <c r="K42" s="3">
        <f t="shared" si="2"/>
        <v>5.4167954043666704</v>
      </c>
      <c r="L42" s="3">
        <f t="shared" si="3"/>
        <v>29.341672452767881</v>
      </c>
      <c r="M42" s="2">
        <v>4.9800000000000004</v>
      </c>
      <c r="N42" s="3">
        <f t="shared" si="4"/>
        <v>5.17</v>
      </c>
      <c r="O42" s="3">
        <f t="shared" si="5"/>
        <v>26.728899999999999</v>
      </c>
      <c r="P42" s="2">
        <v>4.8</v>
      </c>
      <c r="Q42" s="3">
        <f t="shared" si="6"/>
        <v>5.3500000000000005</v>
      </c>
      <c r="R42" s="3">
        <f t="shared" si="7"/>
        <v>28.622500000000006</v>
      </c>
      <c r="S42" s="2">
        <v>5.1913926122944902</v>
      </c>
      <c r="T42" s="3">
        <f t="shared" si="8"/>
        <v>4.9586073877055101</v>
      </c>
      <c r="U42" s="3">
        <f t="shared" si="9"/>
        <v>24.587787225407663</v>
      </c>
      <c r="V42" s="77" t="s">
        <v>419</v>
      </c>
    </row>
    <row r="43" spans="1:22" x14ac:dyDescent="0.3">
      <c r="A43" s="1">
        <v>42</v>
      </c>
      <c r="B43" t="s">
        <v>210</v>
      </c>
      <c r="C43" t="s">
        <v>211</v>
      </c>
      <c r="D43" t="s">
        <v>386</v>
      </c>
      <c r="E43" s="27" t="s">
        <v>212</v>
      </c>
      <c r="F43" s="26">
        <v>7.28</v>
      </c>
      <c r="G43" s="2">
        <v>4.95</v>
      </c>
      <c r="H43" s="3">
        <f t="shared" si="0"/>
        <v>2.33</v>
      </c>
      <c r="I43" s="3">
        <f t="shared" si="1"/>
        <v>5.4289000000000005</v>
      </c>
      <c r="J43" s="2">
        <v>4.73320459563333</v>
      </c>
      <c r="K43" s="3">
        <f t="shared" si="2"/>
        <v>2.5467954043666703</v>
      </c>
      <c r="L43" s="3">
        <f t="shared" si="3"/>
        <v>6.4861668317031915</v>
      </c>
      <c r="M43" s="2">
        <v>5.04</v>
      </c>
      <c r="N43" s="3">
        <f t="shared" si="4"/>
        <v>2.2400000000000002</v>
      </c>
      <c r="O43" s="3">
        <f t="shared" si="5"/>
        <v>5.0176000000000007</v>
      </c>
      <c r="P43" s="2">
        <v>4.8</v>
      </c>
      <c r="Q43" s="3">
        <f t="shared" si="6"/>
        <v>2.4800000000000004</v>
      </c>
      <c r="R43" s="3">
        <f t="shared" si="7"/>
        <v>6.1504000000000021</v>
      </c>
      <c r="S43" s="2">
        <v>5.1913926122944902</v>
      </c>
      <c r="T43" s="3">
        <f t="shared" si="8"/>
        <v>2.08860738770551</v>
      </c>
      <c r="U43" s="3">
        <f t="shared" si="9"/>
        <v>4.362280819978035</v>
      </c>
      <c r="V43" s="77" t="s">
        <v>418</v>
      </c>
    </row>
    <row r="44" spans="1:22" x14ac:dyDescent="0.3">
      <c r="A44" s="1">
        <v>43</v>
      </c>
      <c r="B44" t="s">
        <v>210</v>
      </c>
      <c r="C44" t="s">
        <v>211</v>
      </c>
      <c r="D44" t="s">
        <v>384</v>
      </c>
      <c r="E44" s="27" t="s">
        <v>212</v>
      </c>
      <c r="F44" s="26">
        <v>9.82</v>
      </c>
      <c r="G44" s="2">
        <v>4.95</v>
      </c>
      <c r="H44" s="3">
        <f t="shared" si="0"/>
        <v>4.87</v>
      </c>
      <c r="I44" s="3">
        <f t="shared" si="1"/>
        <v>23.716900000000003</v>
      </c>
      <c r="J44" s="2">
        <v>4.73320459563333</v>
      </c>
      <c r="K44" s="3">
        <f t="shared" si="2"/>
        <v>5.0867954043666703</v>
      </c>
      <c r="L44" s="3">
        <f t="shared" si="3"/>
        <v>25.875487485885877</v>
      </c>
      <c r="M44" s="2">
        <v>5.04</v>
      </c>
      <c r="N44" s="3">
        <f t="shared" si="4"/>
        <v>4.78</v>
      </c>
      <c r="O44" s="3">
        <f t="shared" si="5"/>
        <v>22.848400000000002</v>
      </c>
      <c r="P44" s="2">
        <v>4.8</v>
      </c>
      <c r="Q44" s="3">
        <f t="shared" si="6"/>
        <v>5.0200000000000005</v>
      </c>
      <c r="R44" s="3">
        <f t="shared" si="7"/>
        <v>25.200400000000005</v>
      </c>
      <c r="S44" s="2">
        <v>5.1913926122944902</v>
      </c>
      <c r="T44" s="3">
        <f t="shared" si="8"/>
        <v>4.6286073877055101</v>
      </c>
      <c r="U44" s="3">
        <f t="shared" si="9"/>
        <v>21.424006349522028</v>
      </c>
      <c r="V44" s="77" t="s">
        <v>416</v>
      </c>
    </row>
    <row r="45" spans="1:22" s="9" customFormat="1" x14ac:dyDescent="0.3">
      <c r="A45" s="1">
        <v>44</v>
      </c>
      <c r="B45" s="9" t="s">
        <v>210</v>
      </c>
      <c r="C45" s="9" t="s">
        <v>211</v>
      </c>
      <c r="D45" s="9" t="s">
        <v>384</v>
      </c>
      <c r="E45" s="28" t="s">
        <v>212</v>
      </c>
      <c r="F45" s="33">
        <v>11</v>
      </c>
      <c r="G45" s="5">
        <v>4.95</v>
      </c>
      <c r="H45" s="6">
        <f t="shared" si="0"/>
        <v>6.05</v>
      </c>
      <c r="I45" s="6">
        <f t="shared" si="1"/>
        <v>36.602499999999999</v>
      </c>
      <c r="J45" s="5">
        <v>4.73320459563333</v>
      </c>
      <c r="K45" s="6">
        <f t="shared" si="2"/>
        <v>6.26679540436667</v>
      </c>
      <c r="L45" s="6">
        <f t="shared" si="3"/>
        <v>39.272724640191214</v>
      </c>
      <c r="M45" s="5">
        <v>5.04</v>
      </c>
      <c r="N45" s="6">
        <f t="shared" si="4"/>
        <v>5.96</v>
      </c>
      <c r="O45" s="6">
        <f t="shared" si="5"/>
        <v>35.521599999999999</v>
      </c>
      <c r="P45" s="5">
        <v>4.8</v>
      </c>
      <c r="Q45" s="6">
        <f t="shared" si="6"/>
        <v>6.2</v>
      </c>
      <c r="R45" s="6">
        <f t="shared" si="7"/>
        <v>38.440000000000005</v>
      </c>
      <c r="S45" s="5">
        <v>5.1913926122944902</v>
      </c>
      <c r="T45" s="6">
        <f t="shared" si="8"/>
        <v>5.8086073877055098</v>
      </c>
      <c r="U45" s="6">
        <f t="shared" si="9"/>
        <v>33.739919784507023</v>
      </c>
      <c r="V45" s="77" t="s">
        <v>415</v>
      </c>
    </row>
    <row r="47" spans="1:22" x14ac:dyDescent="0.3">
      <c r="G47" t="s">
        <v>96</v>
      </c>
      <c r="H47" s="3">
        <f>AVERAGE(H2:H45)</f>
        <v>2.0741926466839242</v>
      </c>
      <c r="I47" s="3">
        <f>SQRT(SUM(I2:I45)/44)</f>
        <v>2.6914536121158181</v>
      </c>
      <c r="J47" s="3"/>
      <c r="K47" s="3">
        <f>AVERAGE(K2:K45)</f>
        <v>2.208337090699362</v>
      </c>
      <c r="L47" s="3">
        <f>SQRT(SUM(L2:L45)/44)</f>
        <v>2.8577324302674203</v>
      </c>
      <c r="M47" s="3"/>
      <c r="N47" s="3">
        <f>AVERAGE(N2:N45)</f>
        <v>2.106564238871893</v>
      </c>
      <c r="O47" s="3">
        <f>SQRT(SUM(O2:O45)/44)</f>
        <v>2.7111818437944342</v>
      </c>
      <c r="P47" s="3"/>
      <c r="Q47" s="3">
        <f>AVERAGE(Q2:Q45)</f>
        <v>2.1647460570537116</v>
      </c>
      <c r="R47" s="3">
        <f>SQRT(SUM(R2:R45)/44)</f>
        <v>2.8072271831409394</v>
      </c>
      <c r="S47" s="3"/>
      <c r="T47" s="3">
        <f>AVERAGE(T2:T45)</f>
        <v>1.9397036313531932</v>
      </c>
      <c r="U47" s="3">
        <f>SQRT(SUM(U2:U45)/44)</f>
        <v>2.5316357236842251</v>
      </c>
    </row>
    <row r="48" spans="1:22" x14ac:dyDescent="0.3">
      <c r="D48" t="s">
        <v>213</v>
      </c>
    </row>
    <row r="49" spans="4:21" x14ac:dyDescent="0.3">
      <c r="D49" t="s">
        <v>214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1" spans="4:21" x14ac:dyDescent="0.3">
      <c r="D51" t="s">
        <v>215</v>
      </c>
    </row>
    <row r="52" spans="4:21" x14ac:dyDescent="0.3">
      <c r="D52" t="s">
        <v>216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2DFC1-1F43-49E3-84B7-BE7100F693A5}">
  <dimension ref="A1:V42"/>
  <sheetViews>
    <sheetView workbookViewId="0"/>
  </sheetViews>
  <sheetFormatPr defaultRowHeight="14.4" x14ac:dyDescent="0.3"/>
  <cols>
    <col min="1" max="3" width="8.88671875" style="22"/>
    <col min="4" max="4" width="26.44140625" style="22" customWidth="1"/>
    <col min="5" max="5" width="8.88671875" style="22"/>
    <col min="6" max="6" width="12.88671875" style="22" customWidth="1"/>
    <col min="7" max="7" width="11" style="22" customWidth="1"/>
    <col min="8" max="8" width="9.5546875" style="22" customWidth="1"/>
    <col min="9" max="9" width="8.88671875" style="22"/>
    <col min="10" max="10" width="12" style="22" customWidth="1"/>
    <col min="11" max="11" width="10.5546875" style="22" customWidth="1"/>
    <col min="12" max="12" width="11.6640625" style="22" customWidth="1"/>
    <col min="13" max="13" width="12" style="22" customWidth="1"/>
    <col min="14" max="14" width="10.5546875" style="22" customWidth="1"/>
    <col min="15" max="15" width="11.33203125" style="22" customWidth="1"/>
    <col min="16" max="16" width="12" style="22" customWidth="1"/>
    <col min="17" max="17" width="10.5546875" style="22" customWidth="1"/>
    <col min="18" max="18" width="9.109375" style="22"/>
    <col min="19" max="19" width="12" style="22" customWidth="1"/>
    <col min="20" max="21" width="10.5546875" style="22" customWidth="1"/>
  </cols>
  <sheetData>
    <row r="1" spans="1:22" x14ac:dyDescent="0.3">
      <c r="A1" s="22" t="s">
        <v>1</v>
      </c>
      <c r="B1" s="22" t="s">
        <v>109</v>
      </c>
      <c r="C1" s="22" t="s">
        <v>176</v>
      </c>
      <c r="D1" s="34" t="s">
        <v>250</v>
      </c>
      <c r="E1" s="34" t="s">
        <v>6</v>
      </c>
      <c r="F1" s="2" t="s">
        <v>7</v>
      </c>
      <c r="G1" t="s">
        <v>485</v>
      </c>
      <c r="H1" t="s">
        <v>486</v>
      </c>
      <c r="I1" s="2" t="s">
        <v>8</v>
      </c>
      <c r="J1" s="3" t="s">
        <v>477</v>
      </c>
      <c r="K1" s="3" t="s">
        <v>478</v>
      </c>
      <c r="L1" s="2" t="s">
        <v>9</v>
      </c>
      <c r="M1" s="3" t="s">
        <v>479</v>
      </c>
      <c r="N1" s="3" t="s">
        <v>480</v>
      </c>
      <c r="O1" s="2" t="s">
        <v>10</v>
      </c>
      <c r="P1" s="3" t="s">
        <v>481</v>
      </c>
      <c r="Q1" s="3" t="s">
        <v>482</v>
      </c>
      <c r="R1" s="2" t="s">
        <v>11</v>
      </c>
      <c r="S1" s="3" t="s">
        <v>483</v>
      </c>
      <c r="T1" s="3" t="s">
        <v>484</v>
      </c>
      <c r="U1" s="22" t="s">
        <v>270</v>
      </c>
      <c r="V1" s="22" t="s">
        <v>387</v>
      </c>
    </row>
    <row r="2" spans="1:22" x14ac:dyDescent="0.3">
      <c r="A2" s="23">
        <v>1</v>
      </c>
      <c r="B2" s="23" t="s">
        <v>272</v>
      </c>
      <c r="C2" s="23" t="s">
        <v>100</v>
      </c>
      <c r="D2" s="31" t="s">
        <v>273</v>
      </c>
      <c r="E2" s="26">
        <v>15.2</v>
      </c>
      <c r="F2" s="1">
        <v>15.78</v>
      </c>
      <c r="G2" s="24">
        <f>ABS(E2-F2)</f>
        <v>0.58000000000000007</v>
      </c>
      <c r="H2" s="24">
        <f>G2^2</f>
        <v>0.33640000000000009</v>
      </c>
      <c r="I2" s="1">
        <v>15.73</v>
      </c>
      <c r="J2" s="24">
        <f>ABS(E2-I2)</f>
        <v>0.53000000000000114</v>
      </c>
      <c r="K2" s="24">
        <f>J2^2</f>
        <v>0.2809000000000012</v>
      </c>
      <c r="L2" s="1">
        <v>10.199999999999999</v>
      </c>
      <c r="M2" s="24">
        <f>ABS(E2-L2)</f>
        <v>5</v>
      </c>
      <c r="N2" s="24">
        <f>M2^2</f>
        <v>25</v>
      </c>
      <c r="O2" s="1">
        <v>13.9</v>
      </c>
      <c r="P2" s="24">
        <f>ABS(E2-O2)</f>
        <v>1.2999999999999989</v>
      </c>
      <c r="Q2" s="24">
        <f>P2^2</f>
        <v>1.6899999999999973</v>
      </c>
      <c r="R2" s="1">
        <v>10.291</v>
      </c>
      <c r="S2" s="24">
        <f>ABS(E2-R2)</f>
        <v>4.9089999999999989</v>
      </c>
      <c r="T2" s="24">
        <f>S2^2</f>
        <v>24.098280999999989</v>
      </c>
      <c r="U2" s="23" t="s">
        <v>271</v>
      </c>
      <c r="V2" s="24" t="s">
        <v>422</v>
      </c>
    </row>
    <row r="3" spans="1:22" x14ac:dyDescent="0.3">
      <c r="A3" s="23">
        <v>2</v>
      </c>
      <c r="B3" s="23" t="s">
        <v>272</v>
      </c>
      <c r="C3" s="23" t="s">
        <v>100</v>
      </c>
      <c r="D3" s="31" t="s">
        <v>273</v>
      </c>
      <c r="E3" s="26">
        <v>15.54</v>
      </c>
      <c r="F3" s="1">
        <v>15.78</v>
      </c>
      <c r="G3" s="24">
        <f t="shared" ref="G3:G40" si="0">ABS(E3-F3)</f>
        <v>0.24000000000000021</v>
      </c>
      <c r="H3" s="24">
        <f t="shared" ref="H3:H40" si="1">G3^2</f>
        <v>5.7600000000000103E-2</v>
      </c>
      <c r="I3" s="1">
        <v>15.73</v>
      </c>
      <c r="J3" s="24">
        <f t="shared" ref="J3:J40" si="2">ABS(E3-I3)</f>
        <v>0.19000000000000128</v>
      </c>
      <c r="K3" s="24">
        <f t="shared" ref="K3:K40" si="3">J3^2</f>
        <v>3.6100000000000486E-2</v>
      </c>
      <c r="L3" s="1">
        <v>10.199999999999999</v>
      </c>
      <c r="M3" s="24">
        <f t="shared" ref="M3:M40" si="4">ABS(E3-L3)</f>
        <v>5.34</v>
      </c>
      <c r="N3" s="24">
        <f t="shared" ref="N3:N40" si="5">M3^2</f>
        <v>28.515599999999999</v>
      </c>
      <c r="O3" s="1">
        <v>13.9</v>
      </c>
      <c r="P3" s="24">
        <f>ABS(E3-O3)</f>
        <v>1.6399999999999988</v>
      </c>
      <c r="Q3" s="24">
        <f>P3^2</f>
        <v>2.689599999999996</v>
      </c>
      <c r="R3" s="1">
        <v>10.291</v>
      </c>
      <c r="S3" s="24">
        <f t="shared" ref="S3:S40" si="6">ABS(E3-R3)</f>
        <v>5.2489999999999988</v>
      </c>
      <c r="T3" s="24">
        <f t="shared" ref="T3:T40" si="7">S3^2</f>
        <v>27.552000999999986</v>
      </c>
      <c r="U3" s="23" t="s">
        <v>274</v>
      </c>
      <c r="V3" s="24" t="s">
        <v>423</v>
      </c>
    </row>
    <row r="4" spans="1:22" s="1" customFormat="1" x14ac:dyDescent="0.3">
      <c r="A4" s="23">
        <v>3</v>
      </c>
      <c r="B4" s="1" t="s">
        <v>272</v>
      </c>
      <c r="C4" s="23" t="s">
        <v>100</v>
      </c>
      <c r="D4" s="31" t="s">
        <v>276</v>
      </c>
      <c r="E4" s="31">
        <v>15.54</v>
      </c>
      <c r="F4" s="1">
        <v>15.78</v>
      </c>
      <c r="G4" s="2">
        <f t="shared" si="0"/>
        <v>0.24000000000000021</v>
      </c>
      <c r="H4" s="2">
        <f t="shared" si="1"/>
        <v>5.7600000000000103E-2</v>
      </c>
      <c r="I4" s="1">
        <v>15.73</v>
      </c>
      <c r="J4" s="2">
        <f t="shared" si="2"/>
        <v>0.19000000000000128</v>
      </c>
      <c r="K4" s="2">
        <f t="shared" si="3"/>
        <v>3.6100000000000486E-2</v>
      </c>
      <c r="L4" s="1">
        <v>10.199999999999999</v>
      </c>
      <c r="M4" s="2">
        <f t="shared" si="4"/>
        <v>5.34</v>
      </c>
      <c r="N4" s="2">
        <f t="shared" si="5"/>
        <v>28.515599999999999</v>
      </c>
      <c r="O4" s="1">
        <v>13.9</v>
      </c>
      <c r="P4" s="2">
        <f t="shared" ref="P4:P21" si="8">ABS(E4-O4)</f>
        <v>1.6399999999999988</v>
      </c>
      <c r="Q4" s="2">
        <f t="shared" ref="Q4:Q21" si="9">P4^2</f>
        <v>2.689599999999996</v>
      </c>
      <c r="R4" s="1">
        <v>10.291</v>
      </c>
      <c r="S4" s="2">
        <f t="shared" si="6"/>
        <v>5.2489999999999988</v>
      </c>
      <c r="T4" s="2">
        <f t="shared" si="7"/>
        <v>27.552000999999986</v>
      </c>
      <c r="U4" s="1" t="s">
        <v>275</v>
      </c>
      <c r="V4" s="24" t="s">
        <v>424</v>
      </c>
    </row>
    <row r="5" spans="1:22" x14ac:dyDescent="0.3">
      <c r="A5" s="23">
        <v>4</v>
      </c>
      <c r="B5" s="23" t="s">
        <v>277</v>
      </c>
      <c r="C5" s="23" t="s">
        <v>101</v>
      </c>
      <c r="D5" s="31" t="s">
        <v>278</v>
      </c>
      <c r="E5" s="26">
        <v>15.9</v>
      </c>
      <c r="F5" s="1">
        <v>16.47</v>
      </c>
      <c r="G5" s="24">
        <f t="shared" si="0"/>
        <v>0.56999999999999851</v>
      </c>
      <c r="H5" s="24">
        <f t="shared" si="1"/>
        <v>0.3248999999999983</v>
      </c>
      <c r="I5" s="1">
        <v>15.75</v>
      </c>
      <c r="J5" s="24">
        <f t="shared" si="2"/>
        <v>0.15000000000000036</v>
      </c>
      <c r="K5" s="24">
        <f t="shared" si="3"/>
        <v>2.2500000000000107E-2</v>
      </c>
      <c r="L5" s="1">
        <v>9.7899999999999991</v>
      </c>
      <c r="M5" s="24">
        <f t="shared" si="4"/>
        <v>6.1100000000000012</v>
      </c>
      <c r="N5" s="24">
        <f t="shared" si="5"/>
        <v>37.332100000000018</v>
      </c>
      <c r="O5" s="1">
        <v>13.9</v>
      </c>
      <c r="P5" s="24">
        <f t="shared" si="8"/>
        <v>2</v>
      </c>
      <c r="Q5" s="24">
        <f t="shared" si="9"/>
        <v>4</v>
      </c>
      <c r="R5" s="1">
        <v>12.314</v>
      </c>
      <c r="S5" s="24">
        <f t="shared" si="6"/>
        <v>3.5860000000000003</v>
      </c>
      <c r="T5" s="24">
        <f t="shared" si="7"/>
        <v>12.859396000000002</v>
      </c>
      <c r="U5" s="23" t="s">
        <v>274</v>
      </c>
      <c r="V5" s="24" t="s">
        <v>423</v>
      </c>
    </row>
    <row r="6" spans="1:22" x14ac:dyDescent="0.3">
      <c r="A6" s="23">
        <v>5</v>
      </c>
      <c r="B6" s="23" t="s">
        <v>277</v>
      </c>
      <c r="C6" s="23" t="s">
        <v>101</v>
      </c>
      <c r="D6" s="31" t="s">
        <v>278</v>
      </c>
      <c r="E6" s="26">
        <v>15.93</v>
      </c>
      <c r="F6" s="1">
        <v>16.47</v>
      </c>
      <c r="G6" s="24">
        <f t="shared" si="0"/>
        <v>0.53999999999999915</v>
      </c>
      <c r="H6" s="24">
        <f t="shared" si="1"/>
        <v>0.29159999999999908</v>
      </c>
      <c r="I6" s="1">
        <v>15.75</v>
      </c>
      <c r="J6" s="24">
        <f t="shared" si="2"/>
        <v>0.17999999999999972</v>
      </c>
      <c r="K6" s="24">
        <f t="shared" si="3"/>
        <v>3.2399999999999901E-2</v>
      </c>
      <c r="L6" s="1">
        <v>9.7899999999999991</v>
      </c>
      <c r="M6" s="24">
        <f t="shared" si="4"/>
        <v>6.1400000000000006</v>
      </c>
      <c r="N6" s="24">
        <f t="shared" si="5"/>
        <v>37.699600000000004</v>
      </c>
      <c r="O6" s="1">
        <v>13.9</v>
      </c>
      <c r="P6" s="24">
        <f t="shared" si="8"/>
        <v>2.0299999999999994</v>
      </c>
      <c r="Q6" s="24">
        <f t="shared" si="9"/>
        <v>4.1208999999999971</v>
      </c>
      <c r="R6" s="1">
        <v>12.314</v>
      </c>
      <c r="S6" s="24">
        <f t="shared" si="6"/>
        <v>3.6159999999999997</v>
      </c>
      <c r="T6" s="24">
        <f t="shared" si="7"/>
        <v>13.075455999999997</v>
      </c>
      <c r="U6" s="23" t="s">
        <v>271</v>
      </c>
      <c r="V6" s="24" t="s">
        <v>422</v>
      </c>
    </row>
    <row r="7" spans="1:22" x14ac:dyDescent="0.3">
      <c r="A7" s="23">
        <v>6</v>
      </c>
      <c r="B7" s="23" t="s">
        <v>279</v>
      </c>
      <c r="C7" s="23" t="s">
        <v>102</v>
      </c>
      <c r="D7" s="31" t="s">
        <v>280</v>
      </c>
      <c r="E7" s="26">
        <v>15.1</v>
      </c>
      <c r="F7" s="1">
        <v>16.850000000000001</v>
      </c>
      <c r="G7" s="24">
        <f t="shared" si="0"/>
        <v>1.7500000000000018</v>
      </c>
      <c r="H7" s="24">
        <f t="shared" si="1"/>
        <v>3.0625000000000062</v>
      </c>
      <c r="I7" s="1">
        <v>15.75</v>
      </c>
      <c r="J7" s="24">
        <f t="shared" si="2"/>
        <v>0.65000000000000036</v>
      </c>
      <c r="K7" s="24">
        <f t="shared" si="3"/>
        <v>0.42250000000000049</v>
      </c>
      <c r="L7" s="1">
        <v>9.6300000000000008</v>
      </c>
      <c r="M7" s="24">
        <f t="shared" si="4"/>
        <v>5.4699999999999989</v>
      </c>
      <c r="N7" s="24">
        <f t="shared" si="5"/>
        <v>29.920899999999989</v>
      </c>
      <c r="O7" s="1">
        <v>13.9</v>
      </c>
      <c r="P7" s="24">
        <f t="shared" si="8"/>
        <v>1.1999999999999993</v>
      </c>
      <c r="Q7" s="24">
        <f t="shared" si="9"/>
        <v>1.4399999999999984</v>
      </c>
      <c r="R7" s="1">
        <v>13.000999999999999</v>
      </c>
      <c r="S7" s="24">
        <f t="shared" si="6"/>
        <v>2.0990000000000002</v>
      </c>
      <c r="T7" s="24">
        <f t="shared" si="7"/>
        <v>4.4058010000000012</v>
      </c>
      <c r="U7" s="23" t="s">
        <v>271</v>
      </c>
      <c r="V7" s="24" t="s">
        <v>422</v>
      </c>
    </row>
    <row r="8" spans="1:22" x14ac:dyDescent="0.3">
      <c r="A8" s="23">
        <v>7</v>
      </c>
      <c r="B8" s="23" t="s">
        <v>279</v>
      </c>
      <c r="C8" s="23" t="s">
        <v>102</v>
      </c>
      <c r="D8" s="31" t="s">
        <v>280</v>
      </c>
      <c r="E8" s="26">
        <v>16.190000000000001</v>
      </c>
      <c r="F8" s="1">
        <v>16.850000000000001</v>
      </c>
      <c r="G8" s="24">
        <f t="shared" si="0"/>
        <v>0.66000000000000014</v>
      </c>
      <c r="H8" s="24">
        <f t="shared" si="1"/>
        <v>0.43560000000000021</v>
      </c>
      <c r="I8" s="1">
        <v>15.75</v>
      </c>
      <c r="J8" s="24">
        <f t="shared" si="2"/>
        <v>0.44000000000000128</v>
      </c>
      <c r="K8" s="24">
        <f t="shared" si="3"/>
        <v>0.19360000000000113</v>
      </c>
      <c r="L8" s="1">
        <v>9.6300000000000008</v>
      </c>
      <c r="M8" s="24">
        <f t="shared" si="4"/>
        <v>6.5600000000000005</v>
      </c>
      <c r="N8" s="24">
        <f t="shared" si="5"/>
        <v>43.033600000000007</v>
      </c>
      <c r="O8" s="1">
        <v>13.9</v>
      </c>
      <c r="P8" s="24">
        <f t="shared" si="8"/>
        <v>2.2900000000000009</v>
      </c>
      <c r="Q8" s="24">
        <f t="shared" si="9"/>
        <v>5.244100000000004</v>
      </c>
      <c r="R8" s="1">
        <v>13.000999999999999</v>
      </c>
      <c r="S8" s="24">
        <f t="shared" si="6"/>
        <v>3.1890000000000018</v>
      </c>
      <c r="T8" s="24">
        <f t="shared" si="7"/>
        <v>10.169721000000012</v>
      </c>
      <c r="U8" s="23" t="s">
        <v>274</v>
      </c>
      <c r="V8" s="24" t="s">
        <v>423</v>
      </c>
    </row>
    <row r="9" spans="1:22" x14ac:dyDescent="0.3">
      <c r="A9" s="23">
        <v>8</v>
      </c>
      <c r="B9" s="22" t="s">
        <v>281</v>
      </c>
      <c r="C9" s="23" t="s">
        <v>102</v>
      </c>
      <c r="D9" s="34" t="s">
        <v>282</v>
      </c>
      <c r="E9" s="34">
        <v>16.5</v>
      </c>
      <c r="F9" s="1">
        <v>16.850000000000001</v>
      </c>
      <c r="G9" s="24">
        <f t="shared" si="0"/>
        <v>0.35000000000000142</v>
      </c>
      <c r="H9" s="24">
        <f t="shared" si="1"/>
        <v>0.122500000000001</v>
      </c>
      <c r="I9" s="1">
        <v>15.75</v>
      </c>
      <c r="J9" s="24">
        <f t="shared" si="2"/>
        <v>0.75</v>
      </c>
      <c r="K9" s="24">
        <f t="shared" si="3"/>
        <v>0.5625</v>
      </c>
      <c r="L9" s="1">
        <v>9.6300000000000008</v>
      </c>
      <c r="M9" s="24">
        <f t="shared" si="4"/>
        <v>6.8699999999999992</v>
      </c>
      <c r="N9" s="24">
        <f t="shared" si="5"/>
        <v>47.196899999999992</v>
      </c>
      <c r="O9" s="1">
        <v>13.9</v>
      </c>
      <c r="P9" s="24">
        <f t="shared" si="8"/>
        <v>2.5999999999999996</v>
      </c>
      <c r="Q9" s="24">
        <f t="shared" si="9"/>
        <v>6.759999999999998</v>
      </c>
      <c r="R9" s="22">
        <v>13.000999999999999</v>
      </c>
      <c r="S9" s="24">
        <f t="shared" si="6"/>
        <v>3.4990000000000006</v>
      </c>
      <c r="T9" s="24">
        <f t="shared" si="7"/>
        <v>12.243001000000003</v>
      </c>
      <c r="U9" s="22" t="s">
        <v>275</v>
      </c>
      <c r="V9" s="24" t="s">
        <v>424</v>
      </c>
    </row>
    <row r="10" spans="1:22" x14ac:dyDescent="0.3">
      <c r="A10" s="23">
        <v>9</v>
      </c>
      <c r="B10" s="23" t="s">
        <v>283</v>
      </c>
      <c r="C10" s="23" t="s">
        <v>101</v>
      </c>
      <c r="D10" s="31" t="s">
        <v>284</v>
      </c>
      <c r="E10" s="26">
        <v>15.7</v>
      </c>
      <c r="F10" s="1">
        <v>17.260000000000002</v>
      </c>
      <c r="G10" s="24">
        <f t="shared" si="0"/>
        <v>1.5600000000000023</v>
      </c>
      <c r="H10" s="24">
        <f t="shared" si="1"/>
        <v>2.4336000000000073</v>
      </c>
      <c r="I10" s="1">
        <v>17.600000000000001</v>
      </c>
      <c r="J10" s="24">
        <f t="shared" si="2"/>
        <v>1.9000000000000021</v>
      </c>
      <c r="K10" s="24">
        <f t="shared" si="3"/>
        <v>3.6100000000000083</v>
      </c>
      <c r="L10" s="1">
        <v>10.039999999999999</v>
      </c>
      <c r="M10" s="24">
        <f t="shared" si="4"/>
        <v>5.66</v>
      </c>
      <c r="N10" s="24">
        <f t="shared" si="5"/>
        <v>32.035600000000002</v>
      </c>
      <c r="O10" s="1">
        <v>13.9</v>
      </c>
      <c r="P10" s="24">
        <f t="shared" si="8"/>
        <v>1.7999999999999989</v>
      </c>
      <c r="Q10" s="24">
        <f t="shared" si="9"/>
        <v>3.2399999999999962</v>
      </c>
      <c r="R10" s="1">
        <v>11.683</v>
      </c>
      <c r="S10" s="24">
        <f t="shared" si="6"/>
        <v>4.0169999999999995</v>
      </c>
      <c r="T10" s="24">
        <f t="shared" si="7"/>
        <v>16.136288999999994</v>
      </c>
      <c r="U10" s="23" t="s">
        <v>271</v>
      </c>
      <c r="V10" s="24" t="s">
        <v>422</v>
      </c>
    </row>
    <row r="11" spans="1:22" x14ac:dyDescent="0.3">
      <c r="A11" s="23">
        <v>10</v>
      </c>
      <c r="B11" s="22" t="s">
        <v>283</v>
      </c>
      <c r="C11" s="23" t="s">
        <v>101</v>
      </c>
      <c r="D11" s="31" t="s">
        <v>284</v>
      </c>
      <c r="E11" s="26">
        <v>16.100000000000001</v>
      </c>
      <c r="F11" s="1">
        <v>17.260000000000002</v>
      </c>
      <c r="G11" s="24">
        <f t="shared" si="0"/>
        <v>1.1600000000000001</v>
      </c>
      <c r="H11" s="24">
        <f t="shared" si="1"/>
        <v>1.3456000000000004</v>
      </c>
      <c r="I11" s="1">
        <v>17.600000000000001</v>
      </c>
      <c r="J11" s="24">
        <f t="shared" si="2"/>
        <v>1.5</v>
      </c>
      <c r="K11" s="24">
        <f t="shared" si="3"/>
        <v>2.25</v>
      </c>
      <c r="L11" s="1">
        <v>10.039999999999999</v>
      </c>
      <c r="M11" s="24">
        <f t="shared" si="4"/>
        <v>6.0600000000000023</v>
      </c>
      <c r="N11" s="24">
        <f t="shared" si="5"/>
        <v>36.723600000000026</v>
      </c>
      <c r="O11" s="1">
        <v>13.9</v>
      </c>
      <c r="P11" s="24">
        <f t="shared" si="8"/>
        <v>2.2000000000000011</v>
      </c>
      <c r="Q11" s="24">
        <f t="shared" si="9"/>
        <v>4.8400000000000043</v>
      </c>
      <c r="R11" s="22">
        <v>11.683</v>
      </c>
      <c r="S11" s="24">
        <f t="shared" si="6"/>
        <v>4.4170000000000016</v>
      </c>
      <c r="T11" s="24">
        <f t="shared" si="7"/>
        <v>19.509889000000015</v>
      </c>
      <c r="U11" s="22" t="s">
        <v>274</v>
      </c>
      <c r="V11" s="24" t="s">
        <v>423</v>
      </c>
    </row>
    <row r="12" spans="1:22" x14ac:dyDescent="0.3">
      <c r="A12" s="23">
        <v>11</v>
      </c>
      <c r="B12" s="23" t="s">
        <v>285</v>
      </c>
      <c r="C12" s="23" t="s">
        <v>103</v>
      </c>
      <c r="D12" s="31" t="s">
        <v>286</v>
      </c>
      <c r="E12" s="26">
        <v>15.9</v>
      </c>
      <c r="F12" s="1">
        <v>16.95</v>
      </c>
      <c r="G12" s="24">
        <f t="shared" si="0"/>
        <v>1.0499999999999989</v>
      </c>
      <c r="H12" s="24">
        <f t="shared" si="1"/>
        <v>1.1024999999999978</v>
      </c>
      <c r="I12" s="1">
        <v>15.75</v>
      </c>
      <c r="J12" s="24">
        <f t="shared" si="2"/>
        <v>0.15000000000000036</v>
      </c>
      <c r="K12" s="24">
        <f t="shared" si="3"/>
        <v>2.2500000000000107E-2</v>
      </c>
      <c r="L12" s="1">
        <v>9.65</v>
      </c>
      <c r="M12" s="24">
        <f t="shared" si="4"/>
        <v>6.25</v>
      </c>
      <c r="N12" s="24">
        <f t="shared" si="5"/>
        <v>39.0625</v>
      </c>
      <c r="O12" s="1">
        <v>13.9</v>
      </c>
      <c r="P12" s="24">
        <f t="shared" si="8"/>
        <v>2</v>
      </c>
      <c r="Q12" s="24">
        <f t="shared" si="9"/>
        <v>4</v>
      </c>
      <c r="R12" s="1">
        <v>12.724</v>
      </c>
      <c r="S12" s="24">
        <f t="shared" si="6"/>
        <v>3.1760000000000002</v>
      </c>
      <c r="T12" s="24">
        <f t="shared" si="7"/>
        <v>10.086976000000002</v>
      </c>
      <c r="U12" s="23" t="s">
        <v>271</v>
      </c>
      <c r="V12" s="24" t="s">
        <v>422</v>
      </c>
    </row>
    <row r="13" spans="1:22" x14ac:dyDescent="0.3">
      <c r="A13" s="23">
        <v>12</v>
      </c>
      <c r="B13" s="23" t="s">
        <v>285</v>
      </c>
      <c r="C13" s="23" t="s">
        <v>103</v>
      </c>
      <c r="D13" s="31" t="s">
        <v>286</v>
      </c>
      <c r="E13" s="26">
        <v>16.100000000000001</v>
      </c>
      <c r="F13" s="1">
        <v>16.95</v>
      </c>
      <c r="G13" s="24">
        <f t="shared" si="0"/>
        <v>0.84999999999999787</v>
      </c>
      <c r="H13" s="24">
        <f t="shared" si="1"/>
        <v>0.72249999999999637</v>
      </c>
      <c r="I13" s="1">
        <v>15.75</v>
      </c>
      <c r="J13" s="24">
        <f t="shared" si="2"/>
        <v>0.35000000000000142</v>
      </c>
      <c r="K13" s="24">
        <f t="shared" si="3"/>
        <v>0.122500000000001</v>
      </c>
      <c r="L13" s="1">
        <v>9.65</v>
      </c>
      <c r="M13" s="24">
        <f t="shared" si="4"/>
        <v>6.4500000000000011</v>
      </c>
      <c r="N13" s="24">
        <f t="shared" si="5"/>
        <v>41.602500000000013</v>
      </c>
      <c r="O13" s="1">
        <v>13.9</v>
      </c>
      <c r="P13" s="24">
        <f t="shared" si="8"/>
        <v>2.2000000000000011</v>
      </c>
      <c r="Q13" s="24">
        <f t="shared" si="9"/>
        <v>4.8400000000000043</v>
      </c>
      <c r="R13" s="1">
        <v>12.724</v>
      </c>
      <c r="S13" s="24">
        <f t="shared" si="6"/>
        <v>3.3760000000000012</v>
      </c>
      <c r="T13" s="24">
        <f t="shared" si="7"/>
        <v>11.397376000000008</v>
      </c>
      <c r="U13" s="22" t="s">
        <v>287</v>
      </c>
      <c r="V13" s="24" t="s">
        <v>425</v>
      </c>
    </row>
    <row r="14" spans="1:22" x14ac:dyDescent="0.3">
      <c r="A14" s="23">
        <v>13</v>
      </c>
      <c r="B14" s="23" t="s">
        <v>288</v>
      </c>
      <c r="C14" s="23" t="s">
        <v>102</v>
      </c>
      <c r="D14" s="31" t="s">
        <v>289</v>
      </c>
      <c r="E14" s="26">
        <v>16.8</v>
      </c>
      <c r="F14" s="1">
        <v>17.690000000000001</v>
      </c>
      <c r="G14" s="24">
        <f t="shared" si="0"/>
        <v>0.89000000000000057</v>
      </c>
      <c r="H14" s="24">
        <f t="shared" si="1"/>
        <v>0.79210000000000103</v>
      </c>
      <c r="I14" s="1">
        <v>17.600000000000001</v>
      </c>
      <c r="J14" s="24">
        <f t="shared" si="2"/>
        <v>0.80000000000000071</v>
      </c>
      <c r="K14" s="24">
        <f t="shared" si="3"/>
        <v>0.64000000000000112</v>
      </c>
      <c r="L14" s="1">
        <v>9.9700000000000006</v>
      </c>
      <c r="M14" s="24">
        <f t="shared" si="4"/>
        <v>6.83</v>
      </c>
      <c r="N14" s="24">
        <f t="shared" si="5"/>
        <v>46.648899999999998</v>
      </c>
      <c r="O14" s="1">
        <v>13.9</v>
      </c>
      <c r="P14" s="24">
        <f t="shared" si="8"/>
        <v>2.9000000000000004</v>
      </c>
      <c r="Q14" s="24">
        <f t="shared" si="9"/>
        <v>8.4100000000000019</v>
      </c>
      <c r="R14" s="1">
        <v>11.778</v>
      </c>
      <c r="S14" s="24">
        <f t="shared" si="6"/>
        <v>5.0220000000000002</v>
      </c>
      <c r="T14" s="24">
        <f t="shared" si="7"/>
        <v>25.220484000000003</v>
      </c>
      <c r="U14" s="23" t="s">
        <v>271</v>
      </c>
      <c r="V14" s="24" t="s">
        <v>422</v>
      </c>
    </row>
    <row r="15" spans="1:22" x14ac:dyDescent="0.3">
      <c r="A15" s="23">
        <v>14</v>
      </c>
      <c r="B15" s="23" t="s">
        <v>290</v>
      </c>
      <c r="C15" s="23" t="s">
        <v>102</v>
      </c>
      <c r="D15" s="31" t="s">
        <v>291</v>
      </c>
      <c r="E15" s="26">
        <v>15.95</v>
      </c>
      <c r="F15" s="1">
        <v>17.329999999999998</v>
      </c>
      <c r="G15" s="24">
        <f t="shared" si="0"/>
        <v>1.379999999999999</v>
      </c>
      <c r="H15" s="24">
        <f t="shared" si="1"/>
        <v>1.9043999999999972</v>
      </c>
      <c r="I15" s="1">
        <v>15.75</v>
      </c>
      <c r="J15" s="24">
        <f t="shared" si="2"/>
        <v>0.19999999999999929</v>
      </c>
      <c r="K15" s="24">
        <f t="shared" si="3"/>
        <v>3.9999999999999716E-2</v>
      </c>
      <c r="L15" s="1">
        <v>10.25</v>
      </c>
      <c r="M15" s="24">
        <f t="shared" si="4"/>
        <v>5.6999999999999993</v>
      </c>
      <c r="N15" s="24">
        <f t="shared" si="5"/>
        <v>32.489999999999995</v>
      </c>
      <c r="O15" s="1">
        <v>13.9</v>
      </c>
      <c r="P15" s="24">
        <f t="shared" si="8"/>
        <v>2.0499999999999989</v>
      </c>
      <c r="Q15" s="24">
        <f t="shared" si="9"/>
        <v>4.2024999999999952</v>
      </c>
      <c r="R15" s="1">
        <v>12.87</v>
      </c>
      <c r="S15" s="24">
        <f t="shared" si="6"/>
        <v>3.08</v>
      </c>
      <c r="T15" s="24">
        <f t="shared" si="7"/>
        <v>9.4863999999999997</v>
      </c>
      <c r="U15" s="23" t="s">
        <v>271</v>
      </c>
      <c r="V15" s="24" t="s">
        <v>422</v>
      </c>
    </row>
    <row r="16" spans="1:22" x14ac:dyDescent="0.3">
      <c r="A16" s="23">
        <v>15</v>
      </c>
      <c r="B16" s="23" t="s">
        <v>292</v>
      </c>
      <c r="C16" s="23" t="s">
        <v>101</v>
      </c>
      <c r="D16" s="31" t="s">
        <v>293</v>
      </c>
      <c r="E16" s="26">
        <v>15</v>
      </c>
      <c r="F16" s="1">
        <v>18.09</v>
      </c>
      <c r="G16" s="24">
        <f t="shared" si="0"/>
        <v>3.09</v>
      </c>
      <c r="H16" s="24">
        <f t="shared" si="1"/>
        <v>9.5480999999999998</v>
      </c>
      <c r="I16" s="1">
        <v>19.2</v>
      </c>
      <c r="J16" s="24">
        <f t="shared" si="2"/>
        <v>4.1999999999999993</v>
      </c>
      <c r="K16" s="24">
        <f t="shared" si="3"/>
        <v>17.639999999999993</v>
      </c>
      <c r="L16" s="1">
        <v>10.69</v>
      </c>
      <c r="M16" s="24">
        <f t="shared" si="4"/>
        <v>4.3100000000000005</v>
      </c>
      <c r="N16" s="24">
        <f t="shared" si="5"/>
        <v>18.576100000000004</v>
      </c>
      <c r="O16" s="1">
        <v>14</v>
      </c>
      <c r="P16" s="24">
        <f t="shared" si="8"/>
        <v>1</v>
      </c>
      <c r="Q16" s="24">
        <f t="shared" si="9"/>
        <v>1</v>
      </c>
      <c r="R16" s="1">
        <v>12.135999999999999</v>
      </c>
      <c r="S16" s="24">
        <f t="shared" si="6"/>
        <v>2.8640000000000008</v>
      </c>
      <c r="T16" s="24">
        <f t="shared" si="7"/>
        <v>8.2024960000000036</v>
      </c>
      <c r="U16" s="23" t="s">
        <v>271</v>
      </c>
      <c r="V16" s="24" t="s">
        <v>422</v>
      </c>
    </row>
    <row r="17" spans="1:22" x14ac:dyDescent="0.3">
      <c r="A17" s="23">
        <v>16</v>
      </c>
      <c r="B17" s="22" t="s">
        <v>292</v>
      </c>
      <c r="C17" s="23" t="s">
        <v>101</v>
      </c>
      <c r="D17" s="31" t="s">
        <v>293</v>
      </c>
      <c r="E17" s="26">
        <v>17.100000000000001</v>
      </c>
      <c r="F17" s="1">
        <v>18.09</v>
      </c>
      <c r="G17" s="24">
        <f t="shared" si="0"/>
        <v>0.98999999999999844</v>
      </c>
      <c r="H17" s="24">
        <f t="shared" si="1"/>
        <v>0.98009999999999686</v>
      </c>
      <c r="I17" s="1">
        <v>19.2</v>
      </c>
      <c r="J17" s="24">
        <f t="shared" si="2"/>
        <v>2.0999999999999979</v>
      </c>
      <c r="K17" s="24">
        <f t="shared" si="3"/>
        <v>4.4099999999999913</v>
      </c>
      <c r="L17" s="1">
        <v>10.69</v>
      </c>
      <c r="M17" s="24">
        <f t="shared" si="4"/>
        <v>6.4100000000000019</v>
      </c>
      <c r="N17" s="24">
        <f t="shared" si="5"/>
        <v>41.088100000000026</v>
      </c>
      <c r="O17" s="1">
        <v>14</v>
      </c>
      <c r="P17" s="24">
        <f t="shared" si="8"/>
        <v>3.1000000000000014</v>
      </c>
      <c r="Q17" s="24">
        <f t="shared" si="9"/>
        <v>9.6100000000000083</v>
      </c>
      <c r="R17" s="22">
        <v>12.135999999999999</v>
      </c>
      <c r="S17" s="24">
        <f t="shared" si="6"/>
        <v>4.9640000000000022</v>
      </c>
      <c r="T17" s="24">
        <f t="shared" si="7"/>
        <v>24.641296000000022</v>
      </c>
      <c r="U17" s="22" t="s">
        <v>274</v>
      </c>
      <c r="V17" s="24" t="s">
        <v>423</v>
      </c>
    </row>
    <row r="18" spans="1:22" x14ac:dyDescent="0.3">
      <c r="A18" s="23">
        <v>17</v>
      </c>
      <c r="B18" s="22" t="s">
        <v>294</v>
      </c>
      <c r="C18" s="23" t="s">
        <v>102</v>
      </c>
      <c r="D18" s="34" t="s">
        <v>295</v>
      </c>
      <c r="E18" s="34">
        <v>17</v>
      </c>
      <c r="F18" s="1">
        <v>18.09</v>
      </c>
      <c r="G18" s="24">
        <f t="shared" si="0"/>
        <v>1.0899999999999999</v>
      </c>
      <c r="H18" s="24">
        <f t="shared" si="1"/>
        <v>1.1880999999999997</v>
      </c>
      <c r="I18" s="1">
        <v>19.2</v>
      </c>
      <c r="J18" s="24">
        <f t="shared" si="2"/>
        <v>2.1999999999999993</v>
      </c>
      <c r="K18" s="24">
        <f t="shared" si="3"/>
        <v>4.8399999999999972</v>
      </c>
      <c r="L18" s="1">
        <v>10.69</v>
      </c>
      <c r="M18" s="24">
        <f t="shared" si="4"/>
        <v>6.3100000000000005</v>
      </c>
      <c r="N18" s="24">
        <f t="shared" si="5"/>
        <v>39.816100000000006</v>
      </c>
      <c r="O18" s="1">
        <v>14</v>
      </c>
      <c r="P18" s="24">
        <f t="shared" si="8"/>
        <v>3</v>
      </c>
      <c r="Q18" s="24">
        <f t="shared" si="9"/>
        <v>9</v>
      </c>
      <c r="R18" s="22">
        <v>12.135999999999999</v>
      </c>
      <c r="S18" s="24">
        <f t="shared" si="6"/>
        <v>4.8640000000000008</v>
      </c>
      <c r="T18" s="24">
        <f t="shared" si="7"/>
        <v>23.658496000000007</v>
      </c>
      <c r="U18" s="22" t="s">
        <v>275</v>
      </c>
      <c r="V18" s="24" t="s">
        <v>424</v>
      </c>
    </row>
    <row r="19" spans="1:22" x14ac:dyDescent="0.3">
      <c r="A19" s="23">
        <v>18</v>
      </c>
      <c r="B19" s="23" t="s">
        <v>296</v>
      </c>
      <c r="C19" s="23" t="s">
        <v>105</v>
      </c>
      <c r="D19" s="31" t="s">
        <v>297</v>
      </c>
      <c r="E19" s="26">
        <v>16.05</v>
      </c>
      <c r="F19" s="1">
        <v>16.84</v>
      </c>
      <c r="G19" s="24">
        <f t="shared" si="0"/>
        <v>0.78999999999999915</v>
      </c>
      <c r="H19" s="24">
        <f t="shared" si="1"/>
        <v>0.62409999999999866</v>
      </c>
      <c r="I19" s="1">
        <v>15.75</v>
      </c>
      <c r="J19" s="24">
        <f t="shared" si="2"/>
        <v>0.30000000000000071</v>
      </c>
      <c r="K19" s="24">
        <f t="shared" si="3"/>
        <v>9.0000000000000427E-2</v>
      </c>
      <c r="L19" s="1">
        <v>9.65</v>
      </c>
      <c r="M19" s="24">
        <f t="shared" si="4"/>
        <v>6.4</v>
      </c>
      <c r="N19" s="24">
        <f t="shared" si="5"/>
        <v>40.960000000000008</v>
      </c>
      <c r="O19" s="1">
        <v>13.9</v>
      </c>
      <c r="P19" s="24">
        <f t="shared" si="8"/>
        <v>2.1500000000000004</v>
      </c>
      <c r="Q19" s="24">
        <f t="shared" si="9"/>
        <v>4.6225000000000014</v>
      </c>
      <c r="R19" s="1">
        <v>11.997</v>
      </c>
      <c r="S19" s="24">
        <f t="shared" si="6"/>
        <v>4.0530000000000008</v>
      </c>
      <c r="T19" s="24">
        <f t="shared" si="7"/>
        <v>16.426809000000006</v>
      </c>
      <c r="U19" s="23" t="s">
        <v>271</v>
      </c>
      <c r="V19" s="24" t="s">
        <v>422</v>
      </c>
    </row>
    <row r="20" spans="1:22" x14ac:dyDescent="0.3">
      <c r="A20" s="23">
        <v>19</v>
      </c>
      <c r="B20" s="23" t="s">
        <v>299</v>
      </c>
      <c r="C20" s="23" t="s">
        <v>205</v>
      </c>
      <c r="D20" s="31" t="s">
        <v>300</v>
      </c>
      <c r="E20" s="26">
        <v>16.2</v>
      </c>
      <c r="F20" s="1">
        <v>16.95</v>
      </c>
      <c r="G20" s="24">
        <f t="shared" si="0"/>
        <v>0.75</v>
      </c>
      <c r="H20" s="24">
        <f t="shared" si="1"/>
        <v>0.5625</v>
      </c>
      <c r="I20" s="1">
        <v>15.75</v>
      </c>
      <c r="J20" s="24">
        <f t="shared" si="2"/>
        <v>0.44999999999999929</v>
      </c>
      <c r="K20" s="24">
        <f t="shared" si="3"/>
        <v>0.20249999999999935</v>
      </c>
      <c r="L20" s="1">
        <v>9.4499999999999993</v>
      </c>
      <c r="M20" s="24">
        <f t="shared" si="4"/>
        <v>6.75</v>
      </c>
      <c r="N20" s="24">
        <f t="shared" si="5"/>
        <v>45.5625</v>
      </c>
      <c r="O20" s="1">
        <v>13.9</v>
      </c>
      <c r="P20" s="24">
        <f t="shared" si="8"/>
        <v>2.2999999999999989</v>
      </c>
      <c r="Q20" s="24">
        <f t="shared" si="9"/>
        <v>5.2899999999999947</v>
      </c>
      <c r="R20" s="1">
        <v>11.823</v>
      </c>
      <c r="S20" s="24">
        <f t="shared" si="6"/>
        <v>4.3769999999999989</v>
      </c>
      <c r="T20" s="24">
        <f t="shared" si="7"/>
        <v>19.158128999999992</v>
      </c>
      <c r="U20" s="23" t="s">
        <v>298</v>
      </c>
      <c r="V20" s="24" t="s">
        <v>426</v>
      </c>
    </row>
    <row r="21" spans="1:22" x14ac:dyDescent="0.3">
      <c r="A21" s="23">
        <v>20</v>
      </c>
      <c r="B21" s="23" t="s">
        <v>301</v>
      </c>
      <c r="C21" s="23" t="s">
        <v>102</v>
      </c>
      <c r="D21" s="31" t="s">
        <v>302</v>
      </c>
      <c r="E21" s="26">
        <v>13.6</v>
      </c>
      <c r="F21" s="1">
        <v>13.65</v>
      </c>
      <c r="G21" s="24">
        <f t="shared" si="0"/>
        <v>5.0000000000000711E-2</v>
      </c>
      <c r="H21" s="24">
        <f t="shared" si="1"/>
        <v>2.5000000000000712E-3</v>
      </c>
      <c r="I21" s="1">
        <v>15.02</v>
      </c>
      <c r="J21" s="24">
        <f t="shared" si="2"/>
        <v>1.42</v>
      </c>
      <c r="K21" s="24">
        <f t="shared" si="3"/>
        <v>2.0164</v>
      </c>
      <c r="L21" s="1">
        <v>9.94</v>
      </c>
      <c r="M21" s="24">
        <f t="shared" si="4"/>
        <v>3.66</v>
      </c>
      <c r="N21" s="24">
        <f t="shared" si="5"/>
        <v>13.395600000000002</v>
      </c>
      <c r="O21" s="1">
        <v>13.3</v>
      </c>
      <c r="P21" s="24">
        <f t="shared" si="8"/>
        <v>0.29999999999999893</v>
      </c>
      <c r="Q21" s="24">
        <f t="shared" si="9"/>
        <v>8.9999999999999358E-2</v>
      </c>
      <c r="R21" s="1" t="s">
        <v>303</v>
      </c>
      <c r="S21" s="24" t="e">
        <f t="shared" si="6"/>
        <v>#VALUE!</v>
      </c>
      <c r="T21" s="24" t="e">
        <f t="shared" si="7"/>
        <v>#VALUE!</v>
      </c>
      <c r="U21" s="23" t="s">
        <v>271</v>
      </c>
      <c r="V21" s="24" t="s">
        <v>422</v>
      </c>
    </row>
    <row r="22" spans="1:22" x14ac:dyDescent="0.3">
      <c r="A22" s="23">
        <v>21</v>
      </c>
      <c r="B22" s="22" t="s">
        <v>304</v>
      </c>
      <c r="C22" s="23" t="s">
        <v>102</v>
      </c>
      <c r="D22" s="31" t="s">
        <v>305</v>
      </c>
      <c r="E22" s="26">
        <v>15.52</v>
      </c>
      <c r="F22" s="22">
        <v>16.16</v>
      </c>
      <c r="G22" s="24">
        <f t="shared" si="0"/>
        <v>0.64000000000000057</v>
      </c>
      <c r="H22" s="24">
        <f t="shared" si="1"/>
        <v>0.40960000000000074</v>
      </c>
      <c r="I22" s="1">
        <v>15.2</v>
      </c>
      <c r="J22" s="24">
        <f t="shared" si="2"/>
        <v>0.32000000000000028</v>
      </c>
      <c r="K22" s="24">
        <f t="shared" si="3"/>
        <v>0.10240000000000019</v>
      </c>
      <c r="L22" s="1">
        <v>9.6999999999999993</v>
      </c>
      <c r="M22" s="24">
        <f t="shared" si="4"/>
        <v>5.82</v>
      </c>
      <c r="N22" s="24">
        <f t="shared" si="5"/>
        <v>33.872400000000006</v>
      </c>
      <c r="O22" s="1">
        <v>13.8</v>
      </c>
      <c r="P22" s="24">
        <f>ABS(E22-O22)</f>
        <v>1.7199999999999989</v>
      </c>
      <c r="Q22" s="24">
        <f>P22^2</f>
        <v>2.9583999999999961</v>
      </c>
      <c r="R22" s="22">
        <v>12.164999999999999</v>
      </c>
      <c r="S22" s="24">
        <f t="shared" si="6"/>
        <v>3.3550000000000004</v>
      </c>
      <c r="T22" s="24">
        <f t="shared" si="7"/>
        <v>11.256025000000003</v>
      </c>
      <c r="U22" s="22" t="s">
        <v>274</v>
      </c>
      <c r="V22" s="24" t="s">
        <v>423</v>
      </c>
    </row>
    <row r="23" spans="1:22" x14ac:dyDescent="0.3">
      <c r="A23" s="23">
        <v>22</v>
      </c>
      <c r="B23" s="22" t="s">
        <v>306</v>
      </c>
      <c r="C23" s="23" t="s">
        <v>102</v>
      </c>
      <c r="D23" s="31" t="s">
        <v>307</v>
      </c>
      <c r="E23" s="26">
        <v>15.1</v>
      </c>
      <c r="F23" s="22">
        <v>15.6</v>
      </c>
      <c r="G23" s="24">
        <f t="shared" si="0"/>
        <v>0.5</v>
      </c>
      <c r="H23" s="24">
        <f t="shared" si="1"/>
        <v>0.25</v>
      </c>
      <c r="I23" s="1">
        <v>15.41</v>
      </c>
      <c r="J23" s="24">
        <f t="shared" si="2"/>
        <v>0.3100000000000005</v>
      </c>
      <c r="K23" s="24">
        <f t="shared" si="3"/>
        <v>9.610000000000031E-2</v>
      </c>
      <c r="L23" s="1">
        <v>9.6</v>
      </c>
      <c r="M23" s="24">
        <f t="shared" si="4"/>
        <v>5.5</v>
      </c>
      <c r="N23" s="24">
        <f t="shared" si="5"/>
        <v>30.25</v>
      </c>
      <c r="O23" s="1">
        <v>13.7</v>
      </c>
      <c r="P23" s="24">
        <f>ABS(E23-O23)</f>
        <v>1.4000000000000004</v>
      </c>
      <c r="Q23" s="24">
        <f>P23^2</f>
        <v>1.9600000000000011</v>
      </c>
      <c r="R23" s="22">
        <v>11.875999999999999</v>
      </c>
      <c r="S23" s="24">
        <f t="shared" si="6"/>
        <v>3.2240000000000002</v>
      </c>
      <c r="T23" s="24">
        <f t="shared" si="7"/>
        <v>10.394176000000002</v>
      </c>
      <c r="U23" s="22" t="s">
        <v>274</v>
      </c>
      <c r="V23" s="24" t="s">
        <v>423</v>
      </c>
    </row>
    <row r="24" spans="1:22" x14ac:dyDescent="0.3">
      <c r="A24" s="23">
        <v>23</v>
      </c>
      <c r="B24" s="22" t="s">
        <v>308</v>
      </c>
      <c r="C24" s="23" t="s">
        <v>103</v>
      </c>
      <c r="D24" s="31" t="s">
        <v>309</v>
      </c>
      <c r="E24" s="26">
        <v>15.1</v>
      </c>
      <c r="F24" s="22">
        <v>15.67</v>
      </c>
      <c r="G24" s="24">
        <f t="shared" si="0"/>
        <v>0.57000000000000028</v>
      </c>
      <c r="H24" s="24">
        <f t="shared" si="1"/>
        <v>0.3249000000000003</v>
      </c>
      <c r="I24" s="1">
        <v>15.62</v>
      </c>
      <c r="J24" s="24">
        <f t="shared" si="2"/>
        <v>0.51999999999999957</v>
      </c>
      <c r="K24" s="24">
        <f t="shared" si="3"/>
        <v>0.27039999999999953</v>
      </c>
      <c r="L24" s="1">
        <v>9.6300000000000008</v>
      </c>
      <c r="M24" s="24">
        <f t="shared" si="4"/>
        <v>5.4699999999999989</v>
      </c>
      <c r="N24" s="24">
        <f t="shared" si="5"/>
        <v>29.920899999999989</v>
      </c>
      <c r="O24" s="1">
        <v>13.9</v>
      </c>
      <c r="P24" s="24">
        <f t="shared" ref="P24:P40" si="10">ABS(E24-O24)</f>
        <v>1.1999999999999993</v>
      </c>
      <c r="Q24" s="24">
        <f t="shared" ref="Q24:Q40" si="11">P24^2</f>
        <v>1.4399999999999984</v>
      </c>
      <c r="R24" s="22">
        <v>10.856999999999999</v>
      </c>
      <c r="S24" s="24">
        <f t="shared" si="6"/>
        <v>4.2430000000000003</v>
      </c>
      <c r="T24" s="24">
        <f t="shared" si="7"/>
        <v>18.003049000000004</v>
      </c>
      <c r="U24" s="22" t="s">
        <v>274</v>
      </c>
      <c r="V24" s="24" t="s">
        <v>423</v>
      </c>
    </row>
    <row r="25" spans="1:22" x14ac:dyDescent="0.3">
      <c r="A25" s="23">
        <v>24</v>
      </c>
      <c r="B25" s="22" t="s">
        <v>310</v>
      </c>
      <c r="C25" s="23" t="s">
        <v>103</v>
      </c>
      <c r="D25" s="31" t="s">
        <v>311</v>
      </c>
      <c r="E25" s="26">
        <v>14.9</v>
      </c>
      <c r="F25" s="22">
        <v>15.41</v>
      </c>
      <c r="G25" s="24">
        <f t="shared" si="0"/>
        <v>0.50999999999999979</v>
      </c>
      <c r="H25" s="24">
        <f t="shared" si="1"/>
        <v>0.26009999999999978</v>
      </c>
      <c r="I25" s="1">
        <v>15.41</v>
      </c>
      <c r="J25" s="24">
        <f t="shared" si="2"/>
        <v>0.50999999999999979</v>
      </c>
      <c r="K25" s="24">
        <f t="shared" si="3"/>
        <v>0.26009999999999978</v>
      </c>
      <c r="L25" s="1">
        <v>9.5500000000000007</v>
      </c>
      <c r="M25" s="24">
        <f t="shared" si="4"/>
        <v>5.35</v>
      </c>
      <c r="N25" s="24">
        <f t="shared" si="5"/>
        <v>28.622499999999995</v>
      </c>
      <c r="O25" s="1">
        <v>13.8</v>
      </c>
      <c r="P25" s="24">
        <f t="shared" si="10"/>
        <v>1.0999999999999996</v>
      </c>
      <c r="Q25" s="24">
        <f t="shared" si="11"/>
        <v>1.2099999999999993</v>
      </c>
      <c r="R25" s="22">
        <v>12.24</v>
      </c>
      <c r="S25" s="24">
        <f t="shared" si="6"/>
        <v>2.66</v>
      </c>
      <c r="T25" s="24">
        <f t="shared" si="7"/>
        <v>7.0756000000000006</v>
      </c>
      <c r="U25" s="22" t="s">
        <v>274</v>
      </c>
      <c r="V25" s="24" t="s">
        <v>423</v>
      </c>
    </row>
    <row r="26" spans="1:22" x14ac:dyDescent="0.3">
      <c r="A26" s="23">
        <v>25</v>
      </c>
      <c r="B26" s="22" t="s">
        <v>312</v>
      </c>
      <c r="C26" s="23" t="s">
        <v>101</v>
      </c>
      <c r="D26" s="31" t="s">
        <v>313</v>
      </c>
      <c r="E26" s="26">
        <v>14.8</v>
      </c>
      <c r="F26" s="22">
        <v>15.12</v>
      </c>
      <c r="G26" s="24">
        <f t="shared" si="0"/>
        <v>0.31999999999999851</v>
      </c>
      <c r="H26" s="24">
        <f t="shared" si="1"/>
        <v>0.10239999999999905</v>
      </c>
      <c r="I26" s="1">
        <v>14.95</v>
      </c>
      <c r="J26" s="24">
        <f t="shared" si="2"/>
        <v>0.14999999999999858</v>
      </c>
      <c r="K26" s="24">
        <f t="shared" si="3"/>
        <v>2.2499999999999572E-2</v>
      </c>
      <c r="L26" s="1">
        <v>9.68</v>
      </c>
      <c r="M26" s="24">
        <f t="shared" si="4"/>
        <v>5.120000000000001</v>
      </c>
      <c r="N26" s="24">
        <f t="shared" si="5"/>
        <v>26.214400000000012</v>
      </c>
      <c r="O26" s="1">
        <v>13.8</v>
      </c>
      <c r="P26" s="24">
        <f t="shared" si="10"/>
        <v>1</v>
      </c>
      <c r="Q26" s="24">
        <f t="shared" si="11"/>
        <v>1</v>
      </c>
      <c r="R26" s="22">
        <v>11.603999999999999</v>
      </c>
      <c r="S26" s="24">
        <f t="shared" si="6"/>
        <v>3.1960000000000015</v>
      </c>
      <c r="T26" s="24">
        <f t="shared" si="7"/>
        <v>10.214416000000009</v>
      </c>
      <c r="U26" s="22" t="s">
        <v>274</v>
      </c>
      <c r="V26" s="24" t="s">
        <v>423</v>
      </c>
    </row>
    <row r="27" spans="1:22" x14ac:dyDescent="0.3">
      <c r="A27" s="23">
        <v>26</v>
      </c>
      <c r="B27" s="22" t="s">
        <v>314</v>
      </c>
      <c r="C27" s="23" t="s">
        <v>101</v>
      </c>
      <c r="D27" s="34" t="s">
        <v>314</v>
      </c>
      <c r="E27" s="34">
        <v>14.8</v>
      </c>
      <c r="F27" s="22">
        <v>15.12</v>
      </c>
      <c r="G27" s="24">
        <f t="shared" si="0"/>
        <v>0.31999999999999851</v>
      </c>
      <c r="H27" s="24">
        <f t="shared" si="1"/>
        <v>0.10239999999999905</v>
      </c>
      <c r="I27" s="1">
        <v>14.95</v>
      </c>
      <c r="J27" s="24">
        <f t="shared" si="2"/>
        <v>0.14999999999999858</v>
      </c>
      <c r="K27" s="24">
        <f t="shared" si="3"/>
        <v>2.2499999999999572E-2</v>
      </c>
      <c r="L27" s="1">
        <v>9.57</v>
      </c>
      <c r="M27" s="24">
        <f t="shared" si="4"/>
        <v>5.23</v>
      </c>
      <c r="N27" s="24">
        <f t="shared" si="5"/>
        <v>27.352900000000005</v>
      </c>
      <c r="O27" s="1">
        <v>13.8</v>
      </c>
      <c r="P27" s="24">
        <f t="shared" si="10"/>
        <v>1</v>
      </c>
      <c r="Q27" s="24">
        <f t="shared" si="11"/>
        <v>1</v>
      </c>
      <c r="R27" s="22">
        <v>10.316000000000001</v>
      </c>
      <c r="S27" s="24">
        <f t="shared" si="6"/>
        <v>4.484</v>
      </c>
      <c r="T27" s="24">
        <f t="shared" si="7"/>
        <v>20.106255999999998</v>
      </c>
      <c r="U27" s="23" t="s">
        <v>271</v>
      </c>
      <c r="V27" s="24" t="s">
        <v>422</v>
      </c>
    </row>
    <row r="28" spans="1:22" x14ac:dyDescent="0.3">
      <c r="A28" s="23">
        <v>27</v>
      </c>
      <c r="B28" s="22" t="s">
        <v>301</v>
      </c>
      <c r="C28" s="23" t="s">
        <v>102</v>
      </c>
      <c r="D28" s="31" t="s">
        <v>315</v>
      </c>
      <c r="E28" s="26">
        <v>13.55</v>
      </c>
      <c r="F28" s="22">
        <v>13.65</v>
      </c>
      <c r="G28" s="24">
        <f t="shared" si="0"/>
        <v>9.9999999999999645E-2</v>
      </c>
      <c r="H28" s="24">
        <f t="shared" si="1"/>
        <v>9.9999999999999291E-3</v>
      </c>
      <c r="I28" s="1">
        <v>15.02</v>
      </c>
      <c r="J28" s="24">
        <f t="shared" si="2"/>
        <v>1.4699999999999989</v>
      </c>
      <c r="K28" s="24">
        <f t="shared" si="3"/>
        <v>2.1608999999999967</v>
      </c>
      <c r="L28" s="1">
        <v>9.94</v>
      </c>
      <c r="M28" s="24">
        <f t="shared" si="4"/>
        <v>3.6100000000000012</v>
      </c>
      <c r="N28" s="24">
        <f t="shared" si="5"/>
        <v>13.032100000000009</v>
      </c>
      <c r="O28" s="1">
        <v>13.3</v>
      </c>
      <c r="P28" s="24">
        <f t="shared" si="10"/>
        <v>0.25</v>
      </c>
      <c r="Q28" s="24">
        <f t="shared" si="11"/>
        <v>6.25E-2</v>
      </c>
      <c r="R28" s="22" t="s">
        <v>303</v>
      </c>
      <c r="S28" s="24" t="e">
        <f t="shared" si="6"/>
        <v>#VALUE!</v>
      </c>
      <c r="T28" s="24" t="e">
        <f t="shared" si="7"/>
        <v>#VALUE!</v>
      </c>
      <c r="U28" s="22" t="s">
        <v>274</v>
      </c>
      <c r="V28" s="24" t="s">
        <v>423</v>
      </c>
    </row>
    <row r="29" spans="1:22" x14ac:dyDescent="0.3">
      <c r="A29" s="23">
        <v>28</v>
      </c>
      <c r="B29" s="22" t="s">
        <v>316</v>
      </c>
      <c r="C29" s="23"/>
      <c r="D29" s="34" t="s">
        <v>317</v>
      </c>
      <c r="E29" s="26">
        <v>15.4</v>
      </c>
      <c r="F29" s="22">
        <v>15.02</v>
      </c>
      <c r="G29" s="24">
        <f t="shared" si="0"/>
        <v>0.38000000000000078</v>
      </c>
      <c r="H29" s="24">
        <f t="shared" si="1"/>
        <v>0.14440000000000058</v>
      </c>
      <c r="I29" s="1">
        <v>15.04</v>
      </c>
      <c r="J29" s="24">
        <f t="shared" si="2"/>
        <v>0.36000000000000121</v>
      </c>
      <c r="K29" s="24">
        <f t="shared" si="3"/>
        <v>0.12960000000000088</v>
      </c>
      <c r="L29" s="1">
        <v>10.55</v>
      </c>
      <c r="M29" s="24">
        <f t="shared" si="4"/>
        <v>4.8499999999999996</v>
      </c>
      <c r="N29" s="24">
        <f t="shared" si="5"/>
        <v>23.522499999999997</v>
      </c>
      <c r="O29" s="1">
        <v>13.6</v>
      </c>
      <c r="P29" s="24">
        <f t="shared" si="10"/>
        <v>1.8000000000000007</v>
      </c>
      <c r="Q29" s="24">
        <f t="shared" si="11"/>
        <v>3.2400000000000024</v>
      </c>
      <c r="R29" s="22" t="s">
        <v>303</v>
      </c>
      <c r="S29" s="24" t="e">
        <f t="shared" si="6"/>
        <v>#VALUE!</v>
      </c>
      <c r="T29" s="24" t="e">
        <f t="shared" si="7"/>
        <v>#VALUE!</v>
      </c>
      <c r="U29" s="22" t="s">
        <v>274</v>
      </c>
      <c r="V29" s="24" t="s">
        <v>423</v>
      </c>
    </row>
    <row r="30" spans="1:22" x14ac:dyDescent="0.3">
      <c r="A30" s="23">
        <v>29</v>
      </c>
      <c r="B30" s="22" t="s">
        <v>318</v>
      </c>
      <c r="D30" s="34" t="s">
        <v>319</v>
      </c>
      <c r="E30" s="26">
        <v>16.84</v>
      </c>
      <c r="F30" s="22">
        <v>18.18</v>
      </c>
      <c r="G30" s="24">
        <f t="shared" si="0"/>
        <v>1.3399999999999999</v>
      </c>
      <c r="H30" s="24">
        <f t="shared" si="1"/>
        <v>1.7955999999999996</v>
      </c>
      <c r="I30" s="1">
        <v>17.600000000000001</v>
      </c>
      <c r="J30" s="24">
        <f t="shared" si="2"/>
        <v>0.76000000000000156</v>
      </c>
      <c r="K30" s="24">
        <f t="shared" si="3"/>
        <v>0.57760000000000233</v>
      </c>
      <c r="L30" s="1">
        <v>9.7799999999999994</v>
      </c>
      <c r="M30" s="24">
        <f t="shared" si="4"/>
        <v>7.0600000000000005</v>
      </c>
      <c r="N30" s="24">
        <f t="shared" si="5"/>
        <v>49.843600000000009</v>
      </c>
      <c r="O30" s="1">
        <v>13.9</v>
      </c>
      <c r="P30" s="24">
        <f t="shared" si="10"/>
        <v>2.9399999999999995</v>
      </c>
      <c r="Q30" s="24">
        <f t="shared" si="11"/>
        <v>8.6435999999999975</v>
      </c>
      <c r="R30" s="22">
        <v>11.077999999999999</v>
      </c>
      <c r="S30" s="24">
        <f t="shared" si="6"/>
        <v>5.7620000000000005</v>
      </c>
      <c r="T30" s="24">
        <f t="shared" si="7"/>
        <v>33.200644000000004</v>
      </c>
      <c r="U30" s="22" t="s">
        <v>274</v>
      </c>
      <c r="V30" s="24" t="s">
        <v>423</v>
      </c>
    </row>
    <row r="31" spans="1:22" x14ac:dyDescent="0.3">
      <c r="A31" s="23">
        <v>30</v>
      </c>
      <c r="B31" s="22" t="s">
        <v>320</v>
      </c>
      <c r="D31" s="34" t="s">
        <v>321</v>
      </c>
      <c r="E31" s="34">
        <v>24</v>
      </c>
      <c r="F31" s="22">
        <v>22.81</v>
      </c>
      <c r="G31" s="24">
        <f t="shared" si="0"/>
        <v>1.1900000000000013</v>
      </c>
      <c r="H31" s="24">
        <f t="shared" si="1"/>
        <v>1.416100000000003</v>
      </c>
      <c r="I31" s="1">
        <v>19.2</v>
      </c>
      <c r="J31" s="24">
        <f t="shared" si="2"/>
        <v>4.8000000000000007</v>
      </c>
      <c r="K31" s="24">
        <f t="shared" si="3"/>
        <v>23.040000000000006</v>
      </c>
      <c r="L31" s="1">
        <v>9.73</v>
      </c>
      <c r="M31" s="24">
        <f t="shared" si="4"/>
        <v>14.27</v>
      </c>
      <c r="N31" s="24">
        <f t="shared" si="5"/>
        <v>203.63289999999998</v>
      </c>
      <c r="O31" s="1">
        <v>14.2</v>
      </c>
      <c r="P31" s="24">
        <f t="shared" si="10"/>
        <v>9.8000000000000007</v>
      </c>
      <c r="Q31" s="24">
        <f t="shared" si="11"/>
        <v>96.04000000000002</v>
      </c>
      <c r="R31" s="22">
        <v>12.009</v>
      </c>
      <c r="S31" s="24">
        <f t="shared" si="6"/>
        <v>11.991</v>
      </c>
      <c r="T31" s="24">
        <f t="shared" si="7"/>
        <v>143.78408099999999</v>
      </c>
      <c r="U31" s="22" t="s">
        <v>275</v>
      </c>
      <c r="V31" s="24" t="s">
        <v>424</v>
      </c>
    </row>
    <row r="32" spans="1:22" x14ac:dyDescent="0.3">
      <c r="A32" s="23">
        <v>31</v>
      </c>
      <c r="B32" s="22" t="s">
        <v>322</v>
      </c>
      <c r="D32" s="34" t="s">
        <v>323</v>
      </c>
      <c r="E32" s="26">
        <v>13.54</v>
      </c>
      <c r="F32" s="22">
        <v>13.75</v>
      </c>
      <c r="G32" s="24">
        <f t="shared" si="0"/>
        <v>0.21000000000000085</v>
      </c>
      <c r="H32" s="24">
        <f t="shared" si="1"/>
        <v>4.4100000000000361E-2</v>
      </c>
      <c r="I32" s="1">
        <v>16.43</v>
      </c>
      <c r="J32" s="24">
        <f t="shared" si="2"/>
        <v>2.8900000000000006</v>
      </c>
      <c r="K32" s="24">
        <f t="shared" si="3"/>
        <v>8.3521000000000036</v>
      </c>
      <c r="L32" s="1">
        <v>11.07</v>
      </c>
      <c r="M32" s="24">
        <f t="shared" si="4"/>
        <v>2.4699999999999989</v>
      </c>
      <c r="N32" s="24">
        <f t="shared" si="5"/>
        <v>6.100899999999994</v>
      </c>
      <c r="O32" s="1">
        <v>13.6</v>
      </c>
      <c r="P32" s="24">
        <f t="shared" si="10"/>
        <v>6.0000000000000497E-2</v>
      </c>
      <c r="Q32" s="24">
        <f t="shared" si="11"/>
        <v>3.6000000000000597E-3</v>
      </c>
      <c r="R32" s="22">
        <v>12.398999999999999</v>
      </c>
      <c r="S32" s="24">
        <f t="shared" si="6"/>
        <v>1.141</v>
      </c>
      <c r="T32" s="24">
        <f t="shared" si="7"/>
        <v>1.3018810000000001</v>
      </c>
      <c r="U32" s="22" t="s">
        <v>274</v>
      </c>
      <c r="V32" s="24" t="s">
        <v>423</v>
      </c>
    </row>
    <row r="33" spans="1:22" x14ac:dyDescent="0.3">
      <c r="A33" s="23">
        <v>32</v>
      </c>
      <c r="B33" s="22" t="s">
        <v>324</v>
      </c>
      <c r="D33" s="34" t="s">
        <v>324</v>
      </c>
      <c r="E33" s="34">
        <v>14</v>
      </c>
      <c r="F33" s="22">
        <v>15.79</v>
      </c>
      <c r="G33" s="24">
        <f t="shared" si="0"/>
        <v>1.7899999999999991</v>
      </c>
      <c r="H33" s="24">
        <f t="shared" si="1"/>
        <v>3.2040999999999968</v>
      </c>
      <c r="I33" s="1">
        <v>14.54</v>
      </c>
      <c r="J33" s="24">
        <f t="shared" si="2"/>
        <v>0.53999999999999915</v>
      </c>
      <c r="K33" s="24">
        <f t="shared" si="3"/>
        <v>0.29159999999999908</v>
      </c>
      <c r="L33" s="1">
        <v>9.5</v>
      </c>
      <c r="M33" s="24">
        <f t="shared" si="4"/>
        <v>4.5</v>
      </c>
      <c r="N33" s="24">
        <f t="shared" si="5"/>
        <v>20.25</v>
      </c>
      <c r="O33" s="1">
        <v>13.1</v>
      </c>
      <c r="P33" s="24">
        <f t="shared" si="10"/>
        <v>0.90000000000000036</v>
      </c>
      <c r="Q33" s="24">
        <f t="shared" si="11"/>
        <v>0.81000000000000061</v>
      </c>
      <c r="R33" s="22">
        <v>9.1780000000000008</v>
      </c>
      <c r="S33" s="24">
        <f t="shared" si="6"/>
        <v>4.8219999999999992</v>
      </c>
      <c r="T33" s="24">
        <f t="shared" si="7"/>
        <v>23.251683999999994</v>
      </c>
      <c r="U33" s="23" t="s">
        <v>271</v>
      </c>
      <c r="V33" s="24" t="s">
        <v>422</v>
      </c>
    </row>
    <row r="34" spans="1:22" x14ac:dyDescent="0.3">
      <c r="A34" s="23">
        <v>33</v>
      </c>
      <c r="B34" s="22" t="s">
        <v>325</v>
      </c>
      <c r="D34" s="34" t="s">
        <v>325</v>
      </c>
      <c r="E34" s="34">
        <v>14.09</v>
      </c>
      <c r="F34" s="22">
        <v>14.84</v>
      </c>
      <c r="G34" s="24">
        <f t="shared" si="0"/>
        <v>0.75</v>
      </c>
      <c r="H34" s="24">
        <f t="shared" si="1"/>
        <v>0.5625</v>
      </c>
      <c r="I34" s="1">
        <v>16.77</v>
      </c>
      <c r="J34" s="24">
        <f t="shared" si="2"/>
        <v>2.6799999999999997</v>
      </c>
      <c r="K34" s="24">
        <f t="shared" si="3"/>
        <v>7.1823999999999986</v>
      </c>
      <c r="L34" s="1">
        <v>9.51</v>
      </c>
      <c r="M34" s="24">
        <f t="shared" si="4"/>
        <v>4.58</v>
      </c>
      <c r="N34" s="24">
        <f t="shared" si="5"/>
        <v>20.976400000000002</v>
      </c>
      <c r="O34" s="1">
        <v>13.7</v>
      </c>
      <c r="P34" s="24">
        <f t="shared" si="10"/>
        <v>0.39000000000000057</v>
      </c>
      <c r="Q34" s="24">
        <f t="shared" si="11"/>
        <v>0.15210000000000046</v>
      </c>
      <c r="R34" s="22">
        <v>10.484999999999999</v>
      </c>
      <c r="S34" s="24">
        <f t="shared" si="6"/>
        <v>3.6050000000000004</v>
      </c>
      <c r="T34" s="24">
        <f t="shared" si="7"/>
        <v>12.996025000000003</v>
      </c>
      <c r="U34" s="23" t="s">
        <v>271</v>
      </c>
      <c r="V34" s="24" t="s">
        <v>422</v>
      </c>
    </row>
    <row r="35" spans="1:22" x14ac:dyDescent="0.3">
      <c r="A35" s="23">
        <v>34</v>
      </c>
      <c r="B35" s="22" t="s">
        <v>326</v>
      </c>
      <c r="D35" s="34" t="s">
        <v>326</v>
      </c>
      <c r="E35" s="34">
        <v>14.4</v>
      </c>
      <c r="F35" s="22">
        <v>15.55</v>
      </c>
      <c r="G35" s="24">
        <f t="shared" si="0"/>
        <v>1.1500000000000004</v>
      </c>
      <c r="H35" s="24">
        <f t="shared" si="1"/>
        <v>1.3225000000000009</v>
      </c>
      <c r="I35" s="1">
        <v>14.7</v>
      </c>
      <c r="J35" s="24">
        <f t="shared" si="2"/>
        <v>0.29999999999999893</v>
      </c>
      <c r="K35" s="24">
        <f t="shared" si="3"/>
        <v>8.9999999999999358E-2</v>
      </c>
      <c r="L35" s="1">
        <v>9.32</v>
      </c>
      <c r="M35" s="24">
        <f t="shared" si="4"/>
        <v>5.08</v>
      </c>
      <c r="N35" s="24">
        <f t="shared" si="5"/>
        <v>25.8064</v>
      </c>
      <c r="O35" s="1">
        <v>13.6</v>
      </c>
      <c r="P35" s="24">
        <f t="shared" si="10"/>
        <v>0.80000000000000071</v>
      </c>
      <c r="Q35" s="24">
        <f t="shared" si="11"/>
        <v>0.64000000000000112</v>
      </c>
      <c r="R35" s="22" t="s">
        <v>303</v>
      </c>
      <c r="S35" s="24" t="e">
        <f t="shared" si="6"/>
        <v>#VALUE!</v>
      </c>
      <c r="T35" s="24" t="e">
        <f t="shared" si="7"/>
        <v>#VALUE!</v>
      </c>
      <c r="U35" s="23" t="s">
        <v>271</v>
      </c>
      <c r="V35" s="24" t="s">
        <v>422</v>
      </c>
    </row>
    <row r="36" spans="1:22" x14ac:dyDescent="0.3">
      <c r="A36" s="23">
        <v>35</v>
      </c>
      <c r="B36" s="22" t="s">
        <v>327</v>
      </c>
      <c r="D36" s="34" t="s">
        <v>327</v>
      </c>
      <c r="E36" s="34">
        <v>14.95</v>
      </c>
      <c r="F36" s="22">
        <v>15.93</v>
      </c>
      <c r="G36" s="24">
        <f t="shared" si="0"/>
        <v>0.98000000000000043</v>
      </c>
      <c r="H36" s="24">
        <f t="shared" si="1"/>
        <v>0.96040000000000081</v>
      </c>
      <c r="I36" s="1">
        <v>15.57</v>
      </c>
      <c r="J36" s="24">
        <f t="shared" si="2"/>
        <v>0.62000000000000099</v>
      </c>
      <c r="K36" s="24">
        <f t="shared" si="3"/>
        <v>0.38440000000000124</v>
      </c>
      <c r="L36" s="1">
        <v>10.050000000000001</v>
      </c>
      <c r="M36" s="24">
        <f t="shared" si="4"/>
        <v>4.8999999999999986</v>
      </c>
      <c r="N36" s="24">
        <f t="shared" si="5"/>
        <v>24.009999999999987</v>
      </c>
      <c r="O36" s="1">
        <v>13.8</v>
      </c>
      <c r="P36" s="24">
        <f t="shared" si="10"/>
        <v>1.1499999999999986</v>
      </c>
      <c r="Q36" s="24">
        <f t="shared" si="11"/>
        <v>1.3224999999999967</v>
      </c>
      <c r="R36" s="22" t="s">
        <v>303</v>
      </c>
      <c r="S36" s="24" t="e">
        <f t="shared" si="6"/>
        <v>#VALUE!</v>
      </c>
      <c r="T36" s="24" t="e">
        <f t="shared" si="7"/>
        <v>#VALUE!</v>
      </c>
      <c r="U36" s="23" t="s">
        <v>271</v>
      </c>
      <c r="V36" s="24" t="s">
        <v>422</v>
      </c>
    </row>
    <row r="37" spans="1:22" x14ac:dyDescent="0.3">
      <c r="A37" s="23">
        <v>36</v>
      </c>
      <c r="B37" s="22" t="s">
        <v>328</v>
      </c>
      <c r="D37" s="34" t="s">
        <v>328</v>
      </c>
      <c r="E37" s="34">
        <v>15</v>
      </c>
      <c r="F37" s="22">
        <v>15.93</v>
      </c>
      <c r="G37" s="24">
        <f t="shared" si="0"/>
        <v>0.92999999999999972</v>
      </c>
      <c r="H37" s="24">
        <f t="shared" si="1"/>
        <v>0.86489999999999945</v>
      </c>
      <c r="I37" s="1">
        <v>15.54</v>
      </c>
      <c r="J37" s="24">
        <f t="shared" si="2"/>
        <v>0.53999999999999915</v>
      </c>
      <c r="K37" s="24">
        <f t="shared" si="3"/>
        <v>0.29159999999999908</v>
      </c>
      <c r="L37" s="1">
        <v>10.31</v>
      </c>
      <c r="M37" s="24">
        <f t="shared" si="4"/>
        <v>4.6899999999999995</v>
      </c>
      <c r="N37" s="24">
        <f t="shared" si="5"/>
        <v>21.996099999999995</v>
      </c>
      <c r="O37" s="1">
        <v>13.8</v>
      </c>
      <c r="P37" s="24">
        <f t="shared" si="10"/>
        <v>1.1999999999999993</v>
      </c>
      <c r="Q37" s="24">
        <f t="shared" si="11"/>
        <v>1.4399999999999984</v>
      </c>
      <c r="R37" s="22" t="s">
        <v>303</v>
      </c>
      <c r="S37" s="24" t="e">
        <f t="shared" si="6"/>
        <v>#VALUE!</v>
      </c>
      <c r="T37" s="24" t="e">
        <f t="shared" si="7"/>
        <v>#VALUE!</v>
      </c>
      <c r="U37" s="23" t="s">
        <v>271</v>
      </c>
      <c r="V37" s="24" t="s">
        <v>422</v>
      </c>
    </row>
    <row r="38" spans="1:22" x14ac:dyDescent="0.3">
      <c r="A38" s="23">
        <v>37</v>
      </c>
      <c r="B38" s="22" t="s">
        <v>329</v>
      </c>
      <c r="D38" s="34" t="s">
        <v>329</v>
      </c>
      <c r="E38" s="34">
        <v>15.16</v>
      </c>
      <c r="F38" s="22">
        <v>16.84</v>
      </c>
      <c r="G38" s="24">
        <f t="shared" si="0"/>
        <v>1.6799999999999997</v>
      </c>
      <c r="H38" s="24">
        <f t="shared" si="1"/>
        <v>2.8223999999999991</v>
      </c>
      <c r="I38" s="1">
        <v>15.72</v>
      </c>
      <c r="J38" s="24">
        <f t="shared" si="2"/>
        <v>0.5600000000000005</v>
      </c>
      <c r="K38" s="24">
        <f t="shared" si="3"/>
        <v>0.31360000000000054</v>
      </c>
      <c r="L38" s="1">
        <v>10.58</v>
      </c>
      <c r="M38" s="24">
        <f t="shared" si="4"/>
        <v>4.58</v>
      </c>
      <c r="N38" s="24">
        <f t="shared" si="5"/>
        <v>20.976400000000002</v>
      </c>
      <c r="O38" s="1">
        <v>13.8</v>
      </c>
      <c r="P38" s="24">
        <f t="shared" si="10"/>
        <v>1.3599999999999994</v>
      </c>
      <c r="Q38" s="24">
        <f t="shared" si="11"/>
        <v>1.8495999999999984</v>
      </c>
      <c r="R38" s="22" t="s">
        <v>303</v>
      </c>
      <c r="S38" s="24" t="e">
        <f t="shared" si="6"/>
        <v>#VALUE!</v>
      </c>
      <c r="T38" s="24" t="e">
        <f t="shared" si="7"/>
        <v>#VALUE!</v>
      </c>
      <c r="U38" s="23" t="s">
        <v>271</v>
      </c>
      <c r="V38" s="24" t="s">
        <v>422</v>
      </c>
    </row>
    <row r="39" spans="1:22" x14ac:dyDescent="0.3">
      <c r="A39" s="23">
        <v>38</v>
      </c>
      <c r="B39" s="22" t="s">
        <v>330</v>
      </c>
      <c r="D39" s="34" t="s">
        <v>330</v>
      </c>
      <c r="E39" s="34">
        <v>15.1</v>
      </c>
      <c r="F39" s="22">
        <v>15.97</v>
      </c>
      <c r="G39" s="24">
        <f t="shared" si="0"/>
        <v>0.87000000000000099</v>
      </c>
      <c r="H39" s="24">
        <f t="shared" si="1"/>
        <v>0.75690000000000168</v>
      </c>
      <c r="I39" s="1">
        <v>15.75</v>
      </c>
      <c r="J39" s="24">
        <f t="shared" si="2"/>
        <v>0.65000000000000036</v>
      </c>
      <c r="K39" s="24">
        <f t="shared" si="3"/>
        <v>0.42250000000000049</v>
      </c>
      <c r="L39" s="1">
        <v>10.41</v>
      </c>
      <c r="M39" s="24">
        <f t="shared" si="4"/>
        <v>4.6899999999999995</v>
      </c>
      <c r="N39" s="24">
        <f t="shared" si="5"/>
        <v>21.996099999999995</v>
      </c>
      <c r="O39" s="1">
        <v>13.8</v>
      </c>
      <c r="P39" s="24">
        <f t="shared" si="10"/>
        <v>1.2999999999999989</v>
      </c>
      <c r="Q39" s="24">
        <f t="shared" si="11"/>
        <v>1.6899999999999973</v>
      </c>
      <c r="R39" s="22" t="s">
        <v>303</v>
      </c>
      <c r="S39" s="24" t="e">
        <f t="shared" si="6"/>
        <v>#VALUE!</v>
      </c>
      <c r="T39" s="24" t="e">
        <f t="shared" si="7"/>
        <v>#VALUE!</v>
      </c>
      <c r="U39" s="23" t="s">
        <v>271</v>
      </c>
      <c r="V39" s="24" t="s">
        <v>422</v>
      </c>
    </row>
    <row r="40" spans="1:22" x14ac:dyDescent="0.3">
      <c r="A40" s="23">
        <v>39</v>
      </c>
      <c r="B40" s="22" t="s">
        <v>331</v>
      </c>
      <c r="D40" s="34" t="s">
        <v>331</v>
      </c>
      <c r="E40" s="34">
        <v>15.18</v>
      </c>
      <c r="F40" s="22">
        <v>16.84</v>
      </c>
      <c r="G40" s="24">
        <f t="shared" si="0"/>
        <v>1.6600000000000001</v>
      </c>
      <c r="H40" s="24">
        <f t="shared" si="1"/>
        <v>2.7556000000000003</v>
      </c>
      <c r="I40" s="1">
        <v>15.74</v>
      </c>
      <c r="J40" s="24">
        <f t="shared" si="2"/>
        <v>0.5600000000000005</v>
      </c>
      <c r="K40" s="24">
        <f t="shared" si="3"/>
        <v>0.31360000000000054</v>
      </c>
      <c r="L40" s="1">
        <v>10.65</v>
      </c>
      <c r="M40" s="24">
        <f t="shared" si="4"/>
        <v>4.5299999999999994</v>
      </c>
      <c r="N40" s="24">
        <f t="shared" si="5"/>
        <v>20.520899999999994</v>
      </c>
      <c r="O40" s="1">
        <v>13.9</v>
      </c>
      <c r="P40" s="24">
        <f t="shared" si="10"/>
        <v>1.2799999999999994</v>
      </c>
      <c r="Q40" s="24">
        <f t="shared" si="11"/>
        <v>1.6383999999999983</v>
      </c>
      <c r="R40" s="22" t="s">
        <v>303</v>
      </c>
      <c r="S40" s="24" t="e">
        <f t="shared" si="6"/>
        <v>#VALUE!</v>
      </c>
      <c r="T40" s="24" t="e">
        <f t="shared" si="7"/>
        <v>#VALUE!</v>
      </c>
      <c r="U40" s="23" t="s">
        <v>271</v>
      </c>
      <c r="V40" s="24" t="s">
        <v>422</v>
      </c>
    </row>
    <row r="41" spans="1:22" x14ac:dyDescent="0.3">
      <c r="M41" s="24"/>
      <c r="N41" s="24"/>
    </row>
    <row r="42" spans="1:22" x14ac:dyDescent="0.3">
      <c r="F42" s="22" t="s">
        <v>96</v>
      </c>
      <c r="G42" s="24">
        <f>AVERAGE(G2:G40)</f>
        <v>0.88384615384615384</v>
      </c>
      <c r="H42" s="24">
        <f>SQRT(SUM(H2:H40)/39)</f>
        <v>1.062214667569602</v>
      </c>
      <c r="I42" s="24"/>
      <c r="J42" s="24">
        <f>AVERAGE(J2:J40)</f>
        <v>0.95743589743589752</v>
      </c>
      <c r="K42" s="24">
        <f>SQRT(SUM(K2:K40)/39)</f>
        <v>1.4482031306734247</v>
      </c>
      <c r="L42" s="24"/>
      <c r="M42" s="24">
        <f>AVERAGE(M2:M40)</f>
        <v>5.6389743589743597</v>
      </c>
      <c r="N42" s="24">
        <f>SQRT(SUM(N2:N40)/39)</f>
        <v>5.8923531497208854</v>
      </c>
      <c r="O42" s="24"/>
      <c r="P42" s="24">
        <f>AVERAGE(P2:P40)</f>
        <v>1.8038461538461534</v>
      </c>
      <c r="Q42" s="24">
        <f>SQRT(SUM(Q2:Q40)/39)</f>
        <v>2.3472837548198187</v>
      </c>
      <c r="R42" s="24"/>
      <c r="S42" s="24" t="e">
        <f>AVERAGE(S2:S40)</f>
        <v>#VALUE!</v>
      </c>
      <c r="T42" s="24" t="e">
        <f>SQRT(SUM(T2:T40)/39)</f>
        <v>#VALUE!</v>
      </c>
      <c r="U42" s="24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EB07-98C1-4218-AFDF-8CC292E03D3B}">
  <dimension ref="A1:O18"/>
  <sheetViews>
    <sheetView workbookViewId="0"/>
  </sheetViews>
  <sheetFormatPr defaultRowHeight="14.4" x14ac:dyDescent="0.3"/>
  <cols>
    <col min="2" max="2" width="37.88671875" customWidth="1"/>
    <col min="3" max="3" width="10.109375" customWidth="1"/>
    <col min="5" max="5" width="8.88671875" customWidth="1"/>
    <col min="6" max="6" width="64.5546875" customWidth="1"/>
    <col min="7" max="7" width="11.33203125" customWidth="1"/>
    <col min="8" max="8" width="12.5546875" customWidth="1"/>
    <col min="10" max="10" width="11.6640625" customWidth="1"/>
    <col min="11" max="11" width="11.33203125" customWidth="1"/>
  </cols>
  <sheetData>
    <row r="1" spans="1:15" x14ac:dyDescent="0.3">
      <c r="A1" s="22" t="s">
        <v>1</v>
      </c>
      <c r="B1" t="s">
        <v>109</v>
      </c>
      <c r="C1" t="s">
        <v>248</v>
      </c>
      <c r="D1" t="s">
        <v>3</v>
      </c>
      <c r="E1" t="s">
        <v>249</v>
      </c>
      <c r="F1" s="27" t="s">
        <v>250</v>
      </c>
      <c r="G1" s="27" t="s">
        <v>251</v>
      </c>
      <c r="H1" t="s">
        <v>113</v>
      </c>
      <c r="I1" t="s">
        <v>114</v>
      </c>
      <c r="J1" t="s">
        <v>115</v>
      </c>
      <c r="K1" t="s">
        <v>10</v>
      </c>
      <c r="L1" t="s">
        <v>11</v>
      </c>
      <c r="M1" t="s">
        <v>381</v>
      </c>
    </row>
    <row r="2" spans="1:15" x14ac:dyDescent="0.3">
      <c r="A2" s="23">
        <v>1</v>
      </c>
      <c r="B2" t="s">
        <v>217</v>
      </c>
      <c r="C2" t="s">
        <v>218</v>
      </c>
      <c r="D2" t="s">
        <v>107</v>
      </c>
      <c r="E2" t="s">
        <v>219</v>
      </c>
      <c r="F2" s="27" t="s">
        <v>220</v>
      </c>
      <c r="G2" s="29">
        <v>2.5</v>
      </c>
      <c r="H2" s="3">
        <v>-4.2</v>
      </c>
      <c r="I2" s="3">
        <v>0.14937159764659499</v>
      </c>
      <c r="J2" s="3">
        <v>2.83</v>
      </c>
      <c r="K2" s="3">
        <v>0.1</v>
      </c>
      <c r="L2" s="3">
        <v>0.34252096880780902</v>
      </c>
      <c r="M2" t="s">
        <v>510</v>
      </c>
    </row>
    <row r="3" spans="1:15" x14ac:dyDescent="0.3">
      <c r="A3" s="23">
        <v>2</v>
      </c>
      <c r="B3" t="s">
        <v>221</v>
      </c>
      <c r="C3" t="s">
        <v>222</v>
      </c>
      <c r="D3" t="s">
        <v>105</v>
      </c>
      <c r="E3" t="s">
        <v>223</v>
      </c>
      <c r="F3" s="27" t="s">
        <v>224</v>
      </c>
      <c r="G3" s="29">
        <v>1.31</v>
      </c>
      <c r="H3" s="3">
        <v>-2.72</v>
      </c>
      <c r="I3" s="3">
        <v>0.35690972838762602</v>
      </c>
      <c r="J3" s="3" t="s">
        <v>303</v>
      </c>
      <c r="K3" s="3">
        <v>1.4</v>
      </c>
      <c r="L3" s="3">
        <v>1.23473439997776</v>
      </c>
      <c r="M3" t="s">
        <v>510</v>
      </c>
    </row>
    <row r="4" spans="1:15" x14ac:dyDescent="0.3">
      <c r="A4" s="23">
        <v>3</v>
      </c>
      <c r="B4" t="s">
        <v>225</v>
      </c>
      <c r="C4" t="s">
        <v>226</v>
      </c>
      <c r="D4" t="s">
        <v>107</v>
      </c>
      <c r="E4" t="s">
        <v>227</v>
      </c>
      <c r="F4" s="27" t="s">
        <v>228</v>
      </c>
      <c r="G4" s="29">
        <v>1.32</v>
      </c>
      <c r="H4" s="3">
        <v>-2.61</v>
      </c>
      <c r="I4" s="3">
        <v>0.36</v>
      </c>
      <c r="J4" s="3" t="s">
        <v>303</v>
      </c>
      <c r="K4" s="3">
        <v>1.4</v>
      </c>
      <c r="L4" s="3">
        <v>1.3296868824597901</v>
      </c>
      <c r="M4" t="s">
        <v>510</v>
      </c>
    </row>
    <row r="5" spans="1:15" x14ac:dyDescent="0.3">
      <c r="A5" s="23">
        <v>4</v>
      </c>
      <c r="B5" t="s">
        <v>229</v>
      </c>
      <c r="C5" t="s">
        <v>230</v>
      </c>
      <c r="D5" t="s">
        <v>103</v>
      </c>
      <c r="E5" t="s">
        <v>231</v>
      </c>
      <c r="F5" s="27" t="s">
        <v>232</v>
      </c>
      <c r="G5" s="29">
        <v>-6</v>
      </c>
      <c r="H5" s="3">
        <v>-3.31</v>
      </c>
      <c r="I5" s="3">
        <v>0.14000000000000001</v>
      </c>
      <c r="J5" s="3" t="s">
        <v>303</v>
      </c>
      <c r="K5" s="3">
        <v>-2.9</v>
      </c>
      <c r="L5" s="3">
        <v>-1.61074937057086</v>
      </c>
      <c r="M5" t="s">
        <v>510</v>
      </c>
    </row>
    <row r="6" spans="1:15" x14ac:dyDescent="0.3">
      <c r="A6" s="23">
        <v>5</v>
      </c>
      <c r="B6" t="s">
        <v>233</v>
      </c>
      <c r="C6" t="s">
        <v>234</v>
      </c>
      <c r="D6" t="s">
        <v>105</v>
      </c>
      <c r="E6" t="s">
        <v>235</v>
      </c>
      <c r="F6" s="27" t="s">
        <v>236</v>
      </c>
      <c r="G6" s="29">
        <v>-6</v>
      </c>
      <c r="H6" s="3">
        <v>-3.32</v>
      </c>
      <c r="I6" s="3">
        <v>0.14000000000000001</v>
      </c>
      <c r="J6" s="3" t="s">
        <v>303</v>
      </c>
      <c r="K6" s="3">
        <v>-2.9</v>
      </c>
      <c r="L6" s="3">
        <v>-1.6357840444376901</v>
      </c>
      <c r="M6" t="s">
        <v>510</v>
      </c>
    </row>
    <row r="7" spans="1:15" x14ac:dyDescent="0.3">
      <c r="A7" s="23">
        <v>6</v>
      </c>
      <c r="B7" t="s">
        <v>237</v>
      </c>
      <c r="C7" t="s">
        <v>238</v>
      </c>
      <c r="D7" t="s">
        <v>107</v>
      </c>
      <c r="E7" t="s">
        <v>239</v>
      </c>
      <c r="F7" s="27" t="s">
        <v>240</v>
      </c>
      <c r="G7" s="29">
        <f>-6</f>
        <v>-6</v>
      </c>
      <c r="H7" s="3">
        <v>-3.32</v>
      </c>
      <c r="I7" s="3">
        <v>0.14000000000000001</v>
      </c>
      <c r="J7" s="3" t="s">
        <v>303</v>
      </c>
      <c r="K7" s="3">
        <v>-2.9</v>
      </c>
      <c r="L7" s="3">
        <v>-1.6408884756417801</v>
      </c>
      <c r="M7" t="s">
        <v>510</v>
      </c>
    </row>
    <row r="8" spans="1:15" s="1" customFormat="1" x14ac:dyDescent="0.3">
      <c r="A8" s="23">
        <v>7</v>
      </c>
      <c r="B8" s="1" t="s">
        <v>241</v>
      </c>
      <c r="C8" s="1" t="s">
        <v>242</v>
      </c>
      <c r="D8" s="1" t="s">
        <v>100</v>
      </c>
      <c r="F8" s="31" t="s">
        <v>243</v>
      </c>
      <c r="G8" s="26">
        <v>-5.9</v>
      </c>
      <c r="H8" s="1">
        <v>-3.43</v>
      </c>
      <c r="I8" s="2">
        <v>0.98929102200484198</v>
      </c>
      <c r="J8" s="3" t="s">
        <v>303</v>
      </c>
      <c r="K8" s="2">
        <v>-3.4</v>
      </c>
      <c r="L8" s="2">
        <v>3.2328938204554597E-2</v>
      </c>
      <c r="M8" s="25" t="s">
        <v>400</v>
      </c>
      <c r="O8"/>
    </row>
    <row r="9" spans="1:15" x14ac:dyDescent="0.3">
      <c r="A9" s="23">
        <v>8</v>
      </c>
      <c r="B9" t="s">
        <v>244</v>
      </c>
      <c r="D9" s="1" t="s">
        <v>100</v>
      </c>
      <c r="F9" s="27" t="s">
        <v>245</v>
      </c>
      <c r="G9" s="29">
        <v>5.7</v>
      </c>
      <c r="H9" s="3">
        <v>5.25</v>
      </c>
      <c r="I9" s="3">
        <v>6.1081455942763796</v>
      </c>
      <c r="J9" s="3">
        <v>5.5</v>
      </c>
      <c r="K9" s="3">
        <v>6.3</v>
      </c>
      <c r="L9" s="3">
        <v>7.8723079012552697</v>
      </c>
      <c r="M9" t="s">
        <v>507</v>
      </c>
    </row>
    <row r="10" spans="1:15" x14ac:dyDescent="0.3">
      <c r="A10" s="23">
        <v>9</v>
      </c>
      <c r="B10" t="s">
        <v>246</v>
      </c>
      <c r="D10" s="1" t="s">
        <v>100</v>
      </c>
      <c r="F10" s="27" t="s">
        <v>247</v>
      </c>
      <c r="G10" s="29">
        <v>8.6999999999999993</v>
      </c>
      <c r="H10" s="3">
        <v>9.94</v>
      </c>
      <c r="I10" s="3">
        <v>9.0801820854790503</v>
      </c>
      <c r="J10" s="3">
        <v>8.4</v>
      </c>
      <c r="K10" s="3">
        <v>7.2</v>
      </c>
      <c r="L10" s="3">
        <v>9.0742344090872908</v>
      </c>
      <c r="M10" t="s">
        <v>507</v>
      </c>
    </row>
    <row r="11" spans="1:15" s="13" customFormat="1" x14ac:dyDescent="0.3">
      <c r="A11" s="23">
        <v>10</v>
      </c>
      <c r="B11" s="11" t="s">
        <v>252</v>
      </c>
      <c r="C11" s="11"/>
      <c r="D11" s="1" t="s">
        <v>100</v>
      </c>
      <c r="E11" s="11"/>
      <c r="F11" s="35" t="s">
        <v>253</v>
      </c>
      <c r="G11" s="36">
        <v>7.56</v>
      </c>
      <c r="H11" s="12">
        <v>6.38</v>
      </c>
      <c r="I11" s="12">
        <v>7.11</v>
      </c>
      <c r="J11" s="12">
        <v>7.95</v>
      </c>
      <c r="K11" s="12">
        <v>7</v>
      </c>
      <c r="L11" s="12">
        <v>6.86</v>
      </c>
      <c r="M11" s="11" t="s">
        <v>427</v>
      </c>
      <c r="O11"/>
    </row>
    <row r="12" spans="1:15" x14ac:dyDescent="0.3">
      <c r="A12" s="23">
        <v>11</v>
      </c>
      <c r="B12" s="11" t="s">
        <v>254</v>
      </c>
      <c r="C12" s="11" t="s">
        <v>255</v>
      </c>
      <c r="D12" s="1" t="s">
        <v>100</v>
      </c>
      <c r="E12" s="11"/>
      <c r="F12" s="35" t="s">
        <v>256</v>
      </c>
      <c r="G12" s="35">
        <v>6.33</v>
      </c>
      <c r="H12" s="11">
        <v>6.19</v>
      </c>
      <c r="I12" s="12">
        <v>6.0850978332217904</v>
      </c>
      <c r="J12" s="11">
        <v>6.6</v>
      </c>
      <c r="K12" s="11">
        <v>6.5</v>
      </c>
      <c r="L12" s="12">
        <v>7.0377784169685702</v>
      </c>
      <c r="M12" s="11" t="s">
        <v>427</v>
      </c>
    </row>
    <row r="13" spans="1:15" x14ac:dyDescent="0.3">
      <c r="A13" s="23">
        <v>12</v>
      </c>
      <c r="B13" s="11" t="s">
        <v>257</v>
      </c>
      <c r="C13" s="11"/>
      <c r="D13" s="1" t="s">
        <v>100</v>
      </c>
      <c r="E13" s="11"/>
      <c r="F13" s="35" t="s">
        <v>258</v>
      </c>
      <c r="G13" s="35">
        <v>4.45</v>
      </c>
      <c r="H13" s="11">
        <v>3.91</v>
      </c>
      <c r="I13" s="12">
        <v>5.1114040911414298</v>
      </c>
      <c r="J13" s="11">
        <v>4.3499999999999996</v>
      </c>
      <c r="K13" s="11">
        <v>4.3</v>
      </c>
      <c r="L13" s="12">
        <v>4.7164373465914</v>
      </c>
      <c r="M13" s="11" t="s">
        <v>427</v>
      </c>
    </row>
    <row r="14" spans="1:15" x14ac:dyDescent="0.3">
      <c r="A14" s="23">
        <v>13</v>
      </c>
      <c r="B14" s="11" t="s">
        <v>259</v>
      </c>
      <c r="C14" s="11"/>
      <c r="D14" s="1" t="s">
        <v>100</v>
      </c>
      <c r="E14" s="11"/>
      <c r="F14" s="35" t="s">
        <v>260</v>
      </c>
      <c r="G14" s="35">
        <v>3.9</v>
      </c>
      <c r="H14" s="11">
        <v>3.64</v>
      </c>
      <c r="I14" s="12">
        <v>4.46131589506445</v>
      </c>
      <c r="J14" s="11">
        <v>4.1100000000000003</v>
      </c>
      <c r="K14" s="11">
        <v>4</v>
      </c>
      <c r="L14" s="12">
        <v>3.99963630251743</v>
      </c>
      <c r="M14" s="11" t="s">
        <v>427</v>
      </c>
    </row>
    <row r="15" spans="1:15" x14ac:dyDescent="0.3">
      <c r="A15" s="23">
        <v>14</v>
      </c>
      <c r="B15" s="11" t="s">
        <v>261</v>
      </c>
      <c r="C15" s="11"/>
      <c r="D15" s="1" t="s">
        <v>100</v>
      </c>
      <c r="E15" s="11"/>
      <c r="F15" s="35" t="s">
        <v>262</v>
      </c>
      <c r="G15" s="35">
        <v>3.75</v>
      </c>
      <c r="H15" s="11">
        <v>4</v>
      </c>
      <c r="I15" s="12">
        <v>5.2564549476157598</v>
      </c>
      <c r="J15" s="11">
        <v>4.37</v>
      </c>
      <c r="K15" s="11">
        <v>4.4000000000000004</v>
      </c>
      <c r="L15" s="12">
        <v>4.7229032478533997</v>
      </c>
      <c r="M15" s="11" t="s">
        <v>427</v>
      </c>
    </row>
    <row r="16" spans="1:15" x14ac:dyDescent="0.3">
      <c r="A16" s="23">
        <v>15</v>
      </c>
      <c r="B16" s="11" t="s">
        <v>263</v>
      </c>
      <c r="C16" s="11"/>
      <c r="D16" s="1" t="s">
        <v>100</v>
      </c>
      <c r="E16" s="11"/>
      <c r="F16" s="35" t="s">
        <v>264</v>
      </c>
      <c r="G16" s="35">
        <v>3.5</v>
      </c>
      <c r="H16" s="11">
        <v>3.4</v>
      </c>
      <c r="I16" s="12">
        <v>3.9775320557946601</v>
      </c>
      <c r="J16" s="11">
        <v>3.67</v>
      </c>
      <c r="K16" s="11">
        <v>3.7</v>
      </c>
      <c r="L16" s="12">
        <v>3.6002920212352398</v>
      </c>
      <c r="M16" s="11" t="s">
        <v>427</v>
      </c>
    </row>
    <row r="17" spans="1:13" x14ac:dyDescent="0.3">
      <c r="A17" s="23">
        <v>16</v>
      </c>
      <c r="B17" s="11" t="s">
        <v>265</v>
      </c>
      <c r="C17" s="11"/>
      <c r="D17" s="1" t="s">
        <v>100</v>
      </c>
      <c r="E17" s="11"/>
      <c r="F17" s="35" t="s">
        <v>266</v>
      </c>
      <c r="G17" s="35">
        <v>2.84</v>
      </c>
      <c r="H17" s="11">
        <v>2.35</v>
      </c>
      <c r="I17" s="12">
        <v>3.0433006488799599</v>
      </c>
      <c r="J17" s="11">
        <v>3.64</v>
      </c>
      <c r="K17" s="11">
        <v>3.3</v>
      </c>
      <c r="L17" s="12">
        <v>3.56479737170707</v>
      </c>
      <c r="M17" s="11" t="s">
        <v>427</v>
      </c>
    </row>
    <row r="18" spans="1:13" x14ac:dyDescent="0.3">
      <c r="A18" s="23">
        <v>17</v>
      </c>
      <c r="B18" s="11" t="s">
        <v>267</v>
      </c>
      <c r="C18" s="11" t="s">
        <v>268</v>
      </c>
      <c r="D18" s="1" t="s">
        <v>100</v>
      </c>
      <c r="E18" s="11"/>
      <c r="F18" s="35" t="s">
        <v>269</v>
      </c>
      <c r="G18" s="35">
        <v>1.1599999999999999</v>
      </c>
      <c r="H18" s="11">
        <v>-0.06</v>
      </c>
      <c r="I18" s="12">
        <v>0.33846087095682698</v>
      </c>
      <c r="J18" s="11">
        <v>3.34</v>
      </c>
      <c r="K18" s="11">
        <v>0.7</v>
      </c>
      <c r="L18" s="12">
        <v>0.55251194007174997</v>
      </c>
      <c r="M18" s="11" t="s">
        <v>400</v>
      </c>
    </row>
  </sheetData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EBD3-8039-4A4C-B106-3ACF8E58AC6E}">
  <dimension ref="A1:L21"/>
  <sheetViews>
    <sheetView workbookViewId="0"/>
  </sheetViews>
  <sheetFormatPr defaultRowHeight="14.4" x14ac:dyDescent="0.3"/>
  <cols>
    <col min="2" max="2" width="24.33203125" customWidth="1"/>
    <col min="3" max="3" width="9.33203125" style="1" customWidth="1"/>
    <col min="5" max="5" width="26.6640625" customWidth="1"/>
    <col min="6" max="6" width="11.33203125" customWidth="1"/>
    <col min="7" max="7" width="12.5546875" customWidth="1"/>
    <col min="9" max="9" width="11.6640625" customWidth="1"/>
    <col min="10" max="10" width="11.33203125" customWidth="1"/>
  </cols>
  <sheetData>
    <row r="1" spans="1:12" s="11" customFormat="1" x14ac:dyDescent="0.3">
      <c r="A1" s="22" t="s">
        <v>1</v>
      </c>
      <c r="B1" s="11" t="s">
        <v>109</v>
      </c>
      <c r="C1" s="11" t="s">
        <v>354</v>
      </c>
      <c r="D1" s="11" t="s">
        <v>249</v>
      </c>
      <c r="E1" s="35" t="s">
        <v>250</v>
      </c>
      <c r="F1" s="35" t="s">
        <v>251</v>
      </c>
      <c r="G1" s="11" t="s">
        <v>113</v>
      </c>
      <c r="H1" s="11" t="s">
        <v>114</v>
      </c>
      <c r="I1" s="11" t="s">
        <v>115</v>
      </c>
      <c r="J1" s="11" t="s">
        <v>10</v>
      </c>
      <c r="K1" s="11" t="s">
        <v>11</v>
      </c>
      <c r="L1" s="11" t="s">
        <v>381</v>
      </c>
    </row>
    <row r="2" spans="1:12" s="11" customFormat="1" x14ac:dyDescent="0.3">
      <c r="A2" s="23">
        <v>1</v>
      </c>
      <c r="B2" s="11" t="s">
        <v>332</v>
      </c>
      <c r="C2" s="11">
        <v>1</v>
      </c>
      <c r="D2" s="11" t="s">
        <v>333</v>
      </c>
      <c r="E2" s="35" t="s">
        <v>334</v>
      </c>
      <c r="F2" s="35">
        <v>3.88</v>
      </c>
      <c r="G2" s="11">
        <v>3.76</v>
      </c>
      <c r="H2" s="12">
        <v>3.6809669220094099</v>
      </c>
      <c r="I2" s="11">
        <v>3.88</v>
      </c>
      <c r="J2" s="12">
        <v>3.9</v>
      </c>
      <c r="K2" s="12">
        <v>3.7332611017538699</v>
      </c>
      <c r="L2" s="11" t="s">
        <v>400</v>
      </c>
    </row>
    <row r="3" spans="1:12" s="11" customFormat="1" x14ac:dyDescent="0.3">
      <c r="A3" s="23">
        <v>2</v>
      </c>
      <c r="B3" s="11" t="s">
        <v>335</v>
      </c>
      <c r="C3" s="11">
        <v>1</v>
      </c>
      <c r="D3" s="11" t="s">
        <v>336</v>
      </c>
      <c r="E3" s="35" t="s">
        <v>337</v>
      </c>
      <c r="F3" s="35">
        <v>4.16</v>
      </c>
      <c r="G3" s="11">
        <v>4.22</v>
      </c>
      <c r="H3" s="12">
        <v>3.799914360527</v>
      </c>
      <c r="I3" s="11">
        <v>3.97</v>
      </c>
      <c r="J3" s="12">
        <v>4.2</v>
      </c>
      <c r="K3" s="12">
        <v>4.2599828355716998</v>
      </c>
      <c r="L3" s="11" t="s">
        <v>400</v>
      </c>
    </row>
    <row r="4" spans="1:12" s="11" customFormat="1" x14ac:dyDescent="0.3">
      <c r="A4" s="23">
        <v>3</v>
      </c>
      <c r="B4" s="11" t="s">
        <v>340</v>
      </c>
      <c r="C4" s="11">
        <v>1</v>
      </c>
      <c r="E4" s="35" t="s">
        <v>341</v>
      </c>
      <c r="F4" s="36">
        <f>-LOG(0.0028)</f>
        <v>2.5528419686577806</v>
      </c>
      <c r="G4" s="12">
        <v>2.91</v>
      </c>
      <c r="H4" s="12">
        <v>2.85718786594065</v>
      </c>
      <c r="I4" s="12">
        <v>2.63</v>
      </c>
      <c r="J4" s="12">
        <v>3.1</v>
      </c>
      <c r="K4" s="12">
        <v>2.4374283591822898</v>
      </c>
      <c r="L4" s="11" t="s">
        <v>414</v>
      </c>
    </row>
    <row r="5" spans="1:12" s="11" customFormat="1" x14ac:dyDescent="0.3">
      <c r="A5" s="23">
        <v>4</v>
      </c>
      <c r="B5" s="11" t="s">
        <v>342</v>
      </c>
      <c r="C5" s="11">
        <v>1</v>
      </c>
      <c r="E5" s="35" t="s">
        <v>343</v>
      </c>
      <c r="F5" s="36">
        <f>-LOG10(0.00068)</f>
        <v>3.1674910872937638</v>
      </c>
      <c r="G5" s="12">
        <v>2.5499999999999998</v>
      </c>
      <c r="H5" s="12">
        <v>3.1314599021493099</v>
      </c>
      <c r="I5" s="12">
        <v>3.2</v>
      </c>
      <c r="J5" s="12">
        <v>2.5</v>
      </c>
      <c r="K5" s="12">
        <v>2.1989317572740599</v>
      </c>
      <c r="L5" s="11" t="s">
        <v>414</v>
      </c>
    </row>
    <row r="6" spans="1:12" s="11" customFormat="1" x14ac:dyDescent="0.3">
      <c r="A6" s="23">
        <v>5</v>
      </c>
      <c r="B6" s="11" t="s">
        <v>344</v>
      </c>
      <c r="C6" s="11">
        <v>2</v>
      </c>
      <c r="D6" s="11" t="s">
        <v>338</v>
      </c>
      <c r="E6" s="35" t="s">
        <v>339</v>
      </c>
      <c r="F6" s="36">
        <f>-LOG(0.0158)</f>
        <v>1.8013429130455774</v>
      </c>
      <c r="G6" s="12">
        <v>1.35</v>
      </c>
      <c r="H6" s="12">
        <v>1.9558716984514499</v>
      </c>
      <c r="I6" s="12">
        <v>2.48</v>
      </c>
      <c r="J6" s="12">
        <v>1.1000000000000001</v>
      </c>
      <c r="K6" s="12">
        <v>1.0156599647646001</v>
      </c>
      <c r="L6" s="11" t="s">
        <v>414</v>
      </c>
    </row>
    <row r="7" spans="1:12" s="11" customFormat="1" x14ac:dyDescent="0.3">
      <c r="A7" s="23">
        <v>6</v>
      </c>
      <c r="B7" s="11" t="s">
        <v>380</v>
      </c>
      <c r="C7" s="11">
        <v>2</v>
      </c>
      <c r="D7" s="11" t="s">
        <v>338</v>
      </c>
      <c r="E7" s="35" t="s">
        <v>339</v>
      </c>
      <c r="F7" s="35">
        <v>1.79</v>
      </c>
      <c r="G7" s="11">
        <v>1.35</v>
      </c>
      <c r="H7" s="12">
        <v>1.9558716984514499</v>
      </c>
      <c r="I7" s="11">
        <v>2.48</v>
      </c>
      <c r="J7" s="12">
        <v>1.1000000000000001</v>
      </c>
      <c r="K7" s="12">
        <v>1.0156599647646001</v>
      </c>
      <c r="L7" s="11" t="s">
        <v>414</v>
      </c>
    </row>
    <row r="8" spans="1:12" s="11" customFormat="1" x14ac:dyDescent="0.3">
      <c r="A8" s="23">
        <v>7</v>
      </c>
      <c r="B8" s="11" t="s">
        <v>345</v>
      </c>
      <c r="C8" s="11">
        <v>0</v>
      </c>
      <c r="D8" s="11" t="s">
        <v>346</v>
      </c>
      <c r="E8" s="35" t="s">
        <v>347</v>
      </c>
      <c r="F8" s="36">
        <f>-LOG(0.057)</f>
        <v>1.2441251443275085</v>
      </c>
      <c r="G8" s="12">
        <v>2</v>
      </c>
      <c r="H8" s="12">
        <v>1.75252073038186</v>
      </c>
      <c r="I8" s="12">
        <v>2.39</v>
      </c>
      <c r="J8" s="12">
        <v>1.1000000000000001</v>
      </c>
      <c r="K8" s="12">
        <v>2.0728369921158398</v>
      </c>
      <c r="L8" s="11" t="s">
        <v>397</v>
      </c>
    </row>
    <row r="9" spans="1:12" s="11" customFormat="1" x14ac:dyDescent="0.3">
      <c r="A9" s="23">
        <v>8</v>
      </c>
      <c r="B9" s="11" t="s">
        <v>348</v>
      </c>
      <c r="C9" s="11">
        <v>0</v>
      </c>
      <c r="D9" s="11" t="s">
        <v>349</v>
      </c>
      <c r="E9" s="35" t="s">
        <v>350</v>
      </c>
      <c r="F9" s="36">
        <f>-LOG(0.0022)</f>
        <v>2.6575773191777938</v>
      </c>
      <c r="G9" s="12">
        <v>3.13</v>
      </c>
      <c r="H9" s="12">
        <v>3.1579850237521598</v>
      </c>
      <c r="I9" s="12">
        <v>2.63</v>
      </c>
      <c r="J9" s="12">
        <v>2.8</v>
      </c>
      <c r="K9" s="12">
        <v>3.4722344965273302</v>
      </c>
      <c r="L9" s="11" t="s">
        <v>397</v>
      </c>
    </row>
    <row r="10" spans="1:12" s="11" customFormat="1" x14ac:dyDescent="0.3">
      <c r="A10" s="23">
        <v>9</v>
      </c>
      <c r="B10" s="11" t="s">
        <v>351</v>
      </c>
      <c r="C10" s="11">
        <v>5</v>
      </c>
      <c r="E10" s="35" t="s">
        <v>352</v>
      </c>
      <c r="F10" s="35">
        <v>1.48</v>
      </c>
      <c r="G10" s="12">
        <v>2.0499999999999998</v>
      </c>
      <c r="H10" s="12">
        <v>1.46</v>
      </c>
      <c r="I10" s="12">
        <v>3.72</v>
      </c>
      <c r="J10" s="12">
        <v>1.7</v>
      </c>
      <c r="K10" s="12">
        <v>4.12</v>
      </c>
      <c r="L10" s="20" t="s">
        <v>428</v>
      </c>
    </row>
    <row r="11" spans="1:12" s="11" customFormat="1" x14ac:dyDescent="0.3">
      <c r="A11" s="23"/>
    </row>
    <row r="12" spans="1:12" s="11" customFormat="1" x14ac:dyDescent="0.3">
      <c r="A12" s="23"/>
      <c r="E12" s="11" t="s">
        <v>420</v>
      </c>
    </row>
    <row r="13" spans="1:12" s="11" customFormat="1" x14ac:dyDescent="0.3">
      <c r="A13" s="23"/>
    </row>
    <row r="14" spans="1:12" s="11" customFormat="1" x14ac:dyDescent="0.3">
      <c r="A14" s="23"/>
    </row>
    <row r="15" spans="1:12" s="11" customFormat="1" x14ac:dyDescent="0.3">
      <c r="A15" s="23"/>
    </row>
    <row r="16" spans="1:12" s="11" customFormat="1" x14ac:dyDescent="0.3">
      <c r="A16" s="23"/>
    </row>
    <row r="17" spans="1:1" s="11" customFormat="1" x14ac:dyDescent="0.3">
      <c r="A17" s="23"/>
    </row>
    <row r="18" spans="1:1" s="11" customFormat="1" x14ac:dyDescent="0.3">
      <c r="A18" s="23"/>
    </row>
    <row r="19" spans="1:1" s="11" customFormat="1" x14ac:dyDescent="0.3">
      <c r="A19"/>
    </row>
    <row r="20" spans="1:1" s="11" customFormat="1" x14ac:dyDescent="0.3">
      <c r="A20"/>
    </row>
    <row r="21" spans="1:1" s="11" customFormat="1" x14ac:dyDescent="0.3">
      <c r="A21"/>
    </row>
  </sheetData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4727A-79F8-4D8B-9F1D-9FF84930341B}">
  <dimension ref="A1:R18"/>
  <sheetViews>
    <sheetView workbookViewId="0"/>
  </sheetViews>
  <sheetFormatPr defaultRowHeight="14.4" x14ac:dyDescent="0.3"/>
  <cols>
    <col min="3" max="3" width="17.109375" customWidth="1"/>
    <col min="7" max="7" width="25.6640625" customWidth="1"/>
    <col min="8" max="8" width="10.6640625" customWidth="1"/>
    <col min="9" max="9" width="12.88671875" customWidth="1"/>
    <col min="11" max="11" width="17" customWidth="1"/>
    <col min="12" max="12" width="11.33203125" customWidth="1"/>
    <col min="14" max="14" width="12.33203125" customWidth="1"/>
  </cols>
  <sheetData>
    <row r="1" spans="1:18" x14ac:dyDescent="0.3">
      <c r="A1" s="22" t="s">
        <v>1</v>
      </c>
      <c r="B1" s="17" t="s">
        <v>249</v>
      </c>
      <c r="C1" s="18" t="s">
        <v>377</v>
      </c>
      <c r="D1" s="18" t="s">
        <v>109</v>
      </c>
      <c r="E1" s="18" t="s">
        <v>110</v>
      </c>
      <c r="F1" s="18" t="s">
        <v>3</v>
      </c>
      <c r="G1" s="37" t="s">
        <v>4</v>
      </c>
      <c r="H1" s="37" t="s">
        <v>378</v>
      </c>
      <c r="I1" s="18" t="s">
        <v>7</v>
      </c>
      <c r="J1" s="19" t="s">
        <v>114</v>
      </c>
      <c r="K1" s="19" t="s">
        <v>379</v>
      </c>
      <c r="L1" s="20" t="s">
        <v>10</v>
      </c>
      <c r="M1" s="19" t="s">
        <v>11</v>
      </c>
      <c r="N1" s="19" t="s">
        <v>495</v>
      </c>
      <c r="O1" s="14" t="s">
        <v>387</v>
      </c>
      <c r="P1" s="1"/>
    </row>
    <row r="2" spans="1:18" x14ac:dyDescent="0.3">
      <c r="A2" s="23">
        <v>1</v>
      </c>
      <c r="B2" s="15" t="s">
        <v>355</v>
      </c>
      <c r="C2" s="14" t="s">
        <v>356</v>
      </c>
      <c r="D2" s="14" t="s">
        <v>357</v>
      </c>
      <c r="E2" s="14"/>
      <c r="F2" s="14" t="s">
        <v>353</v>
      </c>
      <c r="G2" s="38" t="s">
        <v>358</v>
      </c>
      <c r="H2" s="37">
        <v>12.74</v>
      </c>
      <c r="I2" s="18">
        <v>13.05</v>
      </c>
      <c r="J2" s="19">
        <v>13.386687652846801</v>
      </c>
      <c r="K2" s="20">
        <v>9.0299999999999994</v>
      </c>
      <c r="L2" s="19">
        <v>13.2</v>
      </c>
      <c r="M2" s="21">
        <v>3.8542129061045198</v>
      </c>
      <c r="N2" s="20">
        <v>9.0299999999999994</v>
      </c>
      <c r="O2" s="14" t="s">
        <v>509</v>
      </c>
      <c r="P2" s="1"/>
      <c r="R2" s="10"/>
    </row>
    <row r="3" spans="1:18" x14ac:dyDescent="0.3">
      <c r="A3" s="23">
        <v>2</v>
      </c>
      <c r="B3" t="s">
        <v>355</v>
      </c>
      <c r="D3" t="s">
        <v>357</v>
      </c>
      <c r="F3" t="s">
        <v>353</v>
      </c>
      <c r="G3" s="27" t="s">
        <v>376</v>
      </c>
      <c r="H3" s="39">
        <v>12</v>
      </c>
      <c r="I3" s="20">
        <v>13.05</v>
      </c>
      <c r="J3" s="21">
        <v>13.386687652846801</v>
      </c>
      <c r="K3" s="20">
        <v>9.0299999999999994</v>
      </c>
      <c r="L3" s="20">
        <v>13.2</v>
      </c>
      <c r="M3" s="20">
        <v>3.85</v>
      </c>
      <c r="N3" s="20">
        <v>9.0299999999999994</v>
      </c>
      <c r="O3" t="s">
        <v>508</v>
      </c>
    </row>
    <row r="4" spans="1:18" x14ac:dyDescent="0.3">
      <c r="A4" s="23">
        <v>3</v>
      </c>
      <c r="B4" s="16" t="s">
        <v>359</v>
      </c>
      <c r="C4" t="s">
        <v>360</v>
      </c>
      <c r="D4" t="s">
        <v>361</v>
      </c>
      <c r="F4" s="14" t="s">
        <v>353</v>
      </c>
      <c r="G4" s="27" t="s">
        <v>362</v>
      </c>
      <c r="H4" s="39">
        <v>6.67</v>
      </c>
      <c r="I4" s="20">
        <f>(5.78+7.76)/2</f>
        <v>6.77</v>
      </c>
      <c r="J4" s="21">
        <v>7.0453857902399903</v>
      </c>
      <c r="K4" s="20">
        <v>9.08</v>
      </c>
      <c r="L4" s="19">
        <v>8.1999999999999993</v>
      </c>
      <c r="M4" s="21">
        <v>2.6734850701191699</v>
      </c>
      <c r="N4" s="20">
        <v>9.3699999999999992</v>
      </c>
      <c r="O4" t="s">
        <v>508</v>
      </c>
    </row>
    <row r="5" spans="1:18" x14ac:dyDescent="0.3">
      <c r="A5" s="23">
        <v>4</v>
      </c>
      <c r="B5" s="16"/>
      <c r="C5" t="s">
        <v>363</v>
      </c>
      <c r="D5" t="s">
        <v>364</v>
      </c>
      <c r="F5" s="14" t="s">
        <v>353</v>
      </c>
      <c r="G5" s="27" t="s">
        <v>365</v>
      </c>
      <c r="H5" s="39">
        <v>6.48</v>
      </c>
      <c r="I5" s="20">
        <f>(6.17+8.14)/2</f>
        <v>7.1550000000000002</v>
      </c>
      <c r="J5" s="21">
        <v>6.8540638520195198</v>
      </c>
      <c r="K5" s="20">
        <v>8.9499999999999993</v>
      </c>
      <c r="L5" s="19">
        <v>8.1999999999999993</v>
      </c>
      <c r="M5" s="21">
        <v>2.5818447845251802</v>
      </c>
      <c r="N5" s="20">
        <v>9.26</v>
      </c>
      <c r="O5" t="s">
        <v>508</v>
      </c>
    </row>
    <row r="6" spans="1:18" x14ac:dyDescent="0.3">
      <c r="A6" s="23">
        <v>5</v>
      </c>
      <c r="B6" s="16" t="s">
        <v>366</v>
      </c>
      <c r="C6" t="s">
        <v>367</v>
      </c>
      <c r="D6" t="s">
        <v>368</v>
      </c>
      <c r="F6" s="14" t="s">
        <v>353</v>
      </c>
      <c r="G6" s="27" t="s">
        <v>369</v>
      </c>
      <c r="H6" s="39">
        <v>6.42</v>
      </c>
      <c r="I6" s="20">
        <f>(6.56+8.52)/2</f>
        <v>7.5399999999999991</v>
      </c>
      <c r="J6" s="21">
        <v>6.6920226490637598</v>
      </c>
      <c r="K6" s="20">
        <v>8.91</v>
      </c>
      <c r="L6" s="19">
        <v>8.1999999999999993</v>
      </c>
      <c r="M6" s="21">
        <v>3.04904252231404</v>
      </c>
      <c r="N6" s="20">
        <v>9.23</v>
      </c>
      <c r="O6" t="s">
        <v>508</v>
      </c>
    </row>
    <row r="7" spans="1:18" x14ac:dyDescent="0.3">
      <c r="A7" s="23">
        <v>6</v>
      </c>
      <c r="B7" s="16"/>
      <c r="C7" t="s">
        <v>370</v>
      </c>
      <c r="D7" t="s">
        <v>371</v>
      </c>
      <c r="F7" s="14" t="s">
        <v>353</v>
      </c>
      <c r="G7" s="27" t="s">
        <v>372</v>
      </c>
      <c r="H7" s="39">
        <v>7.9</v>
      </c>
      <c r="I7" s="20">
        <f>(5.38+7.38)/2</f>
        <v>6.38</v>
      </c>
      <c r="J7" s="21">
        <v>7.2181650495424297</v>
      </c>
      <c r="K7" s="20">
        <v>9.14</v>
      </c>
      <c r="L7" s="19">
        <v>8</v>
      </c>
      <c r="M7" s="21">
        <v>2.7438055653704998</v>
      </c>
      <c r="N7" s="20">
        <v>9.36</v>
      </c>
      <c r="O7" t="s">
        <v>508</v>
      </c>
      <c r="R7" s="10"/>
    </row>
    <row r="8" spans="1:18" x14ac:dyDescent="0.3">
      <c r="A8" s="23">
        <v>7</v>
      </c>
      <c r="B8" s="16"/>
      <c r="C8" t="s">
        <v>373</v>
      </c>
      <c r="D8" t="s">
        <v>374</v>
      </c>
      <c r="F8" s="14" t="s">
        <v>353</v>
      </c>
      <c r="G8" s="27" t="s">
        <v>375</v>
      </c>
      <c r="H8" s="39">
        <v>8.7899999999999991</v>
      </c>
      <c r="I8" s="20">
        <f>(7.38+9.36)/2</f>
        <v>8.3699999999999992</v>
      </c>
      <c r="J8" s="21">
        <v>9.2470756733724393</v>
      </c>
      <c r="K8" s="20">
        <v>8.92</v>
      </c>
      <c r="L8" s="19">
        <v>8.6999999999999993</v>
      </c>
      <c r="M8" s="21">
        <v>4.0769075023725696</v>
      </c>
      <c r="N8" s="20">
        <v>9.17</v>
      </c>
      <c r="O8" t="s">
        <v>508</v>
      </c>
      <c r="R8" s="10"/>
    </row>
    <row r="9" spans="1:18" x14ac:dyDescent="0.3">
      <c r="A9" s="23"/>
    </row>
    <row r="10" spans="1:18" x14ac:dyDescent="0.3">
      <c r="A10" s="23"/>
    </row>
    <row r="11" spans="1:18" x14ac:dyDescent="0.3">
      <c r="A11" s="23"/>
    </row>
    <row r="12" spans="1:18" x14ac:dyDescent="0.3">
      <c r="A12" s="23"/>
    </row>
    <row r="13" spans="1:18" x14ac:dyDescent="0.3">
      <c r="A13" s="23"/>
    </row>
    <row r="14" spans="1:18" x14ac:dyDescent="0.3">
      <c r="A14" s="23"/>
    </row>
    <row r="15" spans="1:18" x14ac:dyDescent="0.3">
      <c r="A15" s="23"/>
    </row>
    <row r="16" spans="1:18" x14ac:dyDescent="0.3">
      <c r="A16" s="23"/>
    </row>
    <row r="17" spans="1:1" x14ac:dyDescent="0.3">
      <c r="A17" s="23"/>
    </row>
    <row r="18" spans="1:1" x14ac:dyDescent="0.3">
      <c r="A18" s="2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6F58-A2E1-40F4-937C-1573C536E969}">
  <dimension ref="A1:G9"/>
  <sheetViews>
    <sheetView workbookViewId="0"/>
  </sheetViews>
  <sheetFormatPr defaultRowHeight="14.4" x14ac:dyDescent="0.3"/>
  <cols>
    <col min="5" max="5" width="20.44140625" bestFit="1" customWidth="1"/>
    <col min="6" max="6" width="16.88671875" bestFit="1" customWidth="1"/>
    <col min="7" max="7" width="19.33203125" bestFit="1" customWidth="1"/>
  </cols>
  <sheetData>
    <row r="1" spans="1:7" x14ac:dyDescent="0.3">
      <c r="B1" t="s">
        <v>533</v>
      </c>
      <c r="E1" t="s">
        <v>521</v>
      </c>
      <c r="F1" t="s">
        <v>516</v>
      </c>
      <c r="G1" t="s">
        <v>532</v>
      </c>
    </row>
    <row r="2" spans="1:7" x14ac:dyDescent="0.3">
      <c r="B2" t="s">
        <v>517</v>
      </c>
      <c r="C2" t="s">
        <v>518</v>
      </c>
      <c r="D2" t="s">
        <v>519</v>
      </c>
      <c r="E2" s="83" t="s">
        <v>522</v>
      </c>
      <c r="F2" s="83" t="s">
        <v>520</v>
      </c>
      <c r="G2" s="83" t="s">
        <v>522</v>
      </c>
    </row>
    <row r="3" spans="1:7" x14ac:dyDescent="0.3">
      <c r="A3" t="s">
        <v>19</v>
      </c>
      <c r="B3" s="3">
        <f>AVERAGE(TableS13!$G$19:$G$26)</f>
        <v>0.7920106974939245</v>
      </c>
      <c r="C3" s="3">
        <f>MIN(TableS13!$G$19:$G$26)</f>
        <v>0.18608557995139652</v>
      </c>
      <c r="D3" s="3">
        <f>MAX(TableS13!$G$19:$G$26)</f>
        <v>1.6</v>
      </c>
      <c r="E3" s="82" t="s">
        <v>523</v>
      </c>
      <c r="F3" s="83">
        <v>0.85</v>
      </c>
      <c r="G3" s="84" t="s">
        <v>529</v>
      </c>
    </row>
    <row r="4" spans="1:7" x14ac:dyDescent="0.3">
      <c r="A4" t="s">
        <v>24</v>
      </c>
      <c r="B4" s="3">
        <f>AVERAGE(TableS13!$G$27:$G$32)</f>
        <v>1.0016666666666667</v>
      </c>
      <c r="C4" s="3">
        <f>MIN(TableS13!$G$27:$G$32)</f>
        <v>0.43</v>
      </c>
      <c r="D4" s="3">
        <f>MAX(TableS13!$G$27:$G$32)</f>
        <v>2.27</v>
      </c>
      <c r="E4" s="82" t="s">
        <v>524</v>
      </c>
      <c r="F4" s="83">
        <v>0.81</v>
      </c>
      <c r="G4" s="84" t="s">
        <v>529</v>
      </c>
    </row>
    <row r="5" spans="1:7" x14ac:dyDescent="0.3">
      <c r="A5" t="s">
        <v>27</v>
      </c>
      <c r="B5" s="3">
        <f>AVERAGE(TableS13!$G$33:$G$38)</f>
        <v>1.175</v>
      </c>
      <c r="C5" s="3">
        <f>MIN(TableS13!$G$33:$G$38)</f>
        <v>0.75</v>
      </c>
      <c r="D5" s="3">
        <f>MAX(TableS13!$G$33:$G$38)</f>
        <v>2.17</v>
      </c>
      <c r="E5" s="82" t="s">
        <v>525</v>
      </c>
      <c r="F5" s="83">
        <v>0.84</v>
      </c>
      <c r="G5" s="84" t="s">
        <v>529</v>
      </c>
    </row>
    <row r="6" spans="1:7" x14ac:dyDescent="0.3">
      <c r="A6" t="s">
        <v>30</v>
      </c>
      <c r="B6" s="3">
        <f>AVERAGE(TableS13!$G$39:$G$40)</f>
        <v>1.93</v>
      </c>
      <c r="C6" s="3">
        <f>MIN(TableS13!$G$39:$G$40)</f>
        <v>1.6</v>
      </c>
      <c r="D6" s="3">
        <f>MAX(TableS13!$G$39:$G$40)</f>
        <v>2.2599999999999998</v>
      </c>
      <c r="E6" s="82" t="s">
        <v>526</v>
      </c>
      <c r="F6" s="83">
        <v>0.82</v>
      </c>
      <c r="G6" s="84" t="s">
        <v>529</v>
      </c>
    </row>
    <row r="7" spans="1:7" x14ac:dyDescent="0.3">
      <c r="A7" s="1" t="s">
        <v>33</v>
      </c>
      <c r="B7" s="3">
        <f>AVERAGE(TableS13!$G$41:$G$52)</f>
        <v>1.6666666666666667</v>
      </c>
      <c r="C7" s="3">
        <f>MIN(TableS13!$G$41:$G$52)</f>
        <v>0.42</v>
      </c>
      <c r="D7" s="3">
        <f>MAX(TableS13!$G$41:$G$52)</f>
        <v>2.8</v>
      </c>
      <c r="E7" s="82" t="s">
        <v>531</v>
      </c>
      <c r="F7" s="83">
        <v>0.9</v>
      </c>
      <c r="G7" s="82" t="s">
        <v>530</v>
      </c>
    </row>
    <row r="8" spans="1:7" x14ac:dyDescent="0.3">
      <c r="A8" s="1" t="s">
        <v>38</v>
      </c>
      <c r="B8" s="3">
        <f>AVERAGE(TableS13!$G$53:$G$55)</f>
        <v>2.1733333333333333</v>
      </c>
      <c r="C8" s="3">
        <f>MIN(TableS13!$G$53:$G$55)</f>
        <v>1.6</v>
      </c>
      <c r="D8" s="3">
        <f>MAX(TableS13!$G$53:$G$55)</f>
        <v>2.58</v>
      </c>
      <c r="E8" s="82" t="s">
        <v>527</v>
      </c>
      <c r="F8" s="83">
        <v>0.82</v>
      </c>
      <c r="G8" s="84" t="s">
        <v>529</v>
      </c>
    </row>
    <row r="9" spans="1:7" x14ac:dyDescent="0.3">
      <c r="A9" s="1" t="s">
        <v>41</v>
      </c>
      <c r="B9" s="3">
        <f>AVERAGE(TableS13!$G$56:$G$58)</f>
        <v>2.2166666666666668</v>
      </c>
      <c r="C9" s="3">
        <f>MIN(TableS13!$G$56:$G$58)</f>
        <v>1.6</v>
      </c>
      <c r="D9" s="3">
        <f>MAX(TableS13!$G$56:$G$58)</f>
        <v>2.61</v>
      </c>
      <c r="E9" s="82" t="s">
        <v>528</v>
      </c>
      <c r="F9" s="84" t="s">
        <v>529</v>
      </c>
      <c r="G9" s="84" t="s">
        <v>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Key</vt:lpstr>
      <vt:lpstr>TableS13</vt:lpstr>
      <vt:lpstr>TableS14</vt:lpstr>
      <vt:lpstr>TableS15</vt:lpstr>
      <vt:lpstr>TableS16</vt:lpstr>
      <vt:lpstr>TableS17</vt:lpstr>
      <vt:lpstr>TableS18</vt:lpstr>
      <vt:lpstr>TableS19</vt:lpstr>
      <vt:lpstr>TableS22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Lazare, Jovian</dc:creator>
  <cp:lastModifiedBy>Stevens, Caroline</cp:lastModifiedBy>
  <dcterms:created xsi:type="dcterms:W3CDTF">2023-10-25T16:12:21Z</dcterms:created>
  <dcterms:modified xsi:type="dcterms:W3CDTF">2025-05-07T00:51:10Z</dcterms:modified>
</cp:coreProperties>
</file>