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epa-my.sharepoint.com/personal/stevens_caroline_epa_gov/Documents/MyResearch/ChemFateTrans/EFS/ProcessScience/Hydrolysis_QSAR/PFAS/"/>
    </mc:Choice>
  </mc:AlternateContent>
  <xr:revisionPtr revIDLastSave="379" documentId="8_{F97CFEA9-91A6-40CD-98BC-064D8C4CBBCA}" xr6:coauthVersionLast="47" xr6:coauthVersionMax="47" xr10:uidLastSave="{C7E0D492-3F11-41C6-8762-CEE07A2513E3}"/>
  <bookViews>
    <workbookView xWindow="-108" yWindow="-108" windowWidth="23256" windowHeight="12456" xr2:uid="{EE11AEB3-5DDE-4960-985C-3FD495CCD61B}"/>
  </bookViews>
  <sheets>
    <sheet name="Key" sheetId="6" r:id="rId1"/>
    <sheet name="Collect" sheetId="3" r:id="rId2"/>
    <sheet name="Ref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83" i="3" l="1"/>
  <c r="T83" i="3"/>
  <c r="V83" i="3" s="1"/>
  <c r="Y83" i="3" s="1"/>
  <c r="M83" i="3"/>
  <c r="N83" i="3" s="1"/>
  <c r="Z83" i="3" l="1"/>
  <c r="X83" i="3"/>
  <c r="AA83" i="3" l="1"/>
  <c r="W83" i="3"/>
  <c r="AB83" i="3" s="1"/>
  <c r="Q31" i="3" l="1"/>
  <c r="Q32" i="3"/>
  <c r="T80" i="3"/>
  <c r="Q80" i="3"/>
  <c r="Q78" i="3"/>
  <c r="Q79" i="3"/>
  <c r="T61" i="3"/>
  <c r="Q61" i="3"/>
  <c r="Q59" i="3"/>
  <c r="Q60" i="3"/>
  <c r="T32" i="3"/>
  <c r="T31" i="3"/>
  <c r="T79" i="3"/>
  <c r="T78" i="3"/>
  <c r="T60" i="3"/>
  <c r="T59" i="3"/>
  <c r="Q81" i="3"/>
  <c r="T82" i="3" l="1"/>
  <c r="AG30" i="3" l="1"/>
  <c r="T30" i="3"/>
  <c r="U30" i="3" s="1"/>
  <c r="M30" i="3"/>
  <c r="N30" i="3" s="1"/>
  <c r="T58" i="3"/>
  <c r="T62" i="3"/>
  <c r="T63" i="3"/>
  <c r="T64" i="3"/>
  <c r="AG119" i="3"/>
  <c r="AG118" i="3"/>
  <c r="AG117" i="3"/>
  <c r="AG116" i="3"/>
  <c r="AG115" i="3"/>
  <c r="AG114" i="3"/>
  <c r="AG113" i="3"/>
  <c r="AG112" i="3"/>
  <c r="AG111" i="3"/>
  <c r="AG110" i="3"/>
  <c r="AG109" i="3"/>
  <c r="AG108" i="3"/>
  <c r="AG107" i="3"/>
  <c r="AG106" i="3"/>
  <c r="AG105" i="3"/>
  <c r="AG104" i="3"/>
  <c r="AG103" i="3"/>
  <c r="AG102" i="3"/>
  <c r="AG101" i="3"/>
  <c r="AG100" i="3"/>
  <c r="AG99" i="3"/>
  <c r="AG98" i="3"/>
  <c r="AG97" i="3"/>
  <c r="AG96" i="3"/>
  <c r="AG95" i="3"/>
  <c r="AG94" i="3"/>
  <c r="AG93" i="3"/>
  <c r="AG92" i="3"/>
  <c r="AG91" i="3"/>
  <c r="AG90" i="3"/>
  <c r="AG89" i="3"/>
  <c r="AG88" i="3"/>
  <c r="AG87" i="3"/>
  <c r="AG86" i="3"/>
  <c r="AG85" i="3"/>
  <c r="AG84" i="3"/>
  <c r="AG80" i="3"/>
  <c r="AG79" i="3"/>
  <c r="AG78" i="3"/>
  <c r="AG77" i="3"/>
  <c r="AG76" i="3"/>
  <c r="AG82" i="3"/>
  <c r="AG81" i="3"/>
  <c r="AG73" i="3"/>
  <c r="AG72" i="3"/>
  <c r="AG71" i="3"/>
  <c r="AG70" i="3"/>
  <c r="AG69" i="3"/>
  <c r="AG68" i="3"/>
  <c r="AG67" i="3"/>
  <c r="AG66" i="3"/>
  <c r="AG65" i="3"/>
  <c r="AG64" i="3"/>
  <c r="AG63" i="3"/>
  <c r="AG62" i="3"/>
  <c r="AG61" i="3"/>
  <c r="AG60" i="3"/>
  <c r="AG59" i="3"/>
  <c r="AG58" i="3"/>
  <c r="AG57" i="3"/>
  <c r="AG56" i="3"/>
  <c r="AG55" i="3"/>
  <c r="AG54" i="3"/>
  <c r="AG53" i="3"/>
  <c r="AG52" i="3"/>
  <c r="AG51" i="3"/>
  <c r="AG50" i="3"/>
  <c r="AG49" i="3"/>
  <c r="AG48" i="3"/>
  <c r="AG47" i="3"/>
  <c r="AG46" i="3"/>
  <c r="AG45" i="3"/>
  <c r="AG44" i="3"/>
  <c r="AG43" i="3"/>
  <c r="AG42" i="3"/>
  <c r="AG41" i="3"/>
  <c r="AG40" i="3"/>
  <c r="AG37" i="3"/>
  <c r="AG36" i="3"/>
  <c r="AG35" i="3"/>
  <c r="AG34" i="3"/>
  <c r="AG33" i="3"/>
  <c r="AG32" i="3"/>
  <c r="AG31" i="3"/>
  <c r="AG29" i="3"/>
  <c r="AG28" i="3"/>
  <c r="AG27" i="3"/>
  <c r="AG26" i="3"/>
  <c r="AG25" i="3"/>
  <c r="AG24" i="3"/>
  <c r="AG23" i="3"/>
  <c r="AG22" i="3"/>
  <c r="AG21" i="3"/>
  <c r="AG20" i="3"/>
  <c r="AG19" i="3"/>
  <c r="AG18" i="3"/>
  <c r="AG17" i="3"/>
  <c r="AG16" i="3"/>
  <c r="AG15" i="3"/>
  <c r="AG14" i="3"/>
  <c r="AG13" i="3"/>
  <c r="AG12" i="3"/>
  <c r="AG11" i="3"/>
  <c r="AG10" i="3"/>
  <c r="AG9" i="3"/>
  <c r="AG8" i="3"/>
  <c r="AG7" i="3"/>
  <c r="AG6" i="3"/>
  <c r="AG5" i="3"/>
  <c r="V30" i="3" l="1"/>
  <c r="Y30" i="3" s="1"/>
  <c r="Z30" i="3" s="1"/>
  <c r="Q34" i="3"/>
  <c r="X30" i="3" l="1"/>
  <c r="W30" i="3" s="1"/>
  <c r="T37" i="3"/>
  <c r="U37" i="3" s="1"/>
  <c r="M37" i="3"/>
  <c r="N37" i="3" s="1"/>
  <c r="AA30" i="3" l="1"/>
  <c r="AB30" i="3"/>
  <c r="V37" i="3"/>
  <c r="Y37" i="3" s="1"/>
  <c r="M63" i="3"/>
  <c r="T20" i="3"/>
  <c r="U20" i="3" s="1"/>
  <c r="T19" i="3"/>
  <c r="U19" i="3" s="1"/>
  <c r="T18" i="3"/>
  <c r="U18" i="3" s="1"/>
  <c r="T17" i="3"/>
  <c r="U17" i="3" s="1"/>
  <c r="T16" i="3"/>
  <c r="U16" i="3" s="1"/>
  <c r="T14" i="3"/>
  <c r="U14" i="3" s="1"/>
  <c r="T12" i="3"/>
  <c r="U12" i="3" s="1"/>
  <c r="T6" i="3"/>
  <c r="U6" i="3" s="1"/>
  <c r="T36" i="3"/>
  <c r="U36" i="3" s="1"/>
  <c r="T35" i="3"/>
  <c r="T33" i="3"/>
  <c r="T21" i="3"/>
  <c r="U21" i="3" s="1"/>
  <c r="N63" i="3" l="1"/>
  <c r="X63" i="3"/>
  <c r="X37" i="3"/>
  <c r="Z37" i="3"/>
  <c r="Q116" i="3"/>
  <c r="T116" i="3" s="1"/>
  <c r="M116" i="3"/>
  <c r="N116" i="3" s="1"/>
  <c r="V63" i="3" l="1"/>
  <c r="W63" i="3"/>
  <c r="AA63" i="3"/>
  <c r="AA37" i="3"/>
  <c r="W37" i="3"/>
  <c r="AB37" i="3" s="1"/>
  <c r="V116" i="3"/>
  <c r="Y116" i="3" s="1"/>
  <c r="X116" i="3" s="1"/>
  <c r="AB63" i="3" l="1"/>
  <c r="Z116" i="3"/>
  <c r="AA116" i="3" l="1"/>
  <c r="W116" i="3"/>
  <c r="AB116" i="3" s="1"/>
  <c r="T40" i="3"/>
  <c r="M34" i="3" l="1"/>
  <c r="M64" i="3"/>
  <c r="N64" i="3" l="1"/>
  <c r="N34" i="3"/>
  <c r="T34" i="3"/>
  <c r="U34" i="3" s="1"/>
  <c r="X64" i="3"/>
  <c r="V64" i="3" l="1"/>
  <c r="AA64" i="3"/>
  <c r="V34" i="3"/>
  <c r="W64" i="3"/>
  <c r="P91" i="3"/>
  <c r="M91" i="3"/>
  <c r="N91" i="3" s="1"/>
  <c r="M90" i="3"/>
  <c r="N90" i="3" s="1"/>
  <c r="T89" i="3"/>
  <c r="Q91" i="3"/>
  <c r="Q90" i="3"/>
  <c r="P92" i="3"/>
  <c r="P93" i="3"/>
  <c r="P94" i="3"/>
  <c r="P95" i="3"/>
  <c r="P90" i="3"/>
  <c r="AB64" i="3" l="1"/>
  <c r="Y34" i="3"/>
  <c r="Z34" i="3" s="1"/>
  <c r="T91" i="3"/>
  <c r="V91" i="3" s="1"/>
  <c r="Y91" i="3" s="1"/>
  <c r="Z91" i="3" s="1"/>
  <c r="T90" i="3"/>
  <c r="V90" i="3" s="1"/>
  <c r="Y90" i="3" s="1"/>
  <c r="V11" i="3"/>
  <c r="M5" i="3"/>
  <c r="N5" i="3" l="1"/>
  <c r="X34" i="3"/>
  <c r="Z90" i="3"/>
  <c r="X90" i="3"/>
  <c r="W90" i="3" s="1"/>
  <c r="AB90" i="3" s="1"/>
  <c r="X91" i="3"/>
  <c r="W91" i="3" s="1"/>
  <c r="AB91" i="3" s="1"/>
  <c r="W34" i="3" l="1"/>
  <c r="AB34" i="3" s="1"/>
  <c r="AA34" i="3"/>
  <c r="AA91" i="3"/>
  <c r="AA90" i="3"/>
  <c r="Q119" i="3" l="1"/>
  <c r="T119" i="3" s="1"/>
  <c r="M119" i="3"/>
  <c r="N119" i="3" s="1"/>
  <c r="V119" i="3" l="1"/>
  <c r="Y119" i="3" s="1"/>
  <c r="X119" i="3" s="1"/>
  <c r="Z119" i="3" l="1"/>
  <c r="AA119" i="3"/>
  <c r="W119" i="3"/>
  <c r="AB119" i="3" s="1"/>
  <c r="R5" i="3" l="1"/>
  <c r="V8" i="3"/>
  <c r="V7" i="3"/>
  <c r="T47" i="3"/>
  <c r="M47" i="3"/>
  <c r="T42" i="3"/>
  <c r="M42" i="3"/>
  <c r="T55" i="3"/>
  <c r="M55" i="3"/>
  <c r="T54" i="3"/>
  <c r="M54" i="3"/>
  <c r="T53" i="3"/>
  <c r="M53" i="3"/>
  <c r="T52" i="3"/>
  <c r="M52" i="3"/>
  <c r="T51" i="3"/>
  <c r="M51" i="3"/>
  <c r="T50" i="3"/>
  <c r="M50" i="3"/>
  <c r="T49" i="3"/>
  <c r="M49" i="3"/>
  <c r="N50" i="3" l="1"/>
  <c r="N42" i="3"/>
  <c r="N49" i="3"/>
  <c r="N52" i="3"/>
  <c r="N54" i="3"/>
  <c r="N55" i="3"/>
  <c r="N47" i="3"/>
  <c r="N51" i="3"/>
  <c r="N53" i="3"/>
  <c r="V5" i="3"/>
  <c r="U5" i="3"/>
  <c r="X47" i="3"/>
  <c r="X52" i="3"/>
  <c r="X54" i="3"/>
  <c r="X55" i="3"/>
  <c r="X42" i="3"/>
  <c r="X49" i="3"/>
  <c r="X50" i="3"/>
  <c r="X53" i="3"/>
  <c r="X51" i="3"/>
  <c r="V52" i="3" l="1"/>
  <c r="V42" i="3"/>
  <c r="V50" i="3"/>
  <c r="V53" i="3"/>
  <c r="V51" i="3"/>
  <c r="V54" i="3"/>
  <c r="V47" i="3"/>
  <c r="V49" i="3"/>
  <c r="V55" i="3"/>
  <c r="Y5" i="3"/>
  <c r="W50" i="3"/>
  <c r="AA50" i="3"/>
  <c r="W55" i="3"/>
  <c r="AA55" i="3"/>
  <c r="W42" i="3"/>
  <c r="AA42" i="3"/>
  <c r="W54" i="3"/>
  <c r="AA54" i="3"/>
  <c r="W51" i="3"/>
  <c r="AB51" i="3" s="1"/>
  <c r="AA51" i="3"/>
  <c r="W53" i="3"/>
  <c r="AA53" i="3"/>
  <c r="W49" i="3"/>
  <c r="AA49" i="3"/>
  <c r="W52" i="3"/>
  <c r="AA52" i="3"/>
  <c r="W47" i="3"/>
  <c r="AA47" i="3"/>
  <c r="AB53" i="3" l="1"/>
  <c r="AB54" i="3"/>
  <c r="AB55" i="3"/>
  <c r="AB50" i="3"/>
  <c r="AB49" i="3"/>
  <c r="AB42" i="3"/>
  <c r="AB47" i="3"/>
  <c r="AB52" i="3"/>
  <c r="Q92" i="3" l="1"/>
  <c r="Q93" i="3"/>
  <c r="L89" i="3"/>
  <c r="L88" i="3"/>
  <c r="L87" i="3"/>
  <c r="Q86" i="3"/>
  <c r="T97" i="3" l="1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96" i="3"/>
  <c r="M111" i="3" l="1"/>
  <c r="N111" i="3" s="1"/>
  <c r="V111" i="3" s="1"/>
  <c r="Y111" i="3" s="1"/>
  <c r="M110" i="3"/>
  <c r="N110" i="3" s="1"/>
  <c r="V110" i="3" s="1"/>
  <c r="Y110" i="3" s="1"/>
  <c r="M109" i="3"/>
  <c r="N109" i="3" s="1"/>
  <c r="V109" i="3" s="1"/>
  <c r="Y109" i="3" s="1"/>
  <c r="M108" i="3"/>
  <c r="N108" i="3" s="1"/>
  <c r="V108" i="3" s="1"/>
  <c r="M107" i="3"/>
  <c r="N107" i="3" s="1"/>
  <c r="V107" i="3" s="1"/>
  <c r="M106" i="3"/>
  <c r="N106" i="3" s="1"/>
  <c r="V106" i="3" s="1"/>
  <c r="M105" i="3"/>
  <c r="N105" i="3" s="1"/>
  <c r="V105" i="3" s="1"/>
  <c r="M104" i="3"/>
  <c r="N104" i="3" s="1"/>
  <c r="V104" i="3" s="1"/>
  <c r="M103" i="3"/>
  <c r="N103" i="3" s="1"/>
  <c r="V103" i="3" s="1"/>
  <c r="M102" i="3"/>
  <c r="N102" i="3" s="1"/>
  <c r="V102" i="3" s="1"/>
  <c r="M101" i="3"/>
  <c r="N101" i="3" s="1"/>
  <c r="V101" i="3" s="1"/>
  <c r="M100" i="3"/>
  <c r="N100" i="3" s="1"/>
  <c r="V100" i="3" s="1"/>
  <c r="M99" i="3"/>
  <c r="N99" i="3" s="1"/>
  <c r="V99" i="3" s="1"/>
  <c r="M98" i="3"/>
  <c r="N98" i="3" s="1"/>
  <c r="V98" i="3" s="1"/>
  <c r="M97" i="3"/>
  <c r="N97" i="3" s="1"/>
  <c r="V97" i="3" s="1"/>
  <c r="M96" i="3"/>
  <c r="N96" i="3" s="1"/>
  <c r="V96" i="3" s="1"/>
  <c r="X109" i="3" l="1"/>
  <c r="Z109" i="3"/>
  <c r="X110" i="3"/>
  <c r="Z110" i="3"/>
  <c r="X111" i="3"/>
  <c r="Z111" i="3"/>
  <c r="Y107" i="3"/>
  <c r="Z107" i="3" s="1"/>
  <c r="Y108" i="3"/>
  <c r="Y106" i="3"/>
  <c r="Y105" i="3"/>
  <c r="Y104" i="3"/>
  <c r="Y102" i="3"/>
  <c r="Y97" i="3"/>
  <c r="Y99" i="3"/>
  <c r="Y101" i="3"/>
  <c r="Y96" i="3"/>
  <c r="X106" i="3" l="1"/>
  <c r="Z106" i="3"/>
  <c r="W111" i="3"/>
  <c r="AB111" i="3" s="1"/>
  <c r="AA111" i="3"/>
  <c r="W110" i="3"/>
  <c r="AB110" i="3" s="1"/>
  <c r="AA110" i="3"/>
  <c r="W109" i="3"/>
  <c r="AB109" i="3" s="1"/>
  <c r="AA109" i="3"/>
  <c r="X101" i="3"/>
  <c r="AA101" i="3" s="1"/>
  <c r="Z101" i="3"/>
  <c r="X102" i="3"/>
  <c r="W102" i="3" s="1"/>
  <c r="AB102" i="3" s="1"/>
  <c r="Z102" i="3"/>
  <c r="X104" i="3"/>
  <c r="Z104" i="3"/>
  <c r="X96" i="3"/>
  <c r="W96" i="3" s="1"/>
  <c r="AB96" i="3" s="1"/>
  <c r="Z96" i="3"/>
  <c r="X99" i="3"/>
  <c r="W99" i="3" s="1"/>
  <c r="AB99" i="3" s="1"/>
  <c r="Z99" i="3"/>
  <c r="X97" i="3"/>
  <c r="W97" i="3" s="1"/>
  <c r="AB97" i="3" s="1"/>
  <c r="Z97" i="3"/>
  <c r="X105" i="3"/>
  <c r="Z105" i="3"/>
  <c r="X108" i="3"/>
  <c r="Z108" i="3"/>
  <c r="X107" i="3"/>
  <c r="Y103" i="3"/>
  <c r="Y98" i="3"/>
  <c r="Y100" i="3"/>
  <c r="W106" i="3" l="1"/>
  <c r="AB106" i="3" s="1"/>
  <c r="AA106" i="3"/>
  <c r="W105" i="3"/>
  <c r="AB105" i="3" s="1"/>
  <c r="AA105" i="3"/>
  <c r="W108" i="3"/>
  <c r="AB108" i="3" s="1"/>
  <c r="AA108" i="3"/>
  <c r="W104" i="3"/>
  <c r="AB104" i="3" s="1"/>
  <c r="AA104" i="3"/>
  <c r="W107" i="3"/>
  <c r="AB107" i="3" s="1"/>
  <c r="AA107" i="3"/>
  <c r="AA102" i="3"/>
  <c r="AA96" i="3"/>
  <c r="AA97" i="3"/>
  <c r="AA99" i="3"/>
  <c r="W101" i="3"/>
  <c r="AB101" i="3" s="1"/>
  <c r="X100" i="3"/>
  <c r="Z100" i="3"/>
  <c r="X98" i="3"/>
  <c r="AA98" i="3" s="1"/>
  <c r="Z98" i="3"/>
  <c r="X103" i="3"/>
  <c r="W103" i="3" s="1"/>
  <c r="AB103" i="3" s="1"/>
  <c r="Z103" i="3"/>
  <c r="W98" i="3" l="1"/>
  <c r="AB98" i="3" s="1"/>
  <c r="AA103" i="3"/>
  <c r="W100" i="3"/>
  <c r="AB100" i="3" s="1"/>
  <c r="AA100" i="3"/>
  <c r="M28" i="3"/>
  <c r="Q28" i="3"/>
  <c r="U35" i="3"/>
  <c r="U33" i="3"/>
  <c r="U32" i="3"/>
  <c r="U31" i="3"/>
  <c r="V15" i="3"/>
  <c r="V13" i="3"/>
  <c r="V10" i="3"/>
  <c r="V9" i="3"/>
  <c r="T43" i="3"/>
  <c r="N28" i="3" l="1"/>
  <c r="T28" i="3"/>
  <c r="U28" i="3" s="1"/>
  <c r="V28" i="3" l="1"/>
  <c r="Q115" i="3"/>
  <c r="Q117" i="3"/>
  <c r="T117" i="3" s="1"/>
  <c r="Q118" i="3"/>
  <c r="T118" i="3" s="1"/>
  <c r="Y28" i="3" l="1"/>
  <c r="M118" i="3"/>
  <c r="N118" i="3" s="1"/>
  <c r="V118" i="3" s="1"/>
  <c r="X28" i="3" l="1"/>
  <c r="Z28" i="3"/>
  <c r="Y118" i="3"/>
  <c r="X118" i="3" s="1"/>
  <c r="AA28" i="3" l="1"/>
  <c r="W28" i="3"/>
  <c r="AA118" i="3"/>
  <c r="Z118" i="3"/>
  <c r="W118" i="3"/>
  <c r="AB118" i="3" s="1"/>
  <c r="AB28" i="3" l="1"/>
  <c r="M58" i="3"/>
  <c r="Q27" i="3"/>
  <c r="M27" i="3"/>
  <c r="Q26" i="3"/>
  <c r="M26" i="3"/>
  <c r="Q25" i="3"/>
  <c r="M25" i="3"/>
  <c r="Q24" i="3"/>
  <c r="M24" i="3"/>
  <c r="Q23" i="3"/>
  <c r="M23" i="3"/>
  <c r="Q22" i="3"/>
  <c r="M22" i="3"/>
  <c r="M33" i="3"/>
  <c r="M61" i="3"/>
  <c r="M80" i="3"/>
  <c r="M32" i="3"/>
  <c r="M31" i="3"/>
  <c r="M60" i="3"/>
  <c r="M59" i="3"/>
  <c r="M79" i="3"/>
  <c r="M78" i="3"/>
  <c r="Q77" i="3"/>
  <c r="T77" i="3" s="1"/>
  <c r="M77" i="3"/>
  <c r="N77" i="3" s="1"/>
  <c r="Q57" i="3"/>
  <c r="T57" i="3" s="1"/>
  <c r="M57" i="3"/>
  <c r="Q29" i="3"/>
  <c r="M29" i="3"/>
  <c r="Q76" i="3"/>
  <c r="T76" i="3" s="1"/>
  <c r="M76" i="3"/>
  <c r="N76" i="3" s="1"/>
  <c r="Q56" i="3"/>
  <c r="T56" i="3" s="1"/>
  <c r="M56" i="3"/>
  <c r="M36" i="3"/>
  <c r="M35" i="3"/>
  <c r="M82" i="3"/>
  <c r="M62" i="3"/>
  <c r="T81" i="3"/>
  <c r="M81" i="3"/>
  <c r="N81" i="3" s="1"/>
  <c r="M21" i="3"/>
  <c r="M20" i="3"/>
  <c r="M19" i="3"/>
  <c r="M117" i="3"/>
  <c r="N117" i="3" s="1"/>
  <c r="V117" i="3" s="1"/>
  <c r="T115" i="3"/>
  <c r="M115" i="3"/>
  <c r="N115" i="3" s="1"/>
  <c r="R114" i="3"/>
  <c r="T114" i="3" s="1"/>
  <c r="M114" i="3"/>
  <c r="N114" i="3" s="1"/>
  <c r="R113" i="3"/>
  <c r="T113" i="3" s="1"/>
  <c r="M113" i="3"/>
  <c r="N113" i="3" s="1"/>
  <c r="R112" i="3"/>
  <c r="T112" i="3" s="1"/>
  <c r="M112" i="3"/>
  <c r="N112" i="3" s="1"/>
  <c r="M95" i="3"/>
  <c r="M94" i="3"/>
  <c r="N94" i="3" s="1"/>
  <c r="T94" i="3" s="1"/>
  <c r="T93" i="3"/>
  <c r="M93" i="3"/>
  <c r="N93" i="3" s="1"/>
  <c r="T92" i="3"/>
  <c r="M92" i="3"/>
  <c r="N92" i="3" s="1"/>
  <c r="N89" i="3"/>
  <c r="V89" i="3" s="1"/>
  <c r="Y89" i="3" s="1"/>
  <c r="T88" i="3"/>
  <c r="N88" i="3"/>
  <c r="T87" i="3"/>
  <c r="N87" i="3"/>
  <c r="T86" i="3"/>
  <c r="M86" i="3"/>
  <c r="N86" i="3" s="1"/>
  <c r="M6" i="3"/>
  <c r="T41" i="3"/>
  <c r="M41" i="3"/>
  <c r="T44" i="3"/>
  <c r="M44" i="3"/>
  <c r="T48" i="3"/>
  <c r="M48" i="3"/>
  <c r="T46" i="3"/>
  <c r="M46" i="3"/>
  <c r="T45" i="3"/>
  <c r="M45" i="3"/>
  <c r="M40" i="3"/>
  <c r="N43" i="3"/>
  <c r="L43" i="3"/>
  <c r="M18" i="3"/>
  <c r="M17" i="3"/>
  <c r="M16" i="3"/>
  <c r="M15" i="3"/>
  <c r="M14" i="3"/>
  <c r="M13" i="3"/>
  <c r="M12" i="3"/>
  <c r="M11" i="3"/>
  <c r="M10" i="3"/>
  <c r="M9" i="3"/>
  <c r="T73" i="3"/>
  <c r="M73" i="3"/>
  <c r="T72" i="3"/>
  <c r="M72" i="3"/>
  <c r="T71" i="3"/>
  <c r="M71" i="3"/>
  <c r="T70" i="3"/>
  <c r="M70" i="3"/>
  <c r="T69" i="3"/>
  <c r="M69" i="3"/>
  <c r="T68" i="3"/>
  <c r="M68" i="3"/>
  <c r="T67" i="3"/>
  <c r="M67" i="3"/>
  <c r="T66" i="3"/>
  <c r="M66" i="3"/>
  <c r="T65" i="3"/>
  <c r="M65" i="3"/>
  <c r="M8" i="3"/>
  <c r="M7" i="3"/>
  <c r="Z5" i="3"/>
  <c r="V43" i="3" l="1"/>
  <c r="V81" i="3"/>
  <c r="Y81" i="3" s="1"/>
  <c r="X81" i="3" s="1"/>
  <c r="V76" i="3"/>
  <c r="Y76" i="3" s="1"/>
  <c r="X76" i="3" s="1"/>
  <c r="V77" i="3"/>
  <c r="N36" i="3"/>
  <c r="N33" i="3"/>
  <c r="Y8" i="3"/>
  <c r="T22" i="3"/>
  <c r="U22" i="3" s="1"/>
  <c r="Y7" i="3"/>
  <c r="Z7" i="3" s="1"/>
  <c r="N65" i="3"/>
  <c r="N19" i="3"/>
  <c r="N23" i="3"/>
  <c r="N21" i="3"/>
  <c r="N24" i="3"/>
  <c r="X40" i="3"/>
  <c r="N73" i="3"/>
  <c r="N25" i="3"/>
  <c r="N45" i="3"/>
  <c r="N46" i="3"/>
  <c r="N20" i="3"/>
  <c r="N66" i="3"/>
  <c r="N48" i="3"/>
  <c r="N12" i="3"/>
  <c r="N72" i="3"/>
  <c r="Y9" i="3"/>
  <c r="N26" i="3"/>
  <c r="N22" i="3"/>
  <c r="N57" i="3"/>
  <c r="X59" i="3"/>
  <c r="W59" i="3" s="1"/>
  <c r="N29" i="3"/>
  <c r="Y10" i="3"/>
  <c r="Z10" i="3" s="1"/>
  <c r="N44" i="3"/>
  <c r="N68" i="3"/>
  <c r="Y15" i="3"/>
  <c r="Z15" i="3" s="1"/>
  <c r="X60" i="3"/>
  <c r="N27" i="3"/>
  <c r="N41" i="3"/>
  <c r="N16" i="3"/>
  <c r="N6" i="3"/>
  <c r="N35" i="3"/>
  <c r="N31" i="3"/>
  <c r="N69" i="3"/>
  <c r="N70" i="3"/>
  <c r="N17" i="3"/>
  <c r="N32" i="3"/>
  <c r="X58" i="3"/>
  <c r="W58" i="3" s="1"/>
  <c r="N14" i="3"/>
  <c r="N56" i="3"/>
  <c r="N67" i="3"/>
  <c r="Y11" i="3"/>
  <c r="Z11" i="3" s="1"/>
  <c r="Y13" i="3"/>
  <c r="N71" i="3"/>
  <c r="X61" i="3"/>
  <c r="N62" i="3"/>
  <c r="T24" i="3"/>
  <c r="U24" i="3" s="1"/>
  <c r="N18" i="3"/>
  <c r="T25" i="3"/>
  <c r="U25" i="3" s="1"/>
  <c r="T23" i="3"/>
  <c r="U23" i="3" s="1"/>
  <c r="T26" i="3"/>
  <c r="U26" i="3" s="1"/>
  <c r="T27" i="3"/>
  <c r="U27" i="3" s="1"/>
  <c r="T29" i="3"/>
  <c r="U29" i="3" s="1"/>
  <c r="Z8" i="3"/>
  <c r="V112" i="3"/>
  <c r="Y112" i="3" s="1"/>
  <c r="N40" i="3"/>
  <c r="X89" i="3"/>
  <c r="Z89" i="3"/>
  <c r="X5" i="3"/>
  <c r="X62" i="3"/>
  <c r="X57" i="3"/>
  <c r="X48" i="3"/>
  <c r="V86" i="3"/>
  <c r="V113" i="3"/>
  <c r="X68" i="3"/>
  <c r="N61" i="3"/>
  <c r="N58" i="3"/>
  <c r="N59" i="3"/>
  <c r="N60" i="3"/>
  <c r="X70" i="3"/>
  <c r="X72" i="3"/>
  <c r="N7" i="3"/>
  <c r="N8" i="3"/>
  <c r="N11" i="3"/>
  <c r="X67" i="3"/>
  <c r="N15" i="3"/>
  <c r="X65" i="3"/>
  <c r="N9" i="3"/>
  <c r="X71" i="3"/>
  <c r="X73" i="3"/>
  <c r="N10" i="3"/>
  <c r="N13" i="3"/>
  <c r="X66" i="3"/>
  <c r="X69" i="3"/>
  <c r="X43" i="3"/>
  <c r="N79" i="3"/>
  <c r="V79" i="3" s="1"/>
  <c r="Y79" i="3" s="1"/>
  <c r="X79" i="3" s="1"/>
  <c r="N78" i="3"/>
  <c r="V78" i="3" s="1"/>
  <c r="Y78" i="3" s="1"/>
  <c r="X78" i="3" s="1"/>
  <c r="N82" i="3"/>
  <c r="V82" i="3" s="1"/>
  <c r="Y82" i="3" s="1"/>
  <c r="X82" i="3" s="1"/>
  <c r="N80" i="3"/>
  <c r="V80" i="3" s="1"/>
  <c r="Y80" i="3" s="1"/>
  <c r="X80" i="3" s="1"/>
  <c r="V87" i="3"/>
  <c r="V93" i="3"/>
  <c r="Y95" i="3"/>
  <c r="X95" i="3" s="1"/>
  <c r="X44" i="3"/>
  <c r="V88" i="3"/>
  <c r="Y88" i="3" s="1"/>
  <c r="X88" i="3" s="1"/>
  <c r="Y94" i="3"/>
  <c r="X94" i="3" s="1"/>
  <c r="X41" i="3"/>
  <c r="V92" i="3"/>
  <c r="Y92" i="3" s="1"/>
  <c r="X92" i="3" s="1"/>
  <c r="W92" i="3" s="1"/>
  <c r="AB92" i="3" s="1"/>
  <c r="V114" i="3"/>
  <c r="X45" i="3"/>
  <c r="X46" i="3"/>
  <c r="N95" i="3"/>
  <c r="T95" i="3" s="1"/>
  <c r="V115" i="3"/>
  <c r="V41" i="3" l="1"/>
  <c r="V31" i="3"/>
  <c r="Y31" i="3" s="1"/>
  <c r="Z31" i="3" s="1"/>
  <c r="V48" i="3"/>
  <c r="V67" i="3"/>
  <c r="V40" i="3"/>
  <c r="V69" i="3"/>
  <c r="V60" i="3"/>
  <c r="V62" i="3"/>
  <c r="V71" i="3"/>
  <c r="V59" i="3"/>
  <c r="V58" i="3"/>
  <c r="V68" i="3"/>
  <c r="V66" i="3"/>
  <c r="V44" i="3"/>
  <c r="V46" i="3"/>
  <c r="V45" i="3"/>
  <c r="V65" i="3"/>
  <c r="V56" i="3"/>
  <c r="V73" i="3"/>
  <c r="V70" i="3"/>
  <c r="V61" i="3"/>
  <c r="V72" i="3"/>
  <c r="V57" i="3"/>
  <c r="V20" i="3"/>
  <c r="T8" i="3"/>
  <c r="V12" i="3"/>
  <c r="Y12" i="3" s="1"/>
  <c r="Z12" i="3" s="1"/>
  <c r="V36" i="3"/>
  <c r="X56" i="3"/>
  <c r="AA56" i="3" s="1"/>
  <c r="V17" i="3"/>
  <c r="V22" i="3"/>
  <c r="Y22" i="3" s="1"/>
  <c r="Z22" i="3" s="1"/>
  <c r="AA60" i="3"/>
  <c r="V21" i="3"/>
  <c r="V26" i="3"/>
  <c r="V24" i="3"/>
  <c r="V18" i="3"/>
  <c r="U9" i="3"/>
  <c r="X15" i="3"/>
  <c r="V19" i="3"/>
  <c r="X13" i="3"/>
  <c r="X11" i="3"/>
  <c r="AA65" i="3"/>
  <c r="V29" i="3"/>
  <c r="U15" i="3"/>
  <c r="AA48" i="3"/>
  <c r="V27" i="3"/>
  <c r="X9" i="3"/>
  <c r="AB59" i="3"/>
  <c r="V23" i="3"/>
  <c r="V6" i="3"/>
  <c r="X7" i="3"/>
  <c r="AA5" i="3"/>
  <c r="AA45" i="3"/>
  <c r="V16" i="3"/>
  <c r="V14" i="3"/>
  <c r="V25" i="3"/>
  <c r="AA61" i="3"/>
  <c r="AA58" i="3"/>
  <c r="X10" i="3"/>
  <c r="AA40" i="3"/>
  <c r="U10" i="3"/>
  <c r="V32" i="3"/>
  <c r="X8" i="3"/>
  <c r="AA57" i="3"/>
  <c r="Z13" i="3"/>
  <c r="U13" i="3"/>
  <c r="AA46" i="3"/>
  <c r="U11" i="3"/>
  <c r="AB58" i="3"/>
  <c r="V35" i="3"/>
  <c r="AA59" i="3"/>
  <c r="V33" i="3"/>
  <c r="AA62" i="3"/>
  <c r="W69" i="3"/>
  <c r="AA69" i="3"/>
  <c r="W73" i="3"/>
  <c r="AA73" i="3"/>
  <c r="W66" i="3"/>
  <c r="AA66" i="3"/>
  <c r="W41" i="3"/>
  <c r="AA41" i="3"/>
  <c r="W72" i="3"/>
  <c r="AA72" i="3"/>
  <c r="W70" i="3"/>
  <c r="AA70" i="3"/>
  <c r="W71" i="3"/>
  <c r="AA71" i="3"/>
  <c r="W68" i="3"/>
  <c r="AA68" i="3"/>
  <c r="W43" i="3"/>
  <c r="AA43" i="3"/>
  <c r="W44" i="3"/>
  <c r="AA44" i="3"/>
  <c r="W67" i="3"/>
  <c r="AA67" i="3"/>
  <c r="U8" i="3"/>
  <c r="T7" i="3"/>
  <c r="U7" i="3"/>
  <c r="Z9" i="3"/>
  <c r="X112" i="3"/>
  <c r="W112" i="3" s="1"/>
  <c r="AB112" i="3" s="1"/>
  <c r="AH79" i="3"/>
  <c r="AI79" i="3" s="1"/>
  <c r="AA89" i="3"/>
  <c r="W89" i="3"/>
  <c r="AB89" i="3" s="1"/>
  <c r="AH84" i="3"/>
  <c r="AI84" i="3" s="1"/>
  <c r="W5" i="3"/>
  <c r="W76" i="3"/>
  <c r="AB76" i="3" s="1"/>
  <c r="W78" i="3"/>
  <c r="AB78" i="3" s="1"/>
  <c r="W79" i="3"/>
  <c r="AB79" i="3" s="1"/>
  <c r="Z94" i="3"/>
  <c r="AA94" i="3"/>
  <c r="Y77" i="3"/>
  <c r="X77" i="3" s="1"/>
  <c r="W56" i="3"/>
  <c r="Z76" i="3"/>
  <c r="W57" i="3"/>
  <c r="Z78" i="3"/>
  <c r="W82" i="3"/>
  <c r="AB82" i="3" s="1"/>
  <c r="Z82" i="3"/>
  <c r="AA95" i="3"/>
  <c r="Z95" i="3"/>
  <c r="W88" i="3"/>
  <c r="AB88" i="3" s="1"/>
  <c r="Z88" i="3"/>
  <c r="W81" i="3"/>
  <c r="AB81" i="3" s="1"/>
  <c r="Z81" i="3"/>
  <c r="W60" i="3"/>
  <c r="Z92" i="3"/>
  <c r="Z112" i="3"/>
  <c r="W61" i="3"/>
  <c r="W62" i="3"/>
  <c r="Z79" i="3"/>
  <c r="W80" i="3"/>
  <c r="AB80" i="3" s="1"/>
  <c r="Z80" i="3"/>
  <c r="Y87" i="3"/>
  <c r="X87" i="3" s="1"/>
  <c r="Y93" i="3"/>
  <c r="X93" i="3" s="1"/>
  <c r="Y114" i="3"/>
  <c r="X114" i="3" s="1"/>
  <c r="Y113" i="3"/>
  <c r="X113" i="3" s="1"/>
  <c r="Y86" i="3"/>
  <c r="X86" i="3" s="1"/>
  <c r="W40" i="3"/>
  <c r="Y117" i="3"/>
  <c r="X117" i="3" s="1"/>
  <c r="W46" i="3"/>
  <c r="W48" i="3"/>
  <c r="Y115" i="3"/>
  <c r="X115" i="3" s="1"/>
  <c r="W45" i="3"/>
  <c r="Y17" i="3" l="1"/>
  <c r="X17" i="3" s="1"/>
  <c r="AD42" i="3"/>
  <c r="Y36" i="3"/>
  <c r="AB69" i="3"/>
  <c r="Y23" i="3"/>
  <c r="X12" i="3"/>
  <c r="AB60" i="3"/>
  <c r="AB61" i="3"/>
  <c r="Y14" i="3"/>
  <c r="AB68" i="3"/>
  <c r="AB71" i="3"/>
  <c r="Y33" i="3"/>
  <c r="AA8" i="3"/>
  <c r="W8" i="3"/>
  <c r="Y25" i="3"/>
  <c r="Y29" i="3"/>
  <c r="AB70" i="3"/>
  <c r="Y32" i="3"/>
  <c r="Y16" i="3"/>
  <c r="AA9" i="3"/>
  <c r="W9" i="3"/>
  <c r="Y18" i="3"/>
  <c r="AB46" i="3"/>
  <c r="AB40" i="3"/>
  <c r="Y35" i="3"/>
  <c r="AB72" i="3"/>
  <c r="X22" i="3"/>
  <c r="AA11" i="3"/>
  <c r="W11" i="3"/>
  <c r="Y24" i="3"/>
  <c r="Y20" i="3"/>
  <c r="AB56" i="3"/>
  <c r="AB43" i="3"/>
  <c r="X31" i="3"/>
  <c r="AA13" i="3"/>
  <c r="W13" i="3"/>
  <c r="Y26" i="3"/>
  <c r="Y6" i="3"/>
  <c r="AB41" i="3"/>
  <c r="AB67" i="3"/>
  <c r="AB66" i="3"/>
  <c r="Y27" i="3"/>
  <c r="Y19" i="3"/>
  <c r="Y21" i="3"/>
  <c r="AB48" i="3"/>
  <c r="AB57" i="3"/>
  <c r="AB44" i="3"/>
  <c r="AB73" i="3"/>
  <c r="W10" i="3"/>
  <c r="AA10" i="3"/>
  <c r="W7" i="3"/>
  <c r="AA7" i="3"/>
  <c r="AA15" i="3"/>
  <c r="W15" i="3"/>
  <c r="AB62" i="3"/>
  <c r="AA112" i="3"/>
  <c r="AB5" i="3"/>
  <c r="AF60" i="3"/>
  <c r="AE45" i="3"/>
  <c r="AB45" i="3"/>
  <c r="AF89" i="3"/>
  <c r="AD89" i="3"/>
  <c r="AE89" i="3"/>
  <c r="AD45" i="3"/>
  <c r="AH111" i="3"/>
  <c r="AI111" i="3" s="1"/>
  <c r="AH120" i="3"/>
  <c r="AI120" i="3" s="1"/>
  <c r="AD60" i="3"/>
  <c r="AH119" i="3"/>
  <c r="AI119" i="3" s="1"/>
  <c r="AH77" i="3"/>
  <c r="AI77" i="3" s="1"/>
  <c r="AF45" i="3"/>
  <c r="AF79" i="3"/>
  <c r="AE79" i="3"/>
  <c r="AD79" i="3"/>
  <c r="AD50" i="3"/>
  <c r="AE50" i="3"/>
  <c r="AF50" i="3"/>
  <c r="AD47" i="3"/>
  <c r="AE47" i="3"/>
  <c r="AF47" i="3"/>
  <c r="AE60" i="3"/>
  <c r="AO6" i="3"/>
  <c r="AO10" i="3"/>
  <c r="AO9" i="3"/>
  <c r="AO8" i="3"/>
  <c r="AO7" i="3"/>
  <c r="AO5" i="3"/>
  <c r="AF57" i="3"/>
  <c r="AE57" i="3"/>
  <c r="AD57" i="3"/>
  <c r="AE42" i="3"/>
  <c r="AF42" i="3"/>
  <c r="AA88" i="3"/>
  <c r="Z77" i="3"/>
  <c r="W77" i="3"/>
  <c r="W95" i="3"/>
  <c r="AB95" i="3" s="1"/>
  <c r="AA92" i="3"/>
  <c r="AA93" i="3"/>
  <c r="Z93" i="3"/>
  <c r="AA117" i="3"/>
  <c r="Z117" i="3"/>
  <c r="AA87" i="3"/>
  <c r="Z87" i="3"/>
  <c r="Z86" i="3"/>
  <c r="W86" i="3"/>
  <c r="AB86" i="3" s="1"/>
  <c r="W113" i="3"/>
  <c r="AB113" i="3" s="1"/>
  <c r="Z113" i="3"/>
  <c r="W115" i="3"/>
  <c r="AB115" i="3" s="1"/>
  <c r="Z115" i="3"/>
  <c r="AA79" i="3"/>
  <c r="W114" i="3"/>
  <c r="AB114" i="3" s="1"/>
  <c r="Z114" i="3"/>
  <c r="W65" i="3"/>
  <c r="AA81" i="3"/>
  <c r="W87" i="3"/>
  <c r="AB87" i="3" s="1"/>
  <c r="AA80" i="3"/>
  <c r="W93" i="3"/>
  <c r="AB93" i="3" s="1"/>
  <c r="AA76" i="3"/>
  <c r="W94" i="3"/>
  <c r="AB94" i="3" s="1"/>
  <c r="AA78" i="3"/>
  <c r="AA82" i="3"/>
  <c r="Z17" i="3" l="1"/>
  <c r="AB9" i="3"/>
  <c r="AB11" i="3"/>
  <c r="X36" i="3"/>
  <c r="Z36" i="3"/>
  <c r="AB13" i="3"/>
  <c r="X27" i="3"/>
  <c r="Z27" i="3"/>
  <c r="W31" i="3"/>
  <c r="AA31" i="3"/>
  <c r="X32" i="3"/>
  <c r="Z32" i="3"/>
  <c r="AH32" i="3"/>
  <c r="X14" i="3"/>
  <c r="Z14" i="3"/>
  <c r="X35" i="3"/>
  <c r="Z35" i="3"/>
  <c r="AH36" i="3"/>
  <c r="AA17" i="3"/>
  <c r="W17" i="3"/>
  <c r="X29" i="3"/>
  <c r="Z29" i="3"/>
  <c r="AH29" i="3"/>
  <c r="X25" i="3"/>
  <c r="Z25" i="3"/>
  <c r="X19" i="3"/>
  <c r="Z19" i="3"/>
  <c r="AB8" i="3"/>
  <c r="X20" i="3"/>
  <c r="Z20" i="3"/>
  <c r="AH21" i="3"/>
  <c r="X6" i="3"/>
  <c r="Z6" i="3"/>
  <c r="AH6" i="3"/>
  <c r="AH38" i="3"/>
  <c r="AI38" i="3" s="1"/>
  <c r="X18" i="3"/>
  <c r="Z18" i="3"/>
  <c r="W12" i="3"/>
  <c r="AA12" i="3"/>
  <c r="AB7" i="3"/>
  <c r="X16" i="3"/>
  <c r="Z16" i="3"/>
  <c r="X24" i="3"/>
  <c r="Z24" i="3"/>
  <c r="W22" i="3"/>
  <c r="AA22" i="3"/>
  <c r="AB10" i="3"/>
  <c r="X26" i="3"/>
  <c r="AH27" i="3"/>
  <c r="Z26" i="3"/>
  <c r="X33" i="3"/>
  <c r="Z33" i="3"/>
  <c r="X23" i="3"/>
  <c r="Z23" i="3"/>
  <c r="AB15" i="3"/>
  <c r="X21" i="3"/>
  <c r="Z21" i="3"/>
  <c r="AF74" i="3"/>
  <c r="AB65" i="3"/>
  <c r="AF77" i="3"/>
  <c r="AB77" i="3"/>
  <c r="AD84" i="3"/>
  <c r="AD77" i="3"/>
  <c r="AD74" i="3"/>
  <c r="AE74" i="3"/>
  <c r="AE77" i="3"/>
  <c r="AR6" i="3"/>
  <c r="AR5" i="3"/>
  <c r="AR7" i="3"/>
  <c r="AR8" i="3"/>
  <c r="AR9" i="3"/>
  <c r="AE84" i="3"/>
  <c r="AR10" i="3"/>
  <c r="AF84" i="3"/>
  <c r="AA77" i="3"/>
  <c r="AA113" i="3"/>
  <c r="AA86" i="3"/>
  <c r="AA114" i="3"/>
  <c r="W117" i="3"/>
  <c r="AA115" i="3"/>
  <c r="AI36" i="3" l="1"/>
  <c r="AA36" i="3"/>
  <c r="W36" i="3"/>
  <c r="AI27" i="3"/>
  <c r="AB12" i="3"/>
  <c r="W35" i="3"/>
  <c r="AA35" i="3"/>
  <c r="W33" i="3"/>
  <c r="AA33" i="3"/>
  <c r="AA19" i="3"/>
  <c r="W19" i="3"/>
  <c r="AA14" i="3"/>
  <c r="W14" i="3"/>
  <c r="AI32" i="3"/>
  <c r="W25" i="3"/>
  <c r="AA25" i="3"/>
  <c r="AI29" i="3"/>
  <c r="AA18" i="3"/>
  <c r="W18" i="3"/>
  <c r="AA32" i="3"/>
  <c r="W32" i="3"/>
  <c r="AE32" i="3" s="1"/>
  <c r="AA21" i="3"/>
  <c r="W21" i="3"/>
  <c r="W26" i="3"/>
  <c r="AA26" i="3"/>
  <c r="AA24" i="3"/>
  <c r="W24" i="3"/>
  <c r="AA6" i="3"/>
  <c r="W6" i="3"/>
  <c r="W29" i="3"/>
  <c r="AA29" i="3"/>
  <c r="AB31" i="3"/>
  <c r="AI21" i="3"/>
  <c r="AB17" i="3"/>
  <c r="AA23" i="3"/>
  <c r="W23" i="3"/>
  <c r="AB22" i="3"/>
  <c r="AI6" i="3"/>
  <c r="W16" i="3"/>
  <c r="AA16" i="3"/>
  <c r="W20" i="3"/>
  <c r="AA20" i="3"/>
  <c r="W27" i="3"/>
  <c r="AA27" i="3"/>
  <c r="AX10" i="3"/>
  <c r="AB117" i="3"/>
  <c r="AD119" i="3"/>
  <c r="AD111" i="3"/>
  <c r="AD120" i="3"/>
  <c r="AU10" i="3"/>
  <c r="AU7" i="3"/>
  <c r="AF111" i="3"/>
  <c r="AU9" i="3"/>
  <c r="AU8" i="3"/>
  <c r="AE120" i="3"/>
  <c r="AU6" i="3"/>
  <c r="AU5" i="3"/>
  <c r="AE111" i="3"/>
  <c r="AF120" i="3"/>
  <c r="AE119" i="3"/>
  <c r="AF119" i="3"/>
  <c r="AX5" i="3"/>
  <c r="AX6" i="3"/>
  <c r="AX7" i="3"/>
  <c r="AX8" i="3"/>
  <c r="AX9" i="3"/>
  <c r="AF32" i="3" l="1"/>
  <c r="AF38" i="3"/>
  <c r="AE38" i="3"/>
  <c r="AD38" i="3"/>
  <c r="AB36" i="3"/>
  <c r="AB16" i="3"/>
  <c r="AB32" i="3"/>
  <c r="AB19" i="3"/>
  <c r="AF21" i="3"/>
  <c r="AD21" i="3"/>
  <c r="AE21" i="3"/>
  <c r="AB29" i="3"/>
  <c r="AL8" i="3"/>
  <c r="AF29" i="3"/>
  <c r="AL10" i="3"/>
  <c r="AL6" i="3"/>
  <c r="AL5" i="3"/>
  <c r="AL7" i="3"/>
  <c r="AL9" i="3"/>
  <c r="AE29" i="3"/>
  <c r="AD29" i="3"/>
  <c r="AB6" i="3"/>
  <c r="AF6" i="3"/>
  <c r="AE6" i="3"/>
  <c r="AD6" i="3"/>
  <c r="AB33" i="3"/>
  <c r="AB18" i="3"/>
  <c r="AB23" i="3"/>
  <c r="AB24" i="3"/>
  <c r="AF36" i="3"/>
  <c r="AD36" i="3"/>
  <c r="AB35" i="3"/>
  <c r="AE36" i="3"/>
  <c r="AB14" i="3"/>
  <c r="AB27" i="3"/>
  <c r="AB25" i="3"/>
  <c r="AB21" i="3"/>
  <c r="AB26" i="3"/>
  <c r="AD27" i="3"/>
  <c r="AE27" i="3"/>
  <c r="AF27" i="3"/>
  <c r="AB20" i="3"/>
  <c r="AD32" i="3"/>
</calcChain>
</file>

<file path=xl/sharedStrings.xml><?xml version="1.0" encoding="utf-8"?>
<sst xmlns="http://schemas.openxmlformats.org/spreadsheetml/2006/main" count="1214" uniqueCount="415">
  <si>
    <t>Ref</t>
  </si>
  <si>
    <t>Name</t>
  </si>
  <si>
    <t>CO</t>
  </si>
  <si>
    <t>CC(C)(C)O</t>
  </si>
  <si>
    <t>CCO</t>
  </si>
  <si>
    <t>CCCCO</t>
  </si>
  <si>
    <t>duplicate</t>
  </si>
  <si>
    <t>OC1=CC=CC=C1</t>
  </si>
  <si>
    <t>CC(=O)OCC(F)(F)F</t>
  </si>
  <si>
    <t>CC(=O)O</t>
  </si>
  <si>
    <t>OCC(F)(F)F</t>
  </si>
  <si>
    <t>trifluoromethyl 2‐phenylacetate</t>
  </si>
  <si>
    <t>C1=CC=C(C=C1)CC(=O)OC(F)(F)F</t>
  </si>
  <si>
    <t>1,1,1,3,3,3-hexafluoropropan-2-yl 2-phenylacetate</t>
  </si>
  <si>
    <t>C1=CC=C(C=C1)CC(=O)OC(C(F)(F)F)C(F)(F)F</t>
  </si>
  <si>
    <t>OC(=O)C(F)(F)F</t>
  </si>
  <si>
    <t>OC(=O)C(F)(F)C(F)(F)C(F)(F)F</t>
  </si>
  <si>
    <t>ja01558a012.pdf</t>
  </si>
  <si>
    <t>methyl trifluoroacetate</t>
  </si>
  <si>
    <t>COC(=O)C(F)(F)F</t>
  </si>
  <si>
    <t>ethyl trifluoroacetate</t>
  </si>
  <si>
    <t>CCOC(=O)C(F)(F)F</t>
  </si>
  <si>
    <t>propyl trifluoroacetate</t>
  </si>
  <si>
    <t>CCCOC(=O)C(F)(F)F</t>
  </si>
  <si>
    <t>CCCO</t>
  </si>
  <si>
    <t>butyl trifluoroacetate</t>
  </si>
  <si>
    <t>CCCCOC(=O)C(F)(F)F</t>
  </si>
  <si>
    <t>pentyl trifluoroacetate</t>
  </si>
  <si>
    <t>CCCCCOC(=O)C(F)(F)F</t>
  </si>
  <si>
    <t>CCCCCO</t>
  </si>
  <si>
    <t>hexyl trifluoroacetate</t>
  </si>
  <si>
    <t>CCCCCCOC(=O)C(F)(F)F</t>
  </si>
  <si>
    <t>CCCCCCO</t>
  </si>
  <si>
    <t>decyl trifluoroacetate</t>
  </si>
  <si>
    <t>CCCCCCCCCCOC(=O)C(F)(F)F</t>
  </si>
  <si>
    <t>CCCCCCCCCCO</t>
  </si>
  <si>
    <t>ethyl pentafluoropropionate</t>
  </si>
  <si>
    <t>CCOC(=O)C(C(F)(F)F)(F)F</t>
  </si>
  <si>
    <t>OC(=O)C(C(F)(F)F)(F)F</t>
  </si>
  <si>
    <t>ethyl heptafluorobutyrate</t>
  </si>
  <si>
    <t>CCOC(=O)C(C(C(F)(F)F)(F)F)(F)F</t>
  </si>
  <si>
    <t>4-methylphenyl 2,2,2-trifluoroacetate</t>
  </si>
  <si>
    <t>CC1=CC=C(OC(=O)C(F)(F)F)C=C1</t>
  </si>
  <si>
    <t>CC1=CC=C(O)C=C1</t>
  </si>
  <si>
    <t>phenyl 2,2,2-trifluoroacetate</t>
  </si>
  <si>
    <t>FC(F)(F)C(=O)OC1=CC=CC=C1</t>
  </si>
  <si>
    <t>FC(F)(F)C(=O)O</t>
  </si>
  <si>
    <t>4-fluorophenyl 2,2,2-trifluoroacetate</t>
  </si>
  <si>
    <t>FC1=CC=C(OC(=O)C(F)(F)F)C=C1</t>
  </si>
  <si>
    <t>OC1=CC=C(F)C=C1</t>
  </si>
  <si>
    <t>4-chlorophenyl 2,2,2-trifluoroacetate</t>
  </si>
  <si>
    <t>FC(F)(F)C(=O)OC1=CC=C(Cl)C=C1</t>
  </si>
  <si>
    <t>OC1=CC=C(Cl)C=C1</t>
  </si>
  <si>
    <t>3-chlorophenyl 2,2,2-trifluoroacetate</t>
  </si>
  <si>
    <t>FC(F)(F)C(=O)OC1=CC(Cl)=CC=C1</t>
  </si>
  <si>
    <t>OC1=CC(Cl)=CC=C1</t>
  </si>
  <si>
    <t>bcsj.53.3334.pdf</t>
  </si>
  <si>
    <t>2,2,2-trifluoroethyl 4-nitrobenzoate</t>
  </si>
  <si>
    <t>FC(F)(F)COC(=O)C1=CC=C(C=C1)N(=O)=O</t>
  </si>
  <si>
    <t>OC(=O)C1=CC=C(C=C1)N(=O)=O</t>
  </si>
  <si>
    <t>FC(F)(F)CO</t>
  </si>
  <si>
    <t>2,2,2-trifluoroethyl 3-methyl-4-nitrobenzoate</t>
  </si>
  <si>
    <t>CC1=C(C=CC(=C1)C(=O)OCC(F)(F)F)N(=O)=O</t>
  </si>
  <si>
    <t>CC1=C(C=CC(=C1)C(O)=O)N(=O)=O</t>
  </si>
  <si>
    <t>v68-480.pdf</t>
  </si>
  <si>
    <t>s-propyl trifluoroacetate</t>
  </si>
  <si>
    <t>CC(C)OC(=O)C(F)(F)F</t>
  </si>
  <si>
    <t>CC(C)O</t>
  </si>
  <si>
    <t>t-butyl trifluoroacetate</t>
  </si>
  <si>
    <t>CC(C)(C)OC(=O)C(F)(F)F</t>
  </si>
  <si>
    <t>acrylate FTP Solids (8:2 FTOH)</t>
  </si>
  <si>
    <t>FC(F)(F)C(F)(F)C(F)(F)C(F)(F)C(F)(F)C(F)(F)C(F)(F)C(F)(F)CCOC(=O)C=C</t>
  </si>
  <si>
    <t>OC(=O)C=C</t>
  </si>
  <si>
    <t>C(CO)C(C(C(C(C(C(C(C(F)(F)F)(F)F)(F)F)(F)F)(F)F)(F)F)(F)F)(F)F</t>
  </si>
  <si>
    <t>acrylate FTP Solids (10:2 FTOH)</t>
  </si>
  <si>
    <t>FC(F)(F)C(F)(F)C(F)(F)C(F)(F)C(F)(F)C(F)(F)C(F)(F)C(F)(F)C(F)(F)CCOC(=O)C=C</t>
  </si>
  <si>
    <t>C(CO)C(C(C(C(C(C(C(C(C(C(F)(F)F)(F)F)(F)F)(F)F)(F)F)(F)F)(F)F)(F)F)(F)F)(F)F</t>
  </si>
  <si>
    <t>acs.langmuir.2c03005.pdf</t>
  </si>
  <si>
    <t>C=CC(=O)OCCC(C(C(C(C(C(F)(F)F)(F)F)(F)F)(F)F)(F)F)(F)F</t>
  </si>
  <si>
    <t>C=CC(=O)O</t>
  </si>
  <si>
    <t>OCCC(C(C(C(C(C(F)(F)F)(F)F)(F)F)(F)F)(F)F)(F)F</t>
  </si>
  <si>
    <t>C=CC(=O)OCC(C(C(F)(F)F)F)(F)F</t>
  </si>
  <si>
    <t>OCC(C(C(F)(F)F)F)(F)F</t>
  </si>
  <si>
    <t>p(PFOA-co-DEGDVE)</t>
  </si>
  <si>
    <t>p(HFBA-co-DEGDVE)</t>
  </si>
  <si>
    <t>FTP4 (aged on cotton)</t>
  </si>
  <si>
    <t>MR81225.pdf</t>
  </si>
  <si>
    <t>[H]C(CC(CC([H])(Cl)Cl)C(=O)OCCC(F)(F)C(F)(F)C(F)(F)C(F)(F)C(F)(F)C(F)(F)C(F)(F)C(F)(F)F)C(=O)OCCCC</t>
  </si>
  <si>
    <t>Benerito_etal.1960.pdf</t>
  </si>
  <si>
    <t>Perfluoro octanoyl cellulose</t>
  </si>
  <si>
    <t>OCC1O[C@@H](O[C@H]2C(O)C(O)C(OC(=O)C(F)(F)C(F)(F)C(F)(F)C(F)(F)C(F)(F)C(F)(F)C(F)(F)F)OC2CO)C(O)C(O)C1O</t>
  </si>
  <si>
    <t>OC(=O)C(F)(F)C(F)(F)C(F)(F)C(F)(F)C(F)(F)C(F)(F)C(F)(F)F</t>
  </si>
  <si>
    <t>OCC1O[C@@H](O[C@H]2C(O)C(O)C(O)OC2CO)C(O)C(O)C1O</t>
  </si>
  <si>
    <t>bm0700136.pdf</t>
  </si>
  <si>
    <t>jf00084a048.pdf</t>
  </si>
  <si>
    <t>fluazifop-butyl</t>
  </si>
  <si>
    <t>CCCCOC(=O)C(C)OC1=CC=C(OC2=CC=C(C=N2)C(F)(F)F)C=C1</t>
  </si>
  <si>
    <t>OC(=O)C(C)OC1=CC=C(OC2=CC=C(C=N2)C(F)(F)F)C=C1</t>
  </si>
  <si>
    <t>CN(CCOC(=O)C=C)S(=O)(=O)C(C(C(C(F)(F)F)(F)F)(F)F)(F)F</t>
  </si>
  <si>
    <t>CN(CCO)S(=O)(=O)C(F)(F)C(F)(F)C(F)(F)C(F)(F)F</t>
  </si>
  <si>
    <t xml:space="preserve">dissappearance; may be overestimated; some of the parent compound may have stuck to the glass; sunclear how this extrapolation was made from 50C; </t>
  </si>
  <si>
    <t>n-methylperfluorooctanesulfonamidoethyl acrylate</t>
  </si>
  <si>
    <t>CN(CCOC(=O)C=C)S(=O)(=O)C(F)(F)C(F)(F)C(F)(F)C(F)(F)C(F)(F)C(F)(F)C(F)(F)C(F)(F)F</t>
  </si>
  <si>
    <t>CN(CCO)S(=O)(=O)C(F)(F)C(F)(F)C(F)(F)C(F)(F)C(F)(F)C(F)(F)C(F)(F)C(F)(F)F</t>
  </si>
  <si>
    <t>3,3,4,4,5,5,6,6,7,7,8,8,8-tridecafluorooctyl acrylate</t>
  </si>
  <si>
    <t>8:2 fluorotelomer acrylate</t>
  </si>
  <si>
    <t>C=CC(=O)OCCC(C(C(C(C(C(C(C(F)(F)F)(F)F)(F)F)(F)F)(F)F)(F)F)(F)F)(F)F</t>
  </si>
  <si>
    <t>OCCC(C(C(C(C(C(C(C(F)(F)F)(F)F)(F)F)(F)F)(F)F)(F)F)(F)F)(F)F</t>
  </si>
  <si>
    <t>10:2 fluorotelomer acrylate</t>
  </si>
  <si>
    <t>C=CC(=O)OCCC(C(C(C(C(C(C(C(C(C(F)(F)F)(F)F)(F)F)(F)F)(F)F)(F)F)(F)F)(F)F)(F)F)(F)F</t>
  </si>
  <si>
    <t>OCCC(C(C(C(C(C(C(C(C(C(F)(F)F)(F)F)(F)F)(F)F)(F)F)(F)F)(F)F)(F)F)(F)F)(F)F</t>
  </si>
  <si>
    <t>Beilstein_J_Org_Chem-13-2442.pdf</t>
  </si>
  <si>
    <t>COC(=O)C1CCCN1C(C)=O</t>
  </si>
  <si>
    <t>OC(=O)C1CCCN1C(C)=O</t>
  </si>
  <si>
    <t>CCOC(=O)C1CCCN1C(C)=O</t>
  </si>
  <si>
    <t>CC(=O)N1CCCC1C(=O)OCCF</t>
  </si>
  <si>
    <t>CC(=O)N1CCCC1C(=O)O</t>
  </si>
  <si>
    <t>OCCF</t>
  </si>
  <si>
    <t>CC(=O)N1CCCC1C(=O)OCC(F)F</t>
  </si>
  <si>
    <t>OCC(F)F</t>
  </si>
  <si>
    <t>CC(=O)N1CCCC1C(=O)OCC(F)(F)F</t>
  </si>
  <si>
    <t>2014_ENVIRON-AssessmentOfPOPCriteriaResources.pdf</t>
  </si>
  <si>
    <t>6:2 fluorotelomer methacrylate</t>
  </si>
  <si>
    <t>CC(=C)C(=O)OCCC(C(C(C(C(C(F)(F)F)(F)F)(F)F)(F)F)(F)F)(F)F</t>
  </si>
  <si>
    <t>CC(=C)C(O)=O</t>
  </si>
  <si>
    <t>OCCC(F)(F)C(F)(F)C(F)(F)C(F)(F)C(F)(F)C(F)(F)F</t>
  </si>
  <si>
    <t>OCC1OC(OC2C(O)C(O)C(O)OC2CO)C(OC(=O)C2=C(F)C(F)=C(F)C(F)=C2F)C(O)C1O</t>
  </si>
  <si>
    <t>OCC1OC(OC2C(O)C(O)C(O)OC2COC(=O)C(F)(F)F)C(O)C(O)C1O</t>
  </si>
  <si>
    <t>OCC1OC(OC2C(O)C(O)C(O)OC2CO)C(OC(=O)C(F)(F)F)C(O)C1O</t>
  </si>
  <si>
    <t>OCC1OC(OC2C(O)C(O)C(O)OC2CO)C(O)C(O)C1O</t>
  </si>
  <si>
    <t>OC(=O)C1=C(F)C(F)=C(F)C(F)=C1F</t>
  </si>
  <si>
    <t>methyl 1-acetylpyrrolidine-2-carboxylate</t>
  </si>
  <si>
    <t>ethyl 1-acetylpyrrolidine-2-carboxylate</t>
  </si>
  <si>
    <t>2-fluoroethyl 1-acetylpyrrolidine-2-carboxylate</t>
  </si>
  <si>
    <t>2,2-difluoroethyl 1-acetylpyrrolidine-2-carboxylate</t>
  </si>
  <si>
    <t>2,2,2-trifluoroethyl 1-acetylpyrrolidine-2-carboxylate</t>
  </si>
  <si>
    <t>x</t>
  </si>
  <si>
    <t>Units Conversion</t>
  </si>
  <si>
    <t>Temperature corrected to 25 degC</t>
  </si>
  <si>
    <t>Measurement</t>
  </si>
  <si>
    <t>Estimated</t>
  </si>
  <si>
    <t>Smiles</t>
  </si>
  <si>
    <t>Buffer/Buffer [C]</t>
  </si>
  <si>
    <t>Temperature</t>
  </si>
  <si>
    <t>pKw</t>
  </si>
  <si>
    <t>Ea</t>
  </si>
  <si>
    <t>pH</t>
  </si>
  <si>
    <t>Degradation rate</t>
  </si>
  <si>
    <t>Units</t>
  </si>
  <si>
    <t>1/min</t>
  </si>
  <si>
    <t>1/day</t>
  </si>
  <si>
    <t>1/(M*s)</t>
  </si>
  <si>
    <t>1/s</t>
  </si>
  <si>
    <t>Trifluoroethyl acetate</t>
  </si>
  <si>
    <t>70% acetone</t>
  </si>
  <si>
    <t>FTP</t>
  </si>
  <si>
    <t>Pentafluorobenzoylated cellulose</t>
  </si>
  <si>
    <t>10% acetonitrile; dissapearance rate</t>
  </si>
  <si>
    <t>dissolved in DMF</t>
  </si>
  <si>
    <t>pH 5-9.91 ran</t>
  </si>
  <si>
    <t>Acid</t>
  </si>
  <si>
    <t>acs.est.5b03686.pdf//es5b03686_si_001.pdf</t>
  </si>
  <si>
    <t>DT50&gt;5hrs</t>
  </si>
  <si>
    <t>DT50&lt;17hrs</t>
  </si>
  <si>
    <t>SI</t>
  </si>
  <si>
    <t>Column Label</t>
  </si>
  <si>
    <t>Column Heading</t>
  </si>
  <si>
    <t>Description</t>
  </si>
  <si>
    <t>Calculation</t>
  </si>
  <si>
    <t>A</t>
  </si>
  <si>
    <t>B</t>
  </si>
  <si>
    <t>C</t>
  </si>
  <si>
    <t>SMILES</t>
  </si>
  <si>
    <t>D</t>
  </si>
  <si>
    <t>Functional Group</t>
  </si>
  <si>
    <t>E</t>
  </si>
  <si>
    <t>F</t>
  </si>
  <si>
    <t>G</t>
  </si>
  <si>
    <t>Measurement Temperature</t>
  </si>
  <si>
    <t>(deg C)</t>
  </si>
  <si>
    <t>Reported measurement temperature in degrees C</t>
  </si>
  <si>
    <t>H</t>
  </si>
  <si>
    <t>(K)</t>
  </si>
  <si>
    <t>Reported measurement temperature in Kelvin</t>
  </si>
  <si>
    <t>I</t>
  </si>
  <si>
    <t>Negative logarithm of the equilibrium constant for ionization of water, corrected for temperature</t>
  </si>
  <si>
    <t>Van't Hoff equation</t>
  </si>
  <si>
    <t>J</t>
  </si>
  <si>
    <t>(kcal/mol)</t>
  </si>
  <si>
    <t>K</t>
  </si>
  <si>
    <t xml:space="preserve">pH </t>
  </si>
  <si>
    <t>L</t>
  </si>
  <si>
    <t>Half-life</t>
  </si>
  <si>
    <t>(days)</t>
  </si>
  <si>
    <t>M</t>
  </si>
  <si>
    <t>Degradation Rate</t>
  </si>
  <si>
    <t>N</t>
  </si>
  <si>
    <t>Rate Constant Units</t>
  </si>
  <si>
    <t>Units for reported rate constant in column M</t>
  </si>
  <si>
    <r>
      <t>If paper reports k</t>
    </r>
    <r>
      <rPr>
        <vertAlign val="subscript"/>
        <sz val="11"/>
        <color rgb="FFFF0000"/>
        <rFont val="Calibri"/>
        <family val="2"/>
        <scheme val="minor"/>
      </rPr>
      <t>obs_1</t>
    </r>
    <r>
      <rPr>
        <sz val="11"/>
        <color rgb="FFFF0000"/>
        <rFont val="Calibri"/>
        <family val="2"/>
        <scheme val="minor"/>
      </rPr>
      <t>,</t>
    </r>
  </si>
  <si>
    <r>
      <t>If paper reports k</t>
    </r>
    <r>
      <rPr>
        <vertAlign val="subscript"/>
        <sz val="11"/>
        <color rgb="FFFF0000"/>
        <rFont val="Calibri"/>
        <family val="2"/>
        <scheme val="minor"/>
      </rPr>
      <t>obs_2</t>
    </r>
    <r>
      <rPr>
        <sz val="11"/>
        <color rgb="FFFF0000"/>
        <rFont val="Calibri"/>
        <family val="2"/>
        <scheme val="minor"/>
      </rPr>
      <t>,</t>
    </r>
  </si>
  <si>
    <t>O</t>
  </si>
  <si>
    <t>First-order Rate Constant</t>
  </si>
  <si>
    <t>(sec^-1)</t>
  </si>
  <si>
    <t>pH &amp; Units Conversion</t>
  </si>
  <si>
    <r>
      <t>k_1 = k</t>
    </r>
    <r>
      <rPr>
        <vertAlign val="subscript"/>
        <sz val="11"/>
        <color rgb="FFFF0000"/>
        <rFont val="Calibri"/>
        <family val="2"/>
        <scheme val="minor"/>
      </rPr>
      <t>obs_1</t>
    </r>
    <r>
      <rPr>
        <sz val="11"/>
        <color rgb="FFFF0000"/>
        <rFont val="Calibri"/>
        <family val="2"/>
        <scheme val="minor"/>
      </rPr>
      <t>*10</t>
    </r>
    <r>
      <rPr>
        <vertAlign val="superscript"/>
        <sz val="11"/>
        <color rgb="FFFF0000"/>
        <rFont val="Calibri"/>
        <family val="2"/>
        <scheme val="minor"/>
      </rPr>
      <t>(pH-5)</t>
    </r>
  </si>
  <si>
    <r>
      <t>k_1 = k</t>
    </r>
    <r>
      <rPr>
        <vertAlign val="subscript"/>
        <sz val="11"/>
        <color rgb="FFFF0000"/>
        <rFont val="Calibri"/>
        <family val="2"/>
        <scheme val="minor"/>
      </rPr>
      <t>obs_2</t>
    </r>
    <r>
      <rPr>
        <sz val="11"/>
        <color rgb="FFFF0000"/>
        <rFont val="Calibri"/>
        <family val="2"/>
        <scheme val="minor"/>
      </rPr>
      <t>*10</t>
    </r>
    <r>
      <rPr>
        <vertAlign val="superscript"/>
        <sz val="11"/>
        <color rgb="FFFF0000"/>
        <rFont val="Calibri"/>
        <family val="2"/>
        <scheme val="minor"/>
      </rPr>
      <t>-5</t>
    </r>
  </si>
  <si>
    <t>P</t>
  </si>
  <si>
    <t>Second-order Rate Constant</t>
  </si>
  <si>
    <t>(M^-1 sec^-1)</t>
  </si>
  <si>
    <r>
      <t>k_2 = k_1*10</t>
    </r>
    <r>
      <rPr>
        <vertAlign val="superscript"/>
        <sz val="11"/>
        <color rgb="FFFF0000"/>
        <rFont val="Calibri"/>
        <family val="2"/>
        <scheme val="minor"/>
      </rPr>
      <t>5</t>
    </r>
    <r>
      <rPr>
        <sz val="11"/>
        <color rgb="FFFF0000"/>
        <rFont val="Calibri"/>
        <family val="2"/>
        <scheme val="minor"/>
      </rPr>
      <t xml:space="preserve"> = k</t>
    </r>
    <r>
      <rPr>
        <vertAlign val="subscript"/>
        <sz val="11"/>
        <color rgb="FFFF0000"/>
        <rFont val="Calibri"/>
        <family val="2"/>
        <scheme val="minor"/>
      </rPr>
      <t>obs_1</t>
    </r>
    <r>
      <rPr>
        <sz val="11"/>
        <color rgb="FFFF0000"/>
        <rFont val="Calibri"/>
        <family val="2"/>
        <scheme val="minor"/>
      </rPr>
      <t>*10</t>
    </r>
    <r>
      <rPr>
        <vertAlign val="superscript"/>
        <sz val="11"/>
        <color rgb="FFFF0000"/>
        <rFont val="Calibri"/>
        <family val="2"/>
        <scheme val="minor"/>
      </rPr>
      <t>pH</t>
    </r>
  </si>
  <si>
    <r>
      <t>k_2 = k</t>
    </r>
    <r>
      <rPr>
        <vertAlign val="subscript"/>
        <sz val="11"/>
        <color rgb="FFFF0000"/>
        <rFont val="Calibri"/>
        <family val="2"/>
        <scheme val="minor"/>
      </rPr>
      <t>obs_2</t>
    </r>
  </si>
  <si>
    <t>Q</t>
  </si>
  <si>
    <t>ln(2)/(k_1*86400)</t>
  </si>
  <si>
    <t>R</t>
  </si>
  <si>
    <t>S</t>
  </si>
  <si>
    <t>Reported second-order rate constant, corrected to a temperature of 25 degC (calculated from value in column P)</t>
  </si>
  <si>
    <t>Arrhenius equation</t>
  </si>
  <si>
    <t>T</t>
  </si>
  <si>
    <t>MEAN</t>
  </si>
  <si>
    <t>U</t>
  </si>
  <si>
    <t>MEDIAN</t>
  </si>
  <si>
    <t>V</t>
  </si>
  <si>
    <t>SD</t>
  </si>
  <si>
    <t>W</t>
  </si>
  <si>
    <t>X</t>
  </si>
  <si>
    <r>
      <t>k_1 = k</t>
    </r>
    <r>
      <rPr>
        <vertAlign val="subscript"/>
        <sz val="11"/>
        <color rgb="FFFF0000"/>
        <rFont val="Calibri"/>
        <family val="2"/>
        <scheme val="minor"/>
      </rPr>
      <t>obs_1</t>
    </r>
    <r>
      <rPr>
        <sz val="11"/>
        <color rgb="FFFF0000"/>
        <rFont val="Calibri"/>
        <family val="2"/>
        <scheme val="minor"/>
      </rPr>
      <t>*10</t>
    </r>
    <r>
      <rPr>
        <vertAlign val="superscript"/>
        <sz val="11"/>
        <color rgb="FFFF0000"/>
        <rFont val="Calibri"/>
        <family val="2"/>
        <scheme val="minor"/>
      </rPr>
      <t>(9-pH)</t>
    </r>
  </si>
  <si>
    <r>
      <t>k_1 = k</t>
    </r>
    <r>
      <rPr>
        <vertAlign val="subscript"/>
        <sz val="11"/>
        <color rgb="FFFF0000"/>
        <rFont val="Calibri"/>
        <family val="2"/>
        <scheme val="minor"/>
      </rPr>
      <t>obs_2</t>
    </r>
    <r>
      <rPr>
        <sz val="11"/>
        <color rgb="FFFF0000"/>
        <rFont val="Calibri"/>
        <family val="2"/>
        <scheme val="minor"/>
      </rPr>
      <t>*10</t>
    </r>
    <r>
      <rPr>
        <vertAlign val="superscript"/>
        <sz val="11"/>
        <color rgb="FFFF0000"/>
        <rFont val="Calibri"/>
        <family val="2"/>
        <scheme val="minor"/>
      </rPr>
      <t>(9-pKw)</t>
    </r>
  </si>
  <si>
    <r>
      <t>k_2 = k</t>
    </r>
    <r>
      <rPr>
        <vertAlign val="subscript"/>
        <sz val="11"/>
        <color rgb="FFFF0000"/>
        <rFont val="Calibri"/>
        <family val="2"/>
        <scheme val="minor"/>
      </rPr>
      <t>obs_1</t>
    </r>
    <r>
      <rPr>
        <sz val="11"/>
        <color rgb="FFFF0000"/>
        <rFont val="Calibri"/>
        <family val="2"/>
        <scheme val="minor"/>
      </rPr>
      <t>*10</t>
    </r>
    <r>
      <rPr>
        <vertAlign val="superscript"/>
        <sz val="11"/>
        <color rgb="FFFF0000"/>
        <rFont val="Calibri"/>
        <family val="2"/>
        <scheme val="minor"/>
      </rPr>
      <t>(pKw-pH)</t>
    </r>
  </si>
  <si>
    <t>10% acetonitrile; dissapearance rate; duplicate</t>
  </si>
  <si>
    <t>SI;x</t>
  </si>
  <si>
    <t>Products1</t>
  </si>
  <si>
    <t>Products2</t>
  </si>
  <si>
    <t>Notes/Comments</t>
  </si>
  <si>
    <t>identifier; cell shading indicates duplicate Smiles</t>
  </si>
  <si>
    <t>Product1</t>
  </si>
  <si>
    <t>Product2</t>
  </si>
  <si>
    <t>Reported pH for measurements under basic, neutral, or acidic conditions</t>
  </si>
  <si>
    <t xml:space="preserve"> (days)</t>
  </si>
  <si>
    <t>Base</t>
  </si>
  <si>
    <t xml:space="preserve">Reported first-order rate constant at pH 5, 7, or 9 in sec^-1 </t>
  </si>
  <si>
    <t xml:space="preserve">Reported second-order rate constant at pH 5, 7, or 9 in M^-1 sec^-1 </t>
  </si>
  <si>
    <t xml:space="preserve">Reported half-life at pH 5, 7 or 9, corrected to a temperature of 25 degC </t>
  </si>
  <si>
    <t>Reported first-order rate constant at pH 5, 7, or 9 corrected to a temperature of 25 degC (calculated from value in column S)</t>
  </si>
  <si>
    <t>k_2*10^-5 or k_2*10^(9-14)</t>
  </si>
  <si>
    <t>Log (k2)</t>
  </si>
  <si>
    <t>Log (k1)</t>
  </si>
  <si>
    <t>Kirsch&amp;Jencks-JACS-1964.pdf</t>
  </si>
  <si>
    <t>Mabey&amp;Mill_JPCRD1978.pdf</t>
  </si>
  <si>
    <t>Barnes_et_al-Can. J. Chem., v72-351-1972.pdf</t>
  </si>
  <si>
    <t>1% acetone</t>
  </si>
  <si>
    <t>Winter&amp;Scott-Can. J. Chem, 50, 1886-1972.pdf</t>
  </si>
  <si>
    <t>4-Nitrobenzyl trifluoroacetate</t>
  </si>
  <si>
    <t>C1=CC(=CC=C1[N+](=O)[O-])COC(=O)C(F)(F)F</t>
  </si>
  <si>
    <t>4-Chlorobenzyl trifluoroacetate</t>
  </si>
  <si>
    <t>Benzyl trifluoroacetate</t>
  </si>
  <si>
    <t>C1=CC=C(C=C1)COC(=O)C(F)(F)F</t>
  </si>
  <si>
    <t>4-Methylbenzyl trifluoroacetate</t>
  </si>
  <si>
    <t>4-Methoxylbenzyl trifluoroacetate</t>
  </si>
  <si>
    <t>Barton_et_al. JChemSocPerkinTransII-1994.pdf</t>
  </si>
  <si>
    <t>es504347u.pdf//es504347u_si_001.pdf</t>
  </si>
  <si>
    <t>1-s2.0-S0021979706003936-main.pdf</t>
  </si>
  <si>
    <t>trifluoroacetylated cellulose</t>
  </si>
  <si>
    <t>10.1007/BF00812508||Liebert et al., Cellulose, 1, 249, 1994.pdf</t>
  </si>
  <si>
    <t>Citation for source of rate constant data includes pdf document names, Online databases, etc. || or // may be used to separate database source or 2 potential sources such as article and supporting info documents.</t>
  </si>
  <si>
    <t>(sec^-1 )</t>
  </si>
  <si>
    <t>First-order (k1)</t>
  </si>
  <si>
    <t>Second-order (k2)</t>
  </si>
  <si>
    <t>Compound Half-Life</t>
  </si>
  <si>
    <t>For Manuscript</t>
  </si>
  <si>
    <t>Unitless Conversions</t>
  </si>
  <si>
    <t>sulfonamide</t>
  </si>
  <si>
    <t>Y</t>
  </si>
  <si>
    <t>Z</t>
  </si>
  <si>
    <t>AA</t>
  </si>
  <si>
    <t>Conversion of half-life value for to match relevant unit for manuscript</t>
  </si>
  <si>
    <t>(k_1 or k_2)</t>
  </si>
  <si>
    <t>HL Units</t>
  </si>
  <si>
    <t>Half-life (HL)</t>
  </si>
  <si>
    <t xml:space="preserve">Unit based on conversion </t>
  </si>
  <si>
    <t>AB</t>
  </si>
  <si>
    <t>AC</t>
  </si>
  <si>
    <t>AD</t>
  </si>
  <si>
    <t>AE</t>
  </si>
  <si>
    <t>n</t>
  </si>
  <si>
    <t>min</t>
  </si>
  <si>
    <t>max</t>
  </si>
  <si>
    <t>kb</t>
  </si>
  <si>
    <t>kn</t>
  </si>
  <si>
    <t>ka</t>
  </si>
  <si>
    <t>Celluose</t>
  </si>
  <si>
    <t>k2</t>
  </si>
  <si>
    <t>log(k2)</t>
  </si>
  <si>
    <t xml:space="preserve">PFAS I </t>
  </si>
  <si>
    <t>Mean reported half-life at pH 9, 7, or 5 (in column AS) for a given molecule; bold is for kb, kn, ka, and polymers</t>
  </si>
  <si>
    <t>Median reported half-life at pH 9, 7, or 5 (in column AS) for a given molucule; bold is for kb, kn, ka, and polymers</t>
  </si>
  <si>
    <t>Standard deviation of at pH 9, 7, or 5 half-lives (in column AS) for a molecule; bold is for kb, kn, ka, and polymers</t>
  </si>
  <si>
    <t>DOI</t>
  </si>
  <si>
    <t>https://pubs.acs.org/doi/pdf/10.1021/ja01059a019</t>
  </si>
  <si>
    <t>10.1016/j.atmosenv.2003.10.019</t>
  </si>
  <si>
    <t>10.1039/P29940002021</t>
  </si>
  <si>
    <t>10.1021/jo990550j</t>
  </si>
  <si>
    <t>10.1246/bcsj.53.3334</t>
  </si>
  <si>
    <t>10.1021/jf00084a048</t>
  </si>
  <si>
    <t>10.3762/bjoc.13.241</t>
  </si>
  <si>
    <t>10.1039/C0EM00295J</t>
  </si>
  <si>
    <t>10.1139/v68-480</t>
  </si>
  <si>
    <t>10.1139/v72-351</t>
  </si>
  <si>
    <t>10.1139/v72-303</t>
  </si>
  <si>
    <t>10.1021/ja01558a012</t>
  </si>
  <si>
    <t>https://central.bac-lac.gc.ca/.item?id=MR81225&amp;op=pdf&amp;app=Library&amp;oclc_number=853308762</t>
  </si>
  <si>
    <t>10.1021/acs.langmuir.2c03005</t>
  </si>
  <si>
    <t>10.1177/004051756003000509</t>
  </si>
  <si>
    <t>10.1021/bm0700136</t>
  </si>
  <si>
    <t>10.1007/BF00812508</t>
  </si>
  <si>
    <t>10.1016/j.jcis.2006.04.078</t>
  </si>
  <si>
    <t>https://srd.nist.gov/jpcrdreprint/1.555572.pdf</t>
  </si>
  <si>
    <t>10.1021/acs.est.5b03686</t>
  </si>
  <si>
    <t>10.1021/es504347u</t>
  </si>
  <si>
    <t>pH = 14 - pOH; 20mL of 1 NaOH = 0.02mol -OH</t>
  </si>
  <si>
    <t>p(PFOA)</t>
  </si>
  <si>
    <t>p(HFBA)</t>
  </si>
  <si>
    <t>See figure 3 caption; pH = 14 - pOH; 20mL of 1M NaOH = 0.02mol -OH; HL &lt;2 min</t>
  </si>
  <si>
    <t>See figure 3 caption; pH = 14 - pOH; 20mL of 1M NaOH = 0.02mol -OH; HL ~40min or &gt;</t>
  </si>
  <si>
    <t>See figure 3 caption; pH = 14 - pOH; 20mL of 0.5M NaOH = 0.01mol -OH; HL ~30min or &gt;</t>
  </si>
  <si>
    <t>m</t>
  </si>
  <si>
    <t>h</t>
  </si>
  <si>
    <t>CCN(CCOC(=O)C=C)S(=O)(=O)C(F)(F)C(F)(F)C(F)(F)C(F)(F)C(F)(F)C(F)(F)C(F)(F)C(F)(F)F</t>
  </si>
  <si>
    <t>CCN(CCO)S(=O)(=O)C(F)(F)C(F)(F)C(F)(F)C(F)(F)C(F)(F)C(F)(F)C(F)(F)C(F)(F)F</t>
  </si>
  <si>
    <t>y</t>
  </si>
  <si>
    <t>s</t>
  </si>
  <si>
    <t>d</t>
  </si>
  <si>
    <t>Compound names; cell shading indicates duplicate names</t>
  </si>
  <si>
    <t>AF</t>
  </si>
  <si>
    <t>mean of 2nd order rates of identical chemicals</t>
  </si>
  <si>
    <t>log of mean of 2nd order rates of identical chemicals</t>
  </si>
  <si>
    <t>Statistical metrics for half-life of various datasets</t>
  </si>
  <si>
    <t>Activation energy (Some values based on reported source; Otherwise 14.34 kJ/mol given based on average from previous compilation)</t>
  </si>
  <si>
    <t>Reported half-life in days for measurements under basic, neutral, or acidic conditions</t>
  </si>
  <si>
    <t>Reported rate constant (may be first-order or second-order) for measurements under basic, neutral, or acidic conditions</t>
  </si>
  <si>
    <t>Reported Measurements under Basic, Acidic, or Neutral Conditions</t>
  </si>
  <si>
    <t>Tab</t>
  </si>
  <si>
    <t>Collect</t>
  </si>
  <si>
    <t>Collection of DOIs for each document associated document</t>
  </si>
  <si>
    <t>Links to reference if available (#N/A if not available)</t>
  </si>
  <si>
    <r>
      <t xml:space="preserve">PFAS I (EPA definition: Perfluuorination on more than one carbon chain atoms); </t>
    </r>
    <r>
      <rPr>
        <sz val="11"/>
        <color rgb="FFFF0000"/>
        <rFont val="Calibri"/>
        <family val="2"/>
        <scheme val="minor"/>
      </rPr>
      <t>red writing indicates screened data due to competitive interfering hydrolysis reaction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</si>
  <si>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Names of other functional groups that are hydrolyzable (Blank if the molecule contains only carboxylic acid ester functional group subject to hydrolysis; </t>
    </r>
    <r>
      <rPr>
        <sz val="11"/>
        <color rgb="FFFF0000"/>
        <rFont val="Calibri"/>
        <family val="2"/>
        <scheme val="minor"/>
      </rPr>
      <t>red if the interfering hydrolysis function dominates over carboxylic acid ester</t>
    </r>
    <r>
      <rPr>
        <sz val="11"/>
        <rFont val="Calibri"/>
        <family val="2"/>
        <scheme val="minor"/>
      </rPr>
      <t>)</t>
    </r>
  </si>
  <si>
    <r>
      <t xml:space="preserve">Includes all relevant information such as % solvent and  additional info of rate data; </t>
    </r>
    <r>
      <rPr>
        <sz val="11"/>
        <color rgb="FFFF0000"/>
        <rFont val="Calibri"/>
        <family val="2"/>
        <scheme val="minor"/>
      </rPr>
      <t>red writing indicates when competitive hydrolysis reaction, sulfonamide hydrolysis, dominates in basic conditions</t>
    </r>
  </si>
  <si>
    <t>Carboxylic Acid</t>
  </si>
  <si>
    <t>Screened data that was restricted only to Supporting Info (SI)</t>
  </si>
  <si>
    <t>OC(=O)CC1=CC=CC=C1</t>
  </si>
  <si>
    <t>OC(F)(F)F</t>
  </si>
  <si>
    <t>OC(C(F)(F)F)C(F)(F)F</t>
  </si>
  <si>
    <t>base hydrolysis (@pH_exp)</t>
  </si>
  <si>
    <t>neutral hydrolysis (@pH_exp)</t>
  </si>
  <si>
    <t>acid hydrolysis (@pH_exp)</t>
  </si>
  <si>
    <t>polymer-terminated w/ -H or -CH3 (@pH_exp</t>
  </si>
  <si>
    <t>C1=CC(=CC=C1Cl)COC(=O)C(F)(F)F</t>
  </si>
  <si>
    <t>i-propyl trifluoroacetate</t>
  </si>
  <si>
    <t>Key</t>
  </si>
  <si>
    <t>AH-AU</t>
  </si>
  <si>
    <t>C1=CC(=CC=C1[N+](=O)[O-])CO</t>
  </si>
  <si>
    <t>C1=CC(=CC=C1C)COC(=O)C(F)(F)F</t>
  </si>
  <si>
    <t>C1=CC(=CC=C1OC)COC(=O)C(F)(F)F</t>
  </si>
  <si>
    <t>C1=CC(=CC=C1Cl)CO</t>
  </si>
  <si>
    <t>C1=CC=C(C=C1)CO</t>
  </si>
  <si>
    <t>C1=CC(=CC=C1C)CO</t>
  </si>
  <si>
    <t>C1=CC(=CC=C1OC)CO</t>
  </si>
  <si>
    <t>DT50&gt;4 d</t>
  </si>
  <si>
    <t>1-s2.0-S0021979706003936-main.pdf || bm0700136.pdf</t>
  </si>
  <si>
    <t>~1.5 days (no stirring)</t>
  </si>
  <si>
    <r>
      <t xml:space="preserve">Alcohol/Hydroxygroup; </t>
    </r>
    <r>
      <rPr>
        <sz val="11"/>
        <color rgb="FFFF0000"/>
        <rFont val="Calibri"/>
        <family val="2"/>
        <scheme val="minor"/>
      </rPr>
      <t>or product from competitive reaction</t>
    </r>
  </si>
  <si>
    <t>at pH 9</t>
  </si>
  <si>
    <t>at pH of exp</t>
  </si>
  <si>
    <t>standard pH</t>
  </si>
  <si>
    <t>2-(N-ethylperfluorooctanesulfonamido)ethyl acrylate</t>
  </si>
  <si>
    <t>disappearance; may be overestimated; some of the parent compound may have stuck to the glass</t>
  </si>
  <si>
    <t>neutral ester hydrolysis dominant (sulfonamide pathway dominates at pH 9)</t>
  </si>
  <si>
    <t>https://www.canada.ca/en/environment-climate-change/services/canadian-environmental-protection-act-registry/historical/substances-lists/environmental-screening-assessment-report-perfluorooctane-sulfonate.html</t>
  </si>
  <si>
    <t>DOI or link</t>
  </si>
  <si>
    <t>CEPA_2004_PFOSreport</t>
  </si>
  <si>
    <t>Hekster_etal_rikz2002-043</t>
  </si>
  <si>
    <t>https://repository.tudelft.nl/file/File_d9e2177d-6a2a-4177-8cee-8518de637cae</t>
  </si>
  <si>
    <t>DTXSID</t>
  </si>
  <si>
    <t>DTXSID3059975</t>
  </si>
  <si>
    <t>Martin_etal_JEnvMon2010</t>
  </si>
  <si>
    <t>DTXSID7070507</t>
  </si>
  <si>
    <t>Kutsuna_etal_AtmEnv2004</t>
  </si>
  <si>
    <t>Fernandez&amp;deRossi_JOrgChem1999</t>
  </si>
  <si>
    <t>intext citation</t>
  </si>
  <si>
    <t>https://chm.pops.int/Portals/0/download.aspx?d=UNEP-POPS-POPRC12FU-SUBM-PFOA-FluoroCouncil-2-20161208.En.pdf</t>
  </si>
  <si>
    <t>2-(N-methylperfluorobutylsulfonamido)ethyl acrylate</t>
  </si>
  <si>
    <t>ECHA_ChemDatabase_EC_266-733-5</t>
  </si>
  <si>
    <t>https://chem.echa.europa.eu/100.060.648/dossier-list/reach/dossiers/not_active?searchText=266-733-5</t>
  </si>
  <si>
    <t>DTXSID3047558</t>
  </si>
  <si>
    <t>ECHA_ChemDatabase_EC_218-407-9</t>
  </si>
  <si>
    <t>https://chem.echa.europa.eu/100.016.735/overview?searchText=218-407-9</t>
  </si>
  <si>
    <t>DTXSID80865199</t>
  </si>
  <si>
    <t>DTXSID9038840</t>
  </si>
  <si>
    <t>DTXSID5067348</t>
  </si>
  <si>
    <t>ECHA_ChemDatabase_EC_288-003-5</t>
  </si>
  <si>
    <t>https://chem.echa.europa.eu/substance-search?searchText=288-003-5</t>
  </si>
  <si>
    <t>DTXSID9037743</t>
  </si>
  <si>
    <t>DTXSID60193609</t>
  </si>
  <si>
    <t>Compilation of Literature-Reported Hydrolysis Data</t>
  </si>
  <si>
    <t>Abbreviation</t>
  </si>
  <si>
    <t>6:2 FTAc</t>
  </si>
  <si>
    <t>6:2 FTMAc</t>
  </si>
  <si>
    <t>8:2 FTAc</t>
  </si>
  <si>
    <t>10:2 FTAc</t>
  </si>
  <si>
    <t>N-EtFOSEAc</t>
  </si>
  <si>
    <t>N-MeFOSEAc</t>
  </si>
  <si>
    <t>N-MeFBSEAc</t>
  </si>
  <si>
    <t>https://chem.echa.europa.eu/100.037.737/overview?searchText=241-527-8</t>
  </si>
  <si>
    <t>ECHA_ChemDatabase_EC_241-527-8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</si>
</sst>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vertAlign val="subscript"/>
      <sz val="11"/>
      <color rgb="FFFF0000"/>
      <name val="Calibri"/>
      <family val="2"/>
      <scheme val="minor"/>
    </font>
    <font>
      <vertAlign val="superscript"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FFC7CE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5" fillId="2" borderId="1" applyNumberFormat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7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</cellStyleXfs>
  <cellXfs count="86">
    <xf numFmtId="0" fontId="0" fillId="0" borderId="0" xfId="0"/>
    <xf numFmtId="0" fontId="3" fillId="0" borderId="0" xfId="0" applyFont="1"/>
    <xf numFmtId="0" fontId="2" fillId="0" borderId="0" xfId="0" applyFont="1"/>
    <xf numFmtId="0" fontId="1" fillId="0" borderId="0" xfId="0" applyFont="1"/>
    <xf numFmtId="2" fontId="0" fillId="0" borderId="0" xfId="0" applyNumberFormat="1"/>
    <xf numFmtId="0" fontId="0" fillId="5" borderId="0" xfId="0" applyFill="1"/>
    <xf numFmtId="0" fontId="5" fillId="2" borderId="1" xfId="1"/>
    <xf numFmtId="11" fontId="0" fillId="5" borderId="0" xfId="0" applyNumberFormat="1" applyFill="1"/>
    <xf numFmtId="0" fontId="6" fillId="0" borderId="0" xfId="0" applyFont="1"/>
    <xf numFmtId="11" fontId="2" fillId="5" borderId="0" xfId="0" applyNumberFormat="1" applyFont="1" applyFill="1"/>
    <xf numFmtId="11" fontId="5" fillId="2" borderId="1" xfId="1" applyNumberFormat="1"/>
    <xf numFmtId="11" fontId="0" fillId="0" borderId="0" xfId="0" applyNumberFormat="1"/>
    <xf numFmtId="11" fontId="3" fillId="5" borderId="0" xfId="0" applyNumberFormat="1" applyFont="1" applyFill="1"/>
    <xf numFmtId="11" fontId="0" fillId="4" borderId="0" xfId="3" applyNumberFormat="1" applyFont="1" applyProtection="1">
      <protection locked="0"/>
    </xf>
    <xf numFmtId="11" fontId="3" fillId="4" borderId="0" xfId="3" applyNumberFormat="1" applyFont="1"/>
    <xf numFmtId="0" fontId="3" fillId="2" borderId="1" xfId="1" applyFont="1"/>
    <xf numFmtId="0" fontId="3" fillId="5" borderId="0" xfId="0" applyFont="1" applyFill="1" applyBorder="1"/>
    <xf numFmtId="11" fontId="3" fillId="5" borderId="0" xfId="0" applyNumberFormat="1" applyFont="1" applyFill="1" applyBorder="1"/>
    <xf numFmtId="0" fontId="5" fillId="2" borderId="2" xfId="1" applyBorder="1"/>
    <xf numFmtId="11" fontId="3" fillId="4" borderId="0" xfId="3" applyNumberFormat="1" applyFont="1" applyBorder="1" applyProtection="1">
      <protection locked="0"/>
    </xf>
    <xf numFmtId="11" fontId="3" fillId="4" borderId="0" xfId="3" applyNumberFormat="1" applyFont="1" applyBorder="1"/>
    <xf numFmtId="11" fontId="4" fillId="4" borderId="0" xfId="3" applyNumberFormat="1"/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vertical="center"/>
    </xf>
    <xf numFmtId="0" fontId="0" fillId="5" borderId="8" xfId="0" applyFill="1" applyBorder="1" applyAlignment="1">
      <alignment wrapText="1"/>
    </xf>
    <xf numFmtId="11" fontId="0" fillId="6" borderId="8" xfId="3" applyNumberFormat="1" applyFont="1" applyFill="1" applyBorder="1" applyAlignment="1">
      <alignment vertical="center" wrapText="1"/>
    </xf>
    <xf numFmtId="11" fontId="0" fillId="6" borderId="8" xfId="3" applyNumberFormat="1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5" borderId="8" xfId="0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9" xfId="0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8" xfId="0" applyBorder="1"/>
    <xf numFmtId="164" fontId="0" fillId="0" borderId="0" xfId="0" applyNumberFormat="1"/>
    <xf numFmtId="0" fontId="0" fillId="0" borderId="0" xfId="0" applyFill="1"/>
    <xf numFmtId="0" fontId="0" fillId="0" borderId="0" xfId="0" applyBorder="1" applyAlignment="1">
      <alignment vertical="center"/>
    </xf>
    <xf numFmtId="11" fontId="10" fillId="4" borderId="0" xfId="3" applyNumberFormat="1" applyFont="1" applyBorder="1" applyProtection="1">
      <protection locked="0"/>
    </xf>
    <xf numFmtId="0" fontId="2" fillId="5" borderId="0" xfId="0" applyFont="1" applyFill="1"/>
    <xf numFmtId="0" fontId="0" fillId="0" borderId="0" xfId="0" applyFont="1"/>
    <xf numFmtId="0" fontId="4" fillId="3" borderId="0" xfId="2"/>
    <xf numFmtId="0" fontId="4" fillId="7" borderId="0" xfId="4"/>
    <xf numFmtId="0" fontId="0" fillId="0" borderId="8" xfId="0" applyBorder="1" applyAlignment="1">
      <alignment horizontal="center"/>
    </xf>
    <xf numFmtId="0" fontId="0" fillId="5" borderId="0" xfId="0" applyFont="1" applyFill="1"/>
    <xf numFmtId="11" fontId="0" fillId="5" borderId="0" xfId="0" applyNumberFormat="1" applyFont="1" applyFill="1"/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vertical="center" wrapText="1"/>
    </xf>
    <xf numFmtId="0" fontId="2" fillId="0" borderId="0" xfId="0" applyFont="1" applyProtection="1">
      <protection locked="0"/>
    </xf>
    <xf numFmtId="0" fontId="0" fillId="0" borderId="0" xfId="0" applyFont="1" applyProtection="1">
      <protection locked="0"/>
    </xf>
    <xf numFmtId="2" fontId="0" fillId="0" borderId="0" xfId="0" applyNumberFormat="1" applyFont="1"/>
    <xf numFmtId="11" fontId="0" fillId="0" borderId="0" xfId="0" applyNumberFormat="1" applyFont="1"/>
    <xf numFmtId="11" fontId="2" fillId="0" borderId="0" xfId="0" applyNumberFormat="1" applyFont="1"/>
    <xf numFmtId="0" fontId="4" fillId="4" borderId="0" xfId="3"/>
    <xf numFmtId="11" fontId="2" fillId="4" borderId="0" xfId="3" applyNumberFormat="1" applyFont="1"/>
    <xf numFmtId="0" fontId="2" fillId="4" borderId="0" xfId="3" applyFont="1"/>
    <xf numFmtId="0" fontId="11" fillId="0" borderId="0" xfId="5"/>
    <xf numFmtId="0" fontId="12" fillId="8" borderId="8" xfId="6" applyBorder="1" applyAlignment="1">
      <alignment vertical="center" wrapText="1"/>
    </xf>
    <xf numFmtId="0" fontId="5" fillId="2" borderId="1" xfId="1" applyAlignment="1">
      <alignment horizontal="center" vertical="center"/>
    </xf>
    <xf numFmtId="0" fontId="5" fillId="2" borderId="1" xfId="1" applyAlignment="1">
      <alignment vertical="center"/>
    </xf>
    <xf numFmtId="0" fontId="5" fillId="2" borderId="1" xfId="1" applyAlignment="1">
      <alignment vertical="center" wrapText="1"/>
    </xf>
    <xf numFmtId="0" fontId="0" fillId="0" borderId="6" xfId="0" applyBorder="1" applyAlignment="1">
      <alignment vertical="center" wrapText="1"/>
    </xf>
    <xf numFmtId="0" fontId="12" fillId="8" borderId="9" xfId="6" applyBorder="1" applyAlignment="1">
      <alignment vertical="center" wrapText="1"/>
    </xf>
    <xf numFmtId="0" fontId="5" fillId="2" borderId="1" xfId="1" applyAlignment="1">
      <alignment horizontal="left" vertical="center" wrapText="1"/>
    </xf>
    <xf numFmtId="0" fontId="4" fillId="3" borderId="8" xfId="2" applyBorder="1" applyAlignment="1">
      <alignment vertical="center"/>
    </xf>
    <xf numFmtId="0" fontId="4" fillId="3" borderId="8" xfId="2" applyBorder="1" applyAlignment="1">
      <alignment vertical="center" wrapText="1"/>
    </xf>
    <xf numFmtId="0" fontId="4" fillId="3" borderId="0" xfId="2" applyAlignment="1">
      <alignment vertical="center"/>
    </xf>
    <xf numFmtId="0" fontId="4" fillId="3" borderId="10" xfId="2" applyBorder="1" applyAlignment="1">
      <alignment horizontal="center" vertical="center"/>
    </xf>
    <xf numFmtId="11" fontId="0" fillId="6" borderId="8" xfId="3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4" fillId="9" borderId="0" xfId="2" applyFill="1"/>
    <xf numFmtId="0" fontId="3" fillId="9" borderId="0" xfId="0" applyFont="1" applyFill="1"/>
    <xf numFmtId="0" fontId="0" fillId="10" borderId="0" xfId="0" applyFill="1"/>
    <xf numFmtId="0" fontId="6" fillId="10" borderId="0" xfId="0" applyFont="1" applyFill="1"/>
    <xf numFmtId="0" fontId="4" fillId="10" borderId="0" xfId="4" applyFill="1"/>
    <xf numFmtId="0" fontId="0" fillId="0" borderId="6" xfId="0" applyBorder="1"/>
    <xf numFmtId="0" fontId="3" fillId="0" borderId="8" xfId="0" applyFont="1" applyBorder="1" applyAlignment="1">
      <alignment wrapText="1"/>
    </xf>
    <xf numFmtId="0" fontId="13" fillId="0" borderId="0" xfId="0" applyFont="1"/>
    <xf numFmtId="165" fontId="0" fillId="0" borderId="0" xfId="0" applyNumberFormat="1"/>
  </cellXfs>
  <cellStyles count="7">
    <cellStyle name="20% - Accent2" xfId="2" builtinId="34"/>
    <cellStyle name="20% - Accent5" xfId="3" builtinId="46"/>
    <cellStyle name="40% - Accent3" xfId="4" builtinId="39"/>
    <cellStyle name="Bad" xfId="6" builtinId="27"/>
    <cellStyle name="Hyperlink" xfId="5" builtinId="8"/>
    <cellStyle name="Input" xfId="1" builtinId="20"/>
    <cellStyle name="Normal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C8DE8-CCBF-4E03-A61F-BC93C02A8D7D}">
  <dimension ref="A1:I57"/>
  <sheetViews>
    <sheetView tabSelected="1" workbookViewId="0"/>
  </sheetViews>
  <sheetFormatPr defaultRowHeight="14.4" x14ac:dyDescent="0.3"/>
  <cols>
    <col min="1" max="1" width="7.5546875" bestFit="1" customWidth="1"/>
    <col min="2" max="2" width="28" bestFit="1" customWidth="1"/>
    <col min="3" max="3" width="12.109375" bestFit="1" customWidth="1"/>
    <col min="4" max="4" width="56.88671875" customWidth="1"/>
    <col min="5" max="5" width="17.109375" bestFit="1" customWidth="1"/>
    <col min="6" max="6" width="21.6640625" customWidth="1"/>
    <col min="7" max="7" width="22.109375" customWidth="1"/>
    <col min="8" max="9" width="18" bestFit="1" customWidth="1"/>
  </cols>
  <sheetData>
    <row r="1" spans="1:5" x14ac:dyDescent="0.3">
      <c r="A1" s="2" t="s">
        <v>359</v>
      </c>
    </row>
    <row r="2" spans="1:5" ht="15" thickBot="1" x14ac:dyDescent="0.35"/>
    <row r="3" spans="1:5" ht="15" thickBot="1" x14ac:dyDescent="0.35">
      <c r="A3" s="22" t="s">
        <v>341</v>
      </c>
      <c r="B3" s="23"/>
      <c r="C3" s="23"/>
      <c r="D3" s="23" t="s">
        <v>167</v>
      </c>
      <c r="E3" s="23"/>
    </row>
    <row r="4" spans="1:5" x14ac:dyDescent="0.3">
      <c r="A4" s="82" t="s">
        <v>342</v>
      </c>
      <c r="B4" s="82"/>
      <c r="C4" s="82"/>
      <c r="D4" s="82" t="s">
        <v>404</v>
      </c>
      <c r="E4" s="82"/>
    </row>
    <row r="5" spans="1:5" x14ac:dyDescent="0.3">
      <c r="A5" s="41" t="s">
        <v>0</v>
      </c>
      <c r="B5" s="41"/>
      <c r="C5" s="41"/>
      <c r="D5" s="41" t="s">
        <v>343</v>
      </c>
      <c r="E5" s="41"/>
    </row>
    <row r="6" spans="1:5" ht="15" thickBot="1" x14ac:dyDescent="0.35"/>
    <row r="7" spans="1:5" ht="29.4" thickBot="1" x14ac:dyDescent="0.35">
      <c r="A7" s="22" t="s">
        <v>165</v>
      </c>
      <c r="B7" s="23" t="s">
        <v>166</v>
      </c>
      <c r="C7" s="23" t="s">
        <v>148</v>
      </c>
      <c r="D7" s="23" t="s">
        <v>167</v>
      </c>
      <c r="E7" s="23" t="s">
        <v>168</v>
      </c>
    </row>
    <row r="8" spans="1:5" ht="43.2" x14ac:dyDescent="0.3">
      <c r="A8" s="24" t="s">
        <v>169</v>
      </c>
      <c r="B8" s="25" t="s">
        <v>136</v>
      </c>
      <c r="C8" s="25"/>
      <c r="D8" s="68" t="s">
        <v>345</v>
      </c>
      <c r="E8" s="25"/>
    </row>
    <row r="9" spans="1:5" x14ac:dyDescent="0.3">
      <c r="A9" s="26" t="s">
        <v>169</v>
      </c>
      <c r="B9" s="27" t="s">
        <v>164</v>
      </c>
      <c r="C9" s="27"/>
      <c r="D9" s="28" t="s">
        <v>349</v>
      </c>
      <c r="E9" s="27"/>
    </row>
    <row r="10" spans="1:5" ht="43.2" x14ac:dyDescent="0.3">
      <c r="A10" s="26" t="s">
        <v>170</v>
      </c>
      <c r="B10" s="27" t="s">
        <v>233</v>
      </c>
      <c r="C10" s="27"/>
      <c r="D10" s="28" t="s">
        <v>347</v>
      </c>
      <c r="E10" s="27"/>
    </row>
    <row r="11" spans="1:5" ht="57.6" x14ac:dyDescent="0.3">
      <c r="A11" s="26" t="s">
        <v>171</v>
      </c>
      <c r="B11" s="27" t="s">
        <v>0</v>
      </c>
      <c r="C11" s="27"/>
      <c r="D11" s="28" t="s">
        <v>264</v>
      </c>
      <c r="E11" s="27"/>
    </row>
    <row r="12" spans="1:5" x14ac:dyDescent="0.3">
      <c r="A12" s="26" t="s">
        <v>173</v>
      </c>
      <c r="B12" s="38" t="s">
        <v>1</v>
      </c>
      <c r="C12" s="27"/>
      <c r="D12" s="69" t="s">
        <v>332</v>
      </c>
      <c r="E12" s="28"/>
    </row>
    <row r="13" spans="1:5" x14ac:dyDescent="0.3">
      <c r="A13" s="26" t="s">
        <v>175</v>
      </c>
      <c r="B13" s="27" t="s">
        <v>172</v>
      </c>
      <c r="C13" s="27"/>
      <c r="D13" s="64" t="s">
        <v>234</v>
      </c>
      <c r="E13" s="27"/>
    </row>
    <row r="14" spans="1:5" x14ac:dyDescent="0.3">
      <c r="A14" s="39" t="s">
        <v>176</v>
      </c>
      <c r="B14" s="40" t="s">
        <v>235</v>
      </c>
      <c r="C14" s="27"/>
      <c r="D14" s="54" t="s">
        <v>348</v>
      </c>
      <c r="E14" s="28"/>
    </row>
    <row r="15" spans="1:5" x14ac:dyDescent="0.3">
      <c r="A15" s="39" t="s">
        <v>177</v>
      </c>
      <c r="B15" s="40" t="s">
        <v>236</v>
      </c>
      <c r="C15" s="27"/>
      <c r="D15" s="54" t="s">
        <v>371</v>
      </c>
      <c r="E15" s="28"/>
    </row>
    <row r="16" spans="1:5" ht="57.6" x14ac:dyDescent="0.3">
      <c r="A16" s="39" t="s">
        <v>181</v>
      </c>
      <c r="B16" s="27" t="s">
        <v>174</v>
      </c>
      <c r="C16" s="27"/>
      <c r="D16" s="83" t="s">
        <v>346</v>
      </c>
      <c r="E16" s="41"/>
    </row>
    <row r="17" spans="1:9" x14ac:dyDescent="0.3">
      <c r="A17" s="26" t="s">
        <v>184</v>
      </c>
      <c r="B17" s="27" t="s">
        <v>142</v>
      </c>
      <c r="C17" s="27"/>
      <c r="D17" s="28"/>
      <c r="E17" s="27"/>
    </row>
    <row r="18" spans="1:9" x14ac:dyDescent="0.3">
      <c r="A18" s="26" t="s">
        <v>187</v>
      </c>
      <c r="B18" s="27" t="s">
        <v>178</v>
      </c>
      <c r="C18" s="27" t="s">
        <v>179</v>
      </c>
      <c r="D18" s="28" t="s">
        <v>180</v>
      </c>
      <c r="E18" s="27"/>
    </row>
    <row r="19" spans="1:9" x14ac:dyDescent="0.3">
      <c r="A19" s="26" t="s">
        <v>189</v>
      </c>
      <c r="B19" s="27" t="s">
        <v>178</v>
      </c>
      <c r="C19" s="27" t="s">
        <v>182</v>
      </c>
      <c r="D19" s="28" t="s">
        <v>183</v>
      </c>
      <c r="E19" s="27"/>
    </row>
    <row r="20" spans="1:9" ht="28.8" x14ac:dyDescent="0.3">
      <c r="A20" s="29" t="s">
        <v>191</v>
      </c>
      <c r="B20" s="30" t="s">
        <v>144</v>
      </c>
      <c r="C20" s="30"/>
      <c r="D20" s="31" t="s">
        <v>185</v>
      </c>
      <c r="E20" s="30" t="s">
        <v>186</v>
      </c>
    </row>
    <row r="21" spans="1:9" ht="43.2" x14ac:dyDescent="0.3">
      <c r="A21" s="74" t="s">
        <v>194</v>
      </c>
      <c r="B21" s="71" t="s">
        <v>145</v>
      </c>
      <c r="C21" s="71" t="s">
        <v>188</v>
      </c>
      <c r="D21" s="72" t="s">
        <v>337</v>
      </c>
      <c r="E21" s="73"/>
    </row>
    <row r="22" spans="1:9" ht="28.8" x14ac:dyDescent="0.3">
      <c r="A22" s="65" t="s">
        <v>196</v>
      </c>
      <c r="B22" s="66" t="s">
        <v>190</v>
      </c>
      <c r="C22" s="66"/>
      <c r="D22" s="67" t="s">
        <v>237</v>
      </c>
      <c r="E22" s="66"/>
    </row>
    <row r="23" spans="1:9" ht="28.8" x14ac:dyDescent="0.3">
      <c r="A23" s="65" t="s">
        <v>201</v>
      </c>
      <c r="B23" s="66" t="s">
        <v>192</v>
      </c>
      <c r="C23" s="66" t="s">
        <v>193</v>
      </c>
      <c r="D23" s="70" t="s">
        <v>338</v>
      </c>
      <c r="E23" s="66"/>
    </row>
    <row r="24" spans="1:9" ht="28.8" x14ac:dyDescent="0.3">
      <c r="A24" s="65" t="s">
        <v>207</v>
      </c>
      <c r="B24" s="66" t="s">
        <v>195</v>
      </c>
      <c r="C24" s="66" t="s">
        <v>276</v>
      </c>
      <c r="D24" s="67" t="s">
        <v>339</v>
      </c>
      <c r="E24" s="66"/>
      <c r="F24" t="s">
        <v>160</v>
      </c>
      <c r="G24" t="s">
        <v>160</v>
      </c>
      <c r="H24" t="s">
        <v>239</v>
      </c>
      <c r="I24" t="s">
        <v>239</v>
      </c>
    </row>
    <row r="25" spans="1:9" ht="15.6" x14ac:dyDescent="0.35">
      <c r="A25" s="65" t="s">
        <v>212</v>
      </c>
      <c r="B25" s="66" t="s">
        <v>197</v>
      </c>
      <c r="C25" s="66"/>
      <c r="D25" s="66" t="s">
        <v>198</v>
      </c>
      <c r="E25" s="66"/>
      <c r="F25" s="3" t="s">
        <v>199</v>
      </c>
      <c r="G25" s="3" t="s">
        <v>200</v>
      </c>
      <c r="H25" s="3" t="s">
        <v>199</v>
      </c>
      <c r="I25" s="3" t="s">
        <v>200</v>
      </c>
    </row>
    <row r="26" spans="1:9" ht="16.8" x14ac:dyDescent="0.3">
      <c r="A26" s="75" t="s">
        <v>214</v>
      </c>
      <c r="B26" s="32" t="s">
        <v>202</v>
      </c>
      <c r="C26" s="33" t="s">
        <v>203</v>
      </c>
      <c r="D26" s="32" t="s">
        <v>240</v>
      </c>
      <c r="E26" s="33" t="s">
        <v>204</v>
      </c>
      <c r="F26" s="34" t="s">
        <v>205</v>
      </c>
      <c r="G26" s="34" t="s">
        <v>206</v>
      </c>
      <c r="H26" s="34" t="s">
        <v>226</v>
      </c>
      <c r="I26" s="34" t="s">
        <v>227</v>
      </c>
    </row>
    <row r="27" spans="1:9" ht="33" x14ac:dyDescent="0.3">
      <c r="A27" s="75" t="s">
        <v>215</v>
      </c>
      <c r="B27" s="32" t="s">
        <v>208</v>
      </c>
      <c r="C27" s="33" t="s">
        <v>209</v>
      </c>
      <c r="D27" s="32" t="s">
        <v>241</v>
      </c>
      <c r="E27" s="33" t="s">
        <v>204</v>
      </c>
      <c r="F27" s="34" t="s">
        <v>210</v>
      </c>
      <c r="G27" s="35" t="s">
        <v>211</v>
      </c>
      <c r="H27" s="34" t="s">
        <v>228</v>
      </c>
      <c r="I27" s="35" t="s">
        <v>211</v>
      </c>
    </row>
    <row r="28" spans="1:9" ht="28.8" x14ac:dyDescent="0.3">
      <c r="A28" s="29" t="s">
        <v>218</v>
      </c>
      <c r="B28" s="30" t="s">
        <v>192</v>
      </c>
      <c r="C28" s="30" t="s">
        <v>193</v>
      </c>
      <c r="D28" s="36" t="s">
        <v>242</v>
      </c>
      <c r="E28" s="30" t="s">
        <v>213</v>
      </c>
    </row>
    <row r="29" spans="1:9" ht="28.8" x14ac:dyDescent="0.3">
      <c r="A29" s="29" t="s">
        <v>220</v>
      </c>
      <c r="B29" s="30" t="s">
        <v>202</v>
      </c>
      <c r="C29" s="30" t="s">
        <v>203</v>
      </c>
      <c r="D29" s="36" t="s">
        <v>243</v>
      </c>
      <c r="E29" s="30" t="s">
        <v>244</v>
      </c>
    </row>
    <row r="30" spans="1:9" ht="28.8" x14ac:dyDescent="0.3">
      <c r="A30" s="29" t="s">
        <v>222</v>
      </c>
      <c r="B30" s="30" t="s">
        <v>208</v>
      </c>
      <c r="C30" s="30" t="s">
        <v>209</v>
      </c>
      <c r="D30" s="36" t="s">
        <v>216</v>
      </c>
      <c r="E30" s="30" t="s">
        <v>217</v>
      </c>
    </row>
    <row r="31" spans="1:9" s="43" customFormat="1" x14ac:dyDescent="0.3">
      <c r="A31" s="53" t="s">
        <v>224</v>
      </c>
      <c r="B31" s="40" t="s">
        <v>245</v>
      </c>
      <c r="C31" s="40"/>
      <c r="D31" s="54"/>
      <c r="E31" s="40"/>
    </row>
    <row r="32" spans="1:9" s="43" customFormat="1" x14ac:dyDescent="0.3">
      <c r="A32" s="53" t="s">
        <v>225</v>
      </c>
      <c r="B32" s="40" t="s">
        <v>246</v>
      </c>
      <c r="C32" s="40"/>
      <c r="D32" s="54"/>
      <c r="E32" s="40"/>
    </row>
    <row r="33" spans="1:5" s="43" customFormat="1" ht="28.8" x14ac:dyDescent="0.3">
      <c r="A33" s="53" t="s">
        <v>272</v>
      </c>
      <c r="B33" s="40" t="s">
        <v>278</v>
      </c>
      <c r="C33" s="40"/>
      <c r="D33" s="54" t="s">
        <v>275</v>
      </c>
      <c r="E33" s="40"/>
    </row>
    <row r="34" spans="1:5" s="43" customFormat="1" x14ac:dyDescent="0.3">
      <c r="A34" s="53" t="s">
        <v>273</v>
      </c>
      <c r="B34" s="40" t="s">
        <v>277</v>
      </c>
      <c r="C34" s="40"/>
      <c r="D34" s="54" t="s">
        <v>279</v>
      </c>
      <c r="E34" s="40"/>
    </row>
    <row r="35" spans="1:5" ht="28.8" x14ac:dyDescent="0.3">
      <c r="A35" s="75" t="s">
        <v>274</v>
      </c>
      <c r="B35" s="32" t="s">
        <v>219</v>
      </c>
      <c r="C35" s="33" t="s">
        <v>193</v>
      </c>
      <c r="D35" s="32" t="s">
        <v>294</v>
      </c>
      <c r="E35" s="33"/>
    </row>
    <row r="36" spans="1:5" ht="28.8" x14ac:dyDescent="0.3">
      <c r="A36" s="75" t="s">
        <v>280</v>
      </c>
      <c r="B36" s="32" t="s">
        <v>221</v>
      </c>
      <c r="C36" s="33" t="s">
        <v>193</v>
      </c>
      <c r="D36" s="32" t="s">
        <v>295</v>
      </c>
      <c r="E36" s="33"/>
    </row>
    <row r="37" spans="1:5" ht="28.8" x14ac:dyDescent="0.3">
      <c r="A37" s="75" t="s">
        <v>281</v>
      </c>
      <c r="B37" s="32" t="s">
        <v>223</v>
      </c>
      <c r="C37" s="33" t="s">
        <v>193</v>
      </c>
      <c r="D37" s="32" t="s">
        <v>296</v>
      </c>
      <c r="E37" s="33"/>
    </row>
    <row r="38" spans="1:5" x14ac:dyDescent="0.3">
      <c r="A38" s="26" t="s">
        <v>282</v>
      </c>
      <c r="B38" s="41" t="s">
        <v>297</v>
      </c>
      <c r="C38" s="41"/>
      <c r="D38" s="41" t="s">
        <v>344</v>
      </c>
      <c r="E38" s="41"/>
    </row>
    <row r="39" spans="1:5" x14ac:dyDescent="0.3">
      <c r="A39" s="50" t="s">
        <v>283</v>
      </c>
      <c r="B39" s="41" t="s">
        <v>291</v>
      </c>
      <c r="C39" s="41"/>
      <c r="D39" s="41" t="s">
        <v>334</v>
      </c>
      <c r="E39" s="41"/>
    </row>
    <row r="40" spans="1:5" x14ac:dyDescent="0.3">
      <c r="A40" s="50" t="s">
        <v>333</v>
      </c>
      <c r="B40" s="41" t="s">
        <v>292</v>
      </c>
      <c r="C40" s="41"/>
      <c r="D40" s="41" t="s">
        <v>335</v>
      </c>
      <c r="E40" s="41"/>
    </row>
    <row r="41" spans="1:5" x14ac:dyDescent="0.3">
      <c r="A41" s="50" t="s">
        <v>360</v>
      </c>
      <c r="B41" s="41"/>
      <c r="C41" s="41"/>
      <c r="D41" s="41" t="s">
        <v>336</v>
      </c>
      <c r="E41" s="41"/>
    </row>
    <row r="42" spans="1:5" x14ac:dyDescent="0.3">
      <c r="A42" s="37"/>
    </row>
    <row r="43" spans="1:5" x14ac:dyDescent="0.3">
      <c r="A43" s="37"/>
    </row>
    <row r="44" spans="1:5" x14ac:dyDescent="0.3">
      <c r="A44" s="37"/>
    </row>
    <row r="45" spans="1:5" x14ac:dyDescent="0.3">
      <c r="A45" s="37"/>
    </row>
    <row r="46" spans="1:5" x14ac:dyDescent="0.3">
      <c r="A46" s="37"/>
    </row>
    <row r="47" spans="1:5" x14ac:dyDescent="0.3">
      <c r="A47" s="37"/>
    </row>
    <row r="48" spans="1:5" x14ac:dyDescent="0.3">
      <c r="A48" s="37"/>
    </row>
    <row r="49" spans="1:1" x14ac:dyDescent="0.3">
      <c r="A49" s="37"/>
    </row>
    <row r="50" spans="1:1" x14ac:dyDescent="0.3">
      <c r="A50" s="37"/>
    </row>
    <row r="51" spans="1:1" x14ac:dyDescent="0.3">
      <c r="A51" s="37"/>
    </row>
    <row r="52" spans="1:1" x14ac:dyDescent="0.3">
      <c r="A52" s="37"/>
    </row>
    <row r="53" spans="1:1" x14ac:dyDescent="0.3">
      <c r="A53" s="37"/>
    </row>
    <row r="54" spans="1:1" x14ac:dyDescent="0.3">
      <c r="A54" s="37"/>
    </row>
    <row r="55" spans="1:1" x14ac:dyDescent="0.3">
      <c r="A55" s="37"/>
    </row>
    <row r="56" spans="1:1" x14ac:dyDescent="0.3">
      <c r="A56" s="37"/>
    </row>
    <row r="57" spans="1:1" x14ac:dyDescent="0.3">
      <c r="A57" s="37"/>
    </row>
  </sheetData>
  <phoneticPr fontId="7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D53F8-16C8-414A-B922-C7A9ADBD6C92}">
  <dimension ref="A1:BA162"/>
  <sheetViews>
    <sheetView zoomScale="90" zoomScaleNormal="90" workbookViewId="0"/>
  </sheetViews>
  <sheetFormatPr defaultRowHeight="14.4" x14ac:dyDescent="0.3"/>
  <cols>
    <col min="3" max="3" width="11.109375" customWidth="1"/>
    <col min="4" max="4" width="28.44140625" customWidth="1"/>
    <col min="5" max="5" width="12.5546875" bestFit="1" customWidth="1"/>
    <col min="6" max="6" width="16.33203125" bestFit="1" customWidth="1"/>
    <col min="7" max="7" width="71.109375" customWidth="1"/>
    <col min="8" max="9" width="11" customWidth="1"/>
    <col min="10" max="10" width="9.6640625" customWidth="1"/>
    <col min="11" max="11" width="7.109375" customWidth="1"/>
    <col min="12" max="13" width="9.109375" bestFit="1" customWidth="1"/>
    <col min="14" max="14" width="12" style="79" bestFit="1" customWidth="1"/>
    <col min="15" max="15" width="12.109375" style="77" bestFit="1" customWidth="1"/>
    <col min="16" max="16" width="14.44140625" style="6" customWidth="1"/>
    <col min="17" max="17" width="12" style="6" bestFit="1" customWidth="1"/>
    <col min="18" max="18" width="12.109375" style="6" bestFit="1" customWidth="1"/>
    <col min="19" max="19" width="11.109375" style="6" bestFit="1" customWidth="1"/>
    <col min="20" max="21" width="14.109375" customWidth="1"/>
    <col min="22" max="22" width="17" bestFit="1" customWidth="1"/>
    <col min="23" max="23" width="10.6640625" bestFit="1" customWidth="1"/>
    <col min="24" max="24" width="12.6640625" customWidth="1"/>
    <col min="25" max="25" width="13.44140625" bestFit="1" customWidth="1"/>
    <col min="26" max="26" width="11.6640625" bestFit="1" customWidth="1"/>
    <col min="28" max="28" width="7.44140625" customWidth="1"/>
    <col min="30" max="32" width="8.88671875" style="60"/>
    <col min="33" max="33" width="23" customWidth="1"/>
    <col min="37" max="49" width="8.88671875" style="47"/>
  </cols>
  <sheetData>
    <row r="1" spans="1:53" x14ac:dyDescent="0.3">
      <c r="P1" s="6" t="s">
        <v>340</v>
      </c>
      <c r="T1" s="19" t="s">
        <v>137</v>
      </c>
      <c r="U1" s="19"/>
      <c r="V1" s="19"/>
      <c r="W1" s="5" t="s">
        <v>138</v>
      </c>
      <c r="X1" s="7"/>
      <c r="Y1" s="7"/>
      <c r="Z1" t="s">
        <v>270</v>
      </c>
      <c r="AB1" t="s">
        <v>137</v>
      </c>
    </row>
    <row r="2" spans="1:53" x14ac:dyDescent="0.3">
      <c r="B2" s="2"/>
      <c r="L2" s="8" t="s">
        <v>139</v>
      </c>
      <c r="M2" s="8"/>
      <c r="T2" s="45" t="s">
        <v>266</v>
      </c>
      <c r="U2" s="45" t="s">
        <v>266</v>
      </c>
      <c r="V2" s="45" t="s">
        <v>140</v>
      </c>
      <c r="W2" s="46" t="s">
        <v>192</v>
      </c>
      <c r="X2" s="9" t="s">
        <v>266</v>
      </c>
      <c r="Y2" s="9" t="s">
        <v>140</v>
      </c>
      <c r="AB2" t="s">
        <v>269</v>
      </c>
      <c r="AD2" s="60" t="s">
        <v>268</v>
      </c>
      <c r="AH2" t="s">
        <v>291</v>
      </c>
      <c r="AI2" t="s">
        <v>292</v>
      </c>
      <c r="AK2" s="47" t="s">
        <v>287</v>
      </c>
      <c r="AN2" s="56" t="s">
        <v>288</v>
      </c>
      <c r="AQ2" s="47" t="s">
        <v>289</v>
      </c>
    </row>
    <row r="3" spans="1:53" x14ac:dyDescent="0.3">
      <c r="B3" t="s">
        <v>233</v>
      </c>
      <c r="C3" t="s">
        <v>0</v>
      </c>
      <c r="D3" t="s">
        <v>1</v>
      </c>
      <c r="E3" t="s">
        <v>405</v>
      </c>
      <c r="F3" t="s">
        <v>383</v>
      </c>
      <c r="G3" t="s">
        <v>141</v>
      </c>
      <c r="H3" t="s">
        <v>231</v>
      </c>
      <c r="I3" t="s">
        <v>232</v>
      </c>
      <c r="J3" s="2" t="s">
        <v>174</v>
      </c>
      <c r="K3" t="s">
        <v>142</v>
      </c>
      <c r="L3" s="8" t="s">
        <v>143</v>
      </c>
      <c r="M3" s="8" t="s">
        <v>143</v>
      </c>
      <c r="N3" s="80" t="s">
        <v>144</v>
      </c>
      <c r="O3" s="77" t="s">
        <v>145</v>
      </c>
      <c r="P3" s="6" t="s">
        <v>146</v>
      </c>
      <c r="Q3" s="6" t="s">
        <v>192</v>
      </c>
      <c r="R3" s="6" t="s">
        <v>147</v>
      </c>
      <c r="S3" s="6" t="s">
        <v>148</v>
      </c>
      <c r="T3" s="45" t="s">
        <v>373</v>
      </c>
      <c r="U3" s="45" t="s">
        <v>372</v>
      </c>
      <c r="V3" s="45" t="s">
        <v>267</v>
      </c>
      <c r="W3" s="46" t="s">
        <v>374</v>
      </c>
      <c r="X3" s="46" t="s">
        <v>374</v>
      </c>
      <c r="Y3" s="9" t="s">
        <v>267</v>
      </c>
      <c r="Z3" t="s">
        <v>245</v>
      </c>
      <c r="AA3" t="s">
        <v>246</v>
      </c>
      <c r="AB3" s="76" t="s">
        <v>192</v>
      </c>
      <c r="AC3" s="76" t="s">
        <v>277</v>
      </c>
      <c r="AD3" s="60" t="s">
        <v>219</v>
      </c>
      <c r="AE3" s="60" t="s">
        <v>221</v>
      </c>
      <c r="AF3" s="60" t="s">
        <v>223</v>
      </c>
      <c r="AG3" t="s">
        <v>297</v>
      </c>
      <c r="AH3" s="55" t="s">
        <v>219</v>
      </c>
      <c r="AI3" s="55" t="s">
        <v>219</v>
      </c>
      <c r="AK3" s="47" t="s">
        <v>293</v>
      </c>
      <c r="AL3" s="47" t="s">
        <v>192</v>
      </c>
      <c r="AN3" s="47" t="s">
        <v>293</v>
      </c>
      <c r="AO3" s="47" t="s">
        <v>192</v>
      </c>
      <c r="AP3" s="56"/>
      <c r="AQ3" s="47" t="s">
        <v>293</v>
      </c>
      <c r="AR3" s="47" t="s">
        <v>192</v>
      </c>
      <c r="AT3" s="56" t="s">
        <v>155</v>
      </c>
      <c r="AU3" s="47" t="s">
        <v>192</v>
      </c>
      <c r="AV3" s="56"/>
      <c r="AW3" s="47" t="s">
        <v>290</v>
      </c>
      <c r="AX3" s="47" t="s">
        <v>192</v>
      </c>
    </row>
    <row r="4" spans="1:53" x14ac:dyDescent="0.3">
      <c r="B4" s="2" t="s">
        <v>353</v>
      </c>
      <c r="L4" s="44" t="s">
        <v>179</v>
      </c>
      <c r="M4" s="44" t="s">
        <v>182</v>
      </c>
      <c r="N4" s="81"/>
      <c r="O4" s="77" t="s">
        <v>188</v>
      </c>
      <c r="Q4" s="6" t="s">
        <v>238</v>
      </c>
      <c r="T4" s="19" t="s">
        <v>265</v>
      </c>
      <c r="U4" s="19"/>
      <c r="V4" s="19" t="s">
        <v>209</v>
      </c>
      <c r="W4" s="51" t="s">
        <v>238</v>
      </c>
      <c r="X4" s="52" t="s">
        <v>265</v>
      </c>
      <c r="Y4" s="52" t="s">
        <v>209</v>
      </c>
      <c r="AD4" s="60" t="s">
        <v>193</v>
      </c>
      <c r="AE4" s="60" t="s">
        <v>193</v>
      </c>
      <c r="AF4" s="60" t="s">
        <v>193</v>
      </c>
      <c r="AL4" t="s">
        <v>193</v>
      </c>
      <c r="AO4" t="s">
        <v>193</v>
      </c>
      <c r="AR4" t="s">
        <v>193</v>
      </c>
      <c r="AU4" t="s">
        <v>193</v>
      </c>
      <c r="AX4" t="s">
        <v>193</v>
      </c>
    </row>
    <row r="5" spans="1:53" x14ac:dyDescent="0.3">
      <c r="C5" t="s">
        <v>247</v>
      </c>
      <c r="D5" t="s">
        <v>153</v>
      </c>
      <c r="F5" t="s">
        <v>403</v>
      </c>
      <c r="G5" t="s">
        <v>8</v>
      </c>
      <c r="H5" t="s">
        <v>9</v>
      </c>
      <c r="I5" t="s">
        <v>10</v>
      </c>
      <c r="L5">
        <v>25</v>
      </c>
      <c r="M5" s="1">
        <f>273.15+L5</f>
        <v>298.14999999999998</v>
      </c>
      <c r="N5" s="81">
        <f>-LOG10(EXP(LN(10^-14)+13.36*(1/298.15-1/M5)/0.0019872))</f>
        <v>14</v>
      </c>
      <c r="R5" s="6">
        <f>((109+115+184+191)/4)/60</f>
        <v>2.4958333333333331</v>
      </c>
      <c r="S5" s="18" t="s">
        <v>151</v>
      </c>
      <c r="T5" s="19"/>
      <c r="U5" s="19">
        <f>R5*10^(9-$N5)</f>
        <v>2.4958333333333335E-5</v>
      </c>
      <c r="V5" s="19">
        <f>R5</f>
        <v>2.4958333333333331</v>
      </c>
      <c r="W5" s="12">
        <f t="shared" ref="W5:W37" si="0">(LN(2)/X5)/(60*60*24)</f>
        <v>0.32143720115003954</v>
      </c>
      <c r="X5" s="12">
        <f>Y5*10^(9-14)</f>
        <v>2.4958333333333335E-5</v>
      </c>
      <c r="Y5" s="12">
        <f>EXP(LN(V5)+$O5*(1/$M5-1/298.15)/0.0019872)</f>
        <v>2.4958333333333331</v>
      </c>
      <c r="Z5" s="47">
        <f>LOG(Y5)</f>
        <v>0.39721558067770529</v>
      </c>
      <c r="AA5">
        <f t="shared" ref="AA5:AA36" si="1">LOG(X5)</f>
        <v>-4.6027844193222949</v>
      </c>
      <c r="AB5" s="4">
        <f>W5*24</f>
        <v>7.7144928276009495</v>
      </c>
      <c r="AC5" s="42" t="s">
        <v>326</v>
      </c>
      <c r="AG5" t="str">
        <f>_xlfn.XLOOKUP(C5,Ref!$A$2:$A$35,Ref!$B$2:$B$35)</f>
        <v>https://pubs.acs.org/doi/pdf/10.1021/ja01059a019</v>
      </c>
      <c r="AK5" s="47" t="s">
        <v>219</v>
      </c>
      <c r="AL5" s="58">
        <f>AVERAGE(W28:W34)</f>
        <v>331.47626072343229</v>
      </c>
      <c r="AM5" s="58"/>
      <c r="AN5" s="47" t="s">
        <v>219</v>
      </c>
      <c r="AO5" s="11">
        <f>AVERAGE(W56:W62)</f>
        <v>37.745622073343306</v>
      </c>
      <c r="AQ5" s="47" t="s">
        <v>219</v>
      </c>
      <c r="AR5" s="58">
        <f>AVERAGE(W76:W80)</f>
        <v>342.75159260362568</v>
      </c>
      <c r="AT5" s="47" t="s">
        <v>219</v>
      </c>
      <c r="AU5" s="11">
        <f>AVERAGE(W86:W111)</f>
        <v>9068.2974426270503</v>
      </c>
      <c r="AW5" s="47" t="s">
        <v>219</v>
      </c>
      <c r="AX5" s="11">
        <f>AVERAGE(W112:W119)</f>
        <v>0.80876789703987129</v>
      </c>
    </row>
    <row r="6" spans="1:53" x14ac:dyDescent="0.3">
      <c r="B6" s="1" t="s">
        <v>6</v>
      </c>
      <c r="C6" t="s">
        <v>387</v>
      </c>
      <c r="D6" t="s">
        <v>153</v>
      </c>
      <c r="F6" t="s">
        <v>403</v>
      </c>
      <c r="G6" t="s">
        <v>8</v>
      </c>
      <c r="H6" t="s">
        <v>9</v>
      </c>
      <c r="I6" t="s">
        <v>10</v>
      </c>
      <c r="L6">
        <v>14.85</v>
      </c>
      <c r="M6" s="1">
        <f>273.15+L6</f>
        <v>288</v>
      </c>
      <c r="N6" s="81">
        <f>-LOG10(EXP(LN(10^-14)+13.36*(1/298.15-1/M6)/0.0019872))</f>
        <v>14.345134148556776</v>
      </c>
      <c r="O6" s="77">
        <v>14.34</v>
      </c>
      <c r="P6" s="6">
        <v>10.6</v>
      </c>
      <c r="R6" s="10">
        <v>2.4000000000000001E-4</v>
      </c>
      <c r="S6" s="6" t="s">
        <v>152</v>
      </c>
      <c r="T6" s="14">
        <f>R6</f>
        <v>2.4000000000000001E-4</v>
      </c>
      <c r="U6" s="13">
        <f>T6*10^(9-$P6)</f>
        <v>6.0285274356229966E-6</v>
      </c>
      <c r="V6" s="14">
        <f>U6*10^($N6-9)</f>
        <v>1.3345823908967944</v>
      </c>
      <c r="W6" s="12">
        <f t="shared" si="0"/>
        <v>0.25616244114179498</v>
      </c>
      <c r="X6" s="12">
        <f t="shared" ref="X6:X37" si="2">Y6*10^(9-14)</f>
        <v>3.131816192989684E-5</v>
      </c>
      <c r="Y6" s="12">
        <f t="shared" ref="Y6:Y37" si="3">EXP(LN(V6)+$O6*(1/$M6-1/298.15)/0.0019872)</f>
        <v>3.1318161929896835</v>
      </c>
      <c r="Z6" s="47">
        <f t="shared" ref="Z6:Z37" si="4">LOG(Y6)</f>
        <v>0.49579626529114723</v>
      </c>
      <c r="AA6">
        <f t="shared" si="1"/>
        <v>-4.5042037347088524</v>
      </c>
      <c r="AB6" s="4">
        <f>W6*24</f>
        <v>6.1478985874030796</v>
      </c>
      <c r="AC6" t="s">
        <v>326</v>
      </c>
      <c r="AD6" s="21">
        <f>AVERAGE(W5:W6)</f>
        <v>0.28879982114591729</v>
      </c>
      <c r="AE6" s="21">
        <f>MEDIAN(W5:W6)</f>
        <v>0.28879982114591729</v>
      </c>
      <c r="AF6" s="60">
        <f>STDEV(W5:W6)</f>
        <v>4.6156225442153739E-2</v>
      </c>
      <c r="AG6" t="str">
        <f>_xlfn.XLOOKUP(C6,Ref!$A$2:$A$35,Ref!$B$2:$B$35)</f>
        <v>10.1016/j.atmosenv.2003.10.019</v>
      </c>
      <c r="AH6">
        <f>AVERAGE(Y5:Y6)</f>
        <v>2.8138247631615085</v>
      </c>
      <c r="AI6">
        <f>LOG(AH6)</f>
        <v>0.44929704734118814</v>
      </c>
      <c r="AK6" s="47" t="s">
        <v>221</v>
      </c>
      <c r="AL6" s="58">
        <f>MEDIAN(W28:W34)</f>
        <v>10.841269680819993</v>
      </c>
      <c r="AM6" s="58"/>
      <c r="AN6" s="47" t="s">
        <v>221</v>
      </c>
      <c r="AO6" s="11">
        <f>MEDIAN(W56:W62)</f>
        <v>9.9654909090892172</v>
      </c>
      <c r="AQ6" s="57" t="s">
        <v>221</v>
      </c>
      <c r="AR6" s="58">
        <f>MEDIAN(W76:W80)</f>
        <v>10.203547934889393</v>
      </c>
      <c r="AS6" s="57"/>
      <c r="AT6" s="47" t="s">
        <v>221</v>
      </c>
      <c r="AU6" s="11">
        <f>MEDIAN(W86:W111)</f>
        <v>1982.7714414688483</v>
      </c>
      <c r="AW6" s="47" t="s">
        <v>221</v>
      </c>
      <c r="AX6" s="11">
        <f>MEDIAN(W112:W119)</f>
        <v>0.36806590390470628</v>
      </c>
      <c r="AY6" s="2"/>
      <c r="AZ6" s="2"/>
      <c r="BA6" s="2"/>
    </row>
    <row r="7" spans="1:53" x14ac:dyDescent="0.3">
      <c r="C7" t="s">
        <v>259</v>
      </c>
      <c r="D7" t="s">
        <v>11</v>
      </c>
      <c r="G7" t="s">
        <v>12</v>
      </c>
      <c r="H7" t="s">
        <v>350</v>
      </c>
      <c r="I7" t="s">
        <v>351</v>
      </c>
      <c r="L7">
        <v>25</v>
      </c>
      <c r="M7" s="1">
        <f>273.15+L7</f>
        <v>298.14999999999998</v>
      </c>
      <c r="N7" s="81">
        <f>-LOG10(EXP(LN(10^-14)+13.36*(1/298.15-1/M7)/0.0019872))</f>
        <v>14</v>
      </c>
      <c r="P7" s="6">
        <v>7.4</v>
      </c>
      <c r="R7" s="6">
        <v>4.07</v>
      </c>
      <c r="S7" s="18" t="s">
        <v>151</v>
      </c>
      <c r="T7" s="19">
        <f>R7*10^($P7-$N7)</f>
        <v>1.0223377776243982E-6</v>
      </c>
      <c r="U7" s="19">
        <f>R7*10^(9-$N7)</f>
        <v>4.0700000000000007E-5</v>
      </c>
      <c r="V7" s="19">
        <f>R7</f>
        <v>4.07</v>
      </c>
      <c r="W7" s="12">
        <f t="shared" si="0"/>
        <v>0.19711392658566099</v>
      </c>
      <c r="X7" s="12">
        <f t="shared" si="2"/>
        <v>4.0700000000000007E-5</v>
      </c>
      <c r="Y7" s="12">
        <f t="shared" si="3"/>
        <v>4.07</v>
      </c>
      <c r="Z7" s="47">
        <f t="shared" si="4"/>
        <v>0.60959440922522001</v>
      </c>
      <c r="AA7">
        <f t="shared" si="1"/>
        <v>-4.3904055907747797</v>
      </c>
      <c r="AB7" s="4">
        <f>W7*24</f>
        <v>4.7307342380558639</v>
      </c>
      <c r="AC7" t="s">
        <v>326</v>
      </c>
      <c r="AG7" t="str">
        <f>_xlfn.XLOOKUP(C7,Ref!$A$2:$A$35,Ref!$B$2:$B$35)</f>
        <v>10.1039/P29940002021</v>
      </c>
      <c r="AK7" s="47" t="s">
        <v>223</v>
      </c>
      <c r="AL7" s="58">
        <f>STDEV(W28:W34)</f>
        <v>817.83177397954546</v>
      </c>
      <c r="AM7" s="58"/>
      <c r="AN7" s="47" t="s">
        <v>223</v>
      </c>
      <c r="AO7" s="47">
        <f>STDEV(W56:W62)</f>
        <v>54.077225783758152</v>
      </c>
      <c r="AQ7" s="47" t="s">
        <v>223</v>
      </c>
      <c r="AR7" s="47">
        <f>STDEV(W76:W80)</f>
        <v>735.9632090358873</v>
      </c>
      <c r="AT7" s="47" t="s">
        <v>223</v>
      </c>
      <c r="AU7" s="47">
        <f>STDEV(W86:W111)</f>
        <v>11090.818607078174</v>
      </c>
      <c r="AW7" s="47" t="s">
        <v>223</v>
      </c>
      <c r="AX7" s="47">
        <f>STDEV(W112:W119)</f>
        <v>1.3434228671772934</v>
      </c>
    </row>
    <row r="8" spans="1:53" ht="13.5" customHeight="1" x14ac:dyDescent="0.3">
      <c r="C8" t="s">
        <v>259</v>
      </c>
      <c r="D8" t="s">
        <v>13</v>
      </c>
      <c r="G8" t="s">
        <v>14</v>
      </c>
      <c r="H8" t="s">
        <v>350</v>
      </c>
      <c r="I8" t="s">
        <v>352</v>
      </c>
      <c r="L8">
        <v>25</v>
      </c>
      <c r="M8" s="1">
        <f>273.15+L8</f>
        <v>298.14999999999998</v>
      </c>
      <c r="N8" s="81">
        <f>-LOG10(EXP(LN(10^-14)+13.36*(1/298.15-1/M8)/0.0019872))</f>
        <v>14</v>
      </c>
      <c r="P8" s="6">
        <v>7.4</v>
      </c>
      <c r="R8" s="6">
        <v>85.5</v>
      </c>
      <c r="S8" s="18" t="s">
        <v>151</v>
      </c>
      <c r="T8" s="19">
        <f>R8*10^($P8-$N8)</f>
        <v>2.1476628989406894E-5</v>
      </c>
      <c r="U8" s="19">
        <f>R8*10^(9-$N8)</f>
        <v>8.5500000000000007E-4</v>
      </c>
      <c r="V8" s="19">
        <f>R8</f>
        <v>85.5</v>
      </c>
      <c r="W8" s="12">
        <f t="shared" si="0"/>
        <v>9.383083990685848E-3</v>
      </c>
      <c r="X8" s="12">
        <f t="shared" si="2"/>
        <v>8.550000000000004E-4</v>
      </c>
      <c r="Y8" s="12">
        <f t="shared" si="3"/>
        <v>85.500000000000028</v>
      </c>
      <c r="Z8" s="47">
        <f t="shared" si="4"/>
        <v>1.9319661147281728</v>
      </c>
      <c r="AA8">
        <f t="shared" si="1"/>
        <v>-3.0680338852718272</v>
      </c>
      <c r="AB8" s="4">
        <f>W8*1440</f>
        <v>13.511640946587621</v>
      </c>
      <c r="AC8" t="s">
        <v>325</v>
      </c>
      <c r="AG8" t="str">
        <f>_xlfn.XLOOKUP(C8,Ref!$A$2:$A$35,Ref!$B$2:$B$35)</f>
        <v>10.1039/P29940002021</v>
      </c>
      <c r="AK8" s="56" t="s">
        <v>284</v>
      </c>
      <c r="AL8" s="56">
        <f>COUNT(W28:W34)</f>
        <v>7</v>
      </c>
      <c r="AM8" s="56"/>
      <c r="AN8" s="47" t="s">
        <v>284</v>
      </c>
      <c r="AO8" s="47">
        <f>COUNT(W56:W62)</f>
        <v>7</v>
      </c>
      <c r="AQ8" s="47" t="s">
        <v>284</v>
      </c>
      <c r="AR8" s="47">
        <f>COUNT(W76:W80)</f>
        <v>5</v>
      </c>
      <c r="AT8" s="47" t="s">
        <v>284</v>
      </c>
      <c r="AU8" s="47">
        <f>COUNT(W86:W111)</f>
        <v>26</v>
      </c>
      <c r="AW8" s="47" t="s">
        <v>284</v>
      </c>
      <c r="AX8" s="47">
        <f>COUNT(W112:W119)</f>
        <v>8</v>
      </c>
    </row>
    <row r="9" spans="1:53" x14ac:dyDescent="0.3">
      <c r="B9" t="s">
        <v>159</v>
      </c>
      <c r="C9" t="s">
        <v>388</v>
      </c>
      <c r="D9" t="s">
        <v>41</v>
      </c>
      <c r="G9" t="s">
        <v>42</v>
      </c>
      <c r="H9" t="s">
        <v>15</v>
      </c>
      <c r="I9" t="s">
        <v>43</v>
      </c>
      <c r="L9">
        <v>25</v>
      </c>
      <c r="M9" s="1">
        <f t="shared" ref="M9:M18" si="5">273.15+L9</f>
        <v>298.14999999999998</v>
      </c>
      <c r="N9" s="81">
        <f t="shared" ref="N9:N17" si="6">-LOG10(EXP(LN(10^-14)+13.36*(1/298.15-1/M9)/0.0019872))</f>
        <v>14</v>
      </c>
      <c r="R9" s="10">
        <v>614000</v>
      </c>
      <c r="S9" s="6" t="s">
        <v>151</v>
      </c>
      <c r="T9" s="19"/>
      <c r="U9" s="19">
        <f>R9*10^(9-$N9)</f>
        <v>6.1400000000000006</v>
      </c>
      <c r="V9" s="19">
        <f>R9</f>
        <v>614000</v>
      </c>
      <c r="W9" s="12">
        <f t="shared" si="0"/>
        <v>1.3066020866508805E-6</v>
      </c>
      <c r="X9" s="12">
        <f t="shared" si="2"/>
        <v>6.1399999999999979</v>
      </c>
      <c r="Y9" s="12">
        <f t="shared" si="3"/>
        <v>613999.99999999977</v>
      </c>
      <c r="Z9" s="47">
        <f t="shared" si="4"/>
        <v>5.7881683711411673</v>
      </c>
      <c r="AA9">
        <f t="shared" si="1"/>
        <v>0.78816837114116756</v>
      </c>
      <c r="AB9" s="4">
        <f>W9*86400</f>
        <v>0.11289042028663608</v>
      </c>
      <c r="AC9" t="s">
        <v>330</v>
      </c>
      <c r="AG9" t="str">
        <f>_xlfn.XLOOKUP(C9,Ref!$A$2:$A$35,Ref!$B$2:$B$35)</f>
        <v>10.1021/jo990550j</v>
      </c>
      <c r="AK9" s="56" t="s">
        <v>285</v>
      </c>
      <c r="AL9" s="58">
        <f>MIN(W28:W34)</f>
        <v>1.8666666666666667</v>
      </c>
      <c r="AM9" s="58"/>
      <c r="AN9" s="47" t="s">
        <v>285</v>
      </c>
      <c r="AO9" s="58">
        <f>MIN(W56:W62)</f>
        <v>1.5791666666666657</v>
      </c>
      <c r="AQ9" s="47" t="s">
        <v>285</v>
      </c>
      <c r="AR9" s="47">
        <f>MIN(W76:W80)</f>
        <v>1.5541666666666656</v>
      </c>
      <c r="AT9" s="47" t="s">
        <v>285</v>
      </c>
      <c r="AU9" s="58">
        <f>MIN(W86:W111)</f>
        <v>3.0030040330481099E-3</v>
      </c>
      <c r="AW9" s="47" t="s">
        <v>285</v>
      </c>
      <c r="AX9" s="58">
        <f>MIN(W112:W119)</f>
        <v>1.6045073624072797E-4</v>
      </c>
      <c r="AY9" s="2"/>
      <c r="AZ9" s="2"/>
      <c r="BA9" s="2"/>
    </row>
    <row r="10" spans="1:53" x14ac:dyDescent="0.3">
      <c r="B10" t="s">
        <v>159</v>
      </c>
      <c r="C10" t="s">
        <v>388</v>
      </c>
      <c r="D10" t="s">
        <v>44</v>
      </c>
      <c r="G10" t="s">
        <v>45</v>
      </c>
      <c r="H10" t="s">
        <v>46</v>
      </c>
      <c r="I10" t="s">
        <v>7</v>
      </c>
      <c r="L10">
        <v>25</v>
      </c>
      <c r="M10" s="1">
        <f t="shared" si="5"/>
        <v>298.14999999999998</v>
      </c>
      <c r="N10" s="81">
        <f t="shared" si="6"/>
        <v>14</v>
      </c>
      <c r="R10" s="10">
        <v>851000</v>
      </c>
      <c r="S10" s="18" t="s">
        <v>151</v>
      </c>
      <c r="T10" s="19"/>
      <c r="U10" s="19">
        <f>R10*10^(9-$N10)</f>
        <v>8.5100000000000016</v>
      </c>
      <c r="V10" s="19">
        <f>R10</f>
        <v>851000</v>
      </c>
      <c r="W10" s="12">
        <f t="shared" si="0"/>
        <v>9.4271877932272731E-7</v>
      </c>
      <c r="X10" s="12">
        <f t="shared" si="2"/>
        <v>8.5099999999999945</v>
      </c>
      <c r="Y10" s="12">
        <f t="shared" si="3"/>
        <v>850999.9999999993</v>
      </c>
      <c r="Z10" s="47">
        <f t="shared" si="4"/>
        <v>5.9299295600845872</v>
      </c>
      <c r="AA10">
        <f t="shared" si="1"/>
        <v>0.9299295600845876</v>
      </c>
      <c r="AB10" s="4">
        <f>W10*86400</f>
        <v>8.1450902533483638E-2</v>
      </c>
      <c r="AC10" t="s">
        <v>330</v>
      </c>
      <c r="AG10" t="str">
        <f>_xlfn.XLOOKUP(C10,Ref!$A$2:$A$35,Ref!$B$2:$B$35)</f>
        <v>10.1021/jo990550j</v>
      </c>
      <c r="AK10" s="56" t="s">
        <v>286</v>
      </c>
      <c r="AL10" s="58">
        <f>MAX(W28:W34)</f>
        <v>2184.6832149865163</v>
      </c>
      <c r="AM10" s="58"/>
      <c r="AN10" s="47" t="s">
        <v>286</v>
      </c>
      <c r="AO10" s="58">
        <f>MAX(W56:W62)</f>
        <v>143.59899304814076</v>
      </c>
      <c r="AQ10" s="57" t="s">
        <v>286</v>
      </c>
      <c r="AR10" s="57">
        <f>MAX(W76:W80)</f>
        <v>1659.0091319342562</v>
      </c>
      <c r="AS10" s="57"/>
      <c r="AT10" s="47" t="s">
        <v>286</v>
      </c>
      <c r="AU10" s="58">
        <f>MAX(W86:W111)</f>
        <v>38940.852840446372</v>
      </c>
      <c r="AW10" s="47" t="s">
        <v>286</v>
      </c>
      <c r="AX10" s="58">
        <f>MAX(W112:W119)</f>
        <v>4</v>
      </c>
      <c r="AY10" s="2"/>
      <c r="AZ10" s="2"/>
      <c r="BA10" s="2"/>
    </row>
    <row r="11" spans="1:53" x14ac:dyDescent="0.3">
      <c r="A11" t="s">
        <v>164</v>
      </c>
      <c r="B11" t="s">
        <v>159</v>
      </c>
      <c r="C11" t="s">
        <v>388</v>
      </c>
      <c r="D11" t="s">
        <v>47</v>
      </c>
      <c r="G11" t="s">
        <v>48</v>
      </c>
      <c r="H11" t="s">
        <v>15</v>
      </c>
      <c r="I11" t="s">
        <v>49</v>
      </c>
      <c r="L11">
        <v>25</v>
      </c>
      <c r="M11" s="1">
        <f t="shared" si="5"/>
        <v>298.14999999999998</v>
      </c>
      <c r="N11" s="81">
        <f t="shared" si="6"/>
        <v>14</v>
      </c>
      <c r="R11" s="10">
        <v>726000</v>
      </c>
      <c r="S11" s="18" t="s">
        <v>151</v>
      </c>
      <c r="T11" s="19"/>
      <c r="U11" s="19">
        <f>R11*10^(9-$N11)</f>
        <v>7.2600000000000007</v>
      </c>
      <c r="V11" s="19">
        <f>R11</f>
        <v>726000</v>
      </c>
      <c r="W11" s="12">
        <f t="shared" si="0"/>
        <v>1.1050326187377972E-6</v>
      </c>
      <c r="X11" s="12">
        <f t="shared" si="2"/>
        <v>7.2599999999999971</v>
      </c>
      <c r="Y11" s="12">
        <f t="shared" si="3"/>
        <v>725999.99999999965</v>
      </c>
      <c r="Z11" s="47">
        <f t="shared" si="4"/>
        <v>5.8609366207000937</v>
      </c>
      <c r="AA11">
        <f t="shared" si="1"/>
        <v>0.86093662070009358</v>
      </c>
      <c r="AB11" s="4">
        <f t="shared" ref="AB11:AB16" si="7">W11*86400</f>
        <v>9.5474818258945673E-2</v>
      </c>
      <c r="AC11" t="s">
        <v>330</v>
      </c>
      <c r="AG11" t="str">
        <f>_xlfn.XLOOKUP(C11,Ref!$A$2:$A$35,Ref!$B$2:$B$35)</f>
        <v>10.1021/jo990550j</v>
      </c>
      <c r="AQ11" s="57"/>
      <c r="AR11" s="57"/>
      <c r="AS11" s="57"/>
      <c r="AX11" s="2"/>
      <c r="AY11" s="2"/>
      <c r="AZ11" s="2"/>
      <c r="BA11" s="2"/>
    </row>
    <row r="12" spans="1:53" x14ac:dyDescent="0.3">
      <c r="B12" t="s">
        <v>159</v>
      </c>
      <c r="C12" t="s">
        <v>388</v>
      </c>
      <c r="D12" t="s">
        <v>47</v>
      </c>
      <c r="G12" t="s">
        <v>48</v>
      </c>
      <c r="H12" t="s">
        <v>15</v>
      </c>
      <c r="I12" t="s">
        <v>49</v>
      </c>
      <c r="L12">
        <v>25</v>
      </c>
      <c r="M12" s="1">
        <f t="shared" si="5"/>
        <v>298.14999999999998</v>
      </c>
      <c r="N12" s="81">
        <f t="shared" si="6"/>
        <v>14</v>
      </c>
      <c r="P12" s="6">
        <v>9.02</v>
      </c>
      <c r="R12" s="10">
        <v>13.5</v>
      </c>
      <c r="S12" s="18" t="s">
        <v>152</v>
      </c>
      <c r="T12" s="14">
        <f>R12</f>
        <v>13.5</v>
      </c>
      <c r="U12" s="13">
        <f>T12*10^(9-$P12)</f>
        <v>12.892399911289399</v>
      </c>
      <c r="V12" s="14">
        <f>U12*10^($N12-9)</f>
        <v>1289239.9911289399</v>
      </c>
      <c r="W12" s="12">
        <f t="shared" si="0"/>
        <v>6.2226869064241254E-7</v>
      </c>
      <c r="X12" s="12">
        <f t="shared" si="2"/>
        <v>12.89239991128939</v>
      </c>
      <c r="Y12" s="12">
        <f t="shared" si="3"/>
        <v>1289239.991128939</v>
      </c>
      <c r="Z12" s="47">
        <f t="shared" si="4"/>
        <v>6.1103337684950061</v>
      </c>
      <c r="AA12">
        <f t="shared" si="1"/>
        <v>1.1103337684950063</v>
      </c>
      <c r="AB12" s="4">
        <f t="shared" si="7"/>
        <v>5.3764014871504444E-2</v>
      </c>
      <c r="AC12" t="s">
        <v>330</v>
      </c>
      <c r="AG12" t="str">
        <f>_xlfn.XLOOKUP(C12,Ref!$A$2:$A$35,Ref!$B$2:$B$35)</f>
        <v>10.1021/jo990550j</v>
      </c>
      <c r="AQ12" s="57"/>
      <c r="AR12" s="57"/>
      <c r="AS12" s="57"/>
      <c r="AX12" s="2"/>
      <c r="AY12" s="2"/>
      <c r="AZ12" s="2"/>
      <c r="BA12" s="2"/>
    </row>
    <row r="13" spans="1:53" x14ac:dyDescent="0.3">
      <c r="A13" t="s">
        <v>164</v>
      </c>
      <c r="B13" t="s">
        <v>159</v>
      </c>
      <c r="C13" t="s">
        <v>388</v>
      </c>
      <c r="D13" t="s">
        <v>50</v>
      </c>
      <c r="G13" t="s">
        <v>51</v>
      </c>
      <c r="H13" t="s">
        <v>46</v>
      </c>
      <c r="I13" t="s">
        <v>52</v>
      </c>
      <c r="L13">
        <v>25</v>
      </c>
      <c r="M13" s="1">
        <f t="shared" si="5"/>
        <v>298.14999999999998</v>
      </c>
      <c r="N13" s="81">
        <f t="shared" si="6"/>
        <v>14</v>
      </c>
      <c r="R13" s="10">
        <v>11800</v>
      </c>
      <c r="S13" s="18" t="s">
        <v>151</v>
      </c>
      <c r="T13" s="19"/>
      <c r="U13" s="19">
        <f>R13*10^(9-$N13)</f>
        <v>0.11800000000000001</v>
      </c>
      <c r="V13" s="19">
        <f>R13</f>
        <v>11800</v>
      </c>
      <c r="W13" s="12">
        <f t="shared" si="0"/>
        <v>6.7987600102003434E-5</v>
      </c>
      <c r="X13" s="12">
        <f t="shared" si="2"/>
        <v>0.11799999999999999</v>
      </c>
      <c r="Y13" s="12">
        <f t="shared" si="3"/>
        <v>11799.999999999998</v>
      </c>
      <c r="Z13" s="47">
        <f t="shared" si="4"/>
        <v>4.071882007306125</v>
      </c>
      <c r="AA13">
        <f t="shared" si="1"/>
        <v>-0.92811799269387463</v>
      </c>
      <c r="AB13" s="4">
        <f t="shared" si="7"/>
        <v>5.8741286488130964</v>
      </c>
      <c r="AC13" t="s">
        <v>330</v>
      </c>
      <c r="AG13" t="str">
        <f>_xlfn.XLOOKUP(C13,Ref!$A$2:$A$35,Ref!$B$2:$B$35)</f>
        <v>10.1021/jo990550j</v>
      </c>
      <c r="AQ13" s="57"/>
      <c r="AR13" s="57"/>
      <c r="AS13" s="57"/>
      <c r="AX13" s="2"/>
      <c r="AY13" s="2"/>
      <c r="AZ13" s="2"/>
      <c r="BA13" s="2"/>
    </row>
    <row r="14" spans="1:53" x14ac:dyDescent="0.3">
      <c r="B14" t="s">
        <v>159</v>
      </c>
      <c r="C14" t="s">
        <v>388</v>
      </c>
      <c r="D14" t="s">
        <v>50</v>
      </c>
      <c r="G14" t="s">
        <v>51</v>
      </c>
      <c r="H14" t="s">
        <v>46</v>
      </c>
      <c r="I14" t="s">
        <v>52</v>
      </c>
      <c r="L14">
        <v>25</v>
      </c>
      <c r="M14" s="1">
        <f t="shared" si="5"/>
        <v>298.14999999999998</v>
      </c>
      <c r="N14" s="81">
        <f t="shared" si="6"/>
        <v>14</v>
      </c>
      <c r="P14" s="6">
        <v>9.02</v>
      </c>
      <c r="R14" s="10">
        <v>23.5</v>
      </c>
      <c r="S14" s="18" t="s">
        <v>152</v>
      </c>
      <c r="T14" s="14">
        <f>R14</f>
        <v>23.5</v>
      </c>
      <c r="U14" s="13">
        <f>T14*10^(9-$P14)</f>
        <v>22.442325771503768</v>
      </c>
      <c r="V14" s="14">
        <f>U14*10^($N14-9)</f>
        <v>2244232.577150377</v>
      </c>
      <c r="W14" s="12">
        <f t="shared" si="0"/>
        <v>3.5747350313500264E-7</v>
      </c>
      <c r="X14" s="12">
        <f t="shared" si="2"/>
        <v>22.442325771503771</v>
      </c>
      <c r="Y14" s="12">
        <f t="shared" si="3"/>
        <v>2244232.577150377</v>
      </c>
      <c r="Z14" s="47">
        <f t="shared" si="4"/>
        <v>6.3510678622717371</v>
      </c>
      <c r="AA14">
        <f t="shared" si="1"/>
        <v>1.3510678622717367</v>
      </c>
      <c r="AB14" s="4">
        <f t="shared" si="7"/>
        <v>3.0885710670864229E-2</v>
      </c>
      <c r="AC14" t="s">
        <v>330</v>
      </c>
      <c r="AG14" t="str">
        <f>_xlfn.XLOOKUP(C14,Ref!$A$2:$A$35,Ref!$B$2:$B$35)</f>
        <v>10.1021/jo990550j</v>
      </c>
      <c r="AQ14" s="57"/>
      <c r="AR14" s="57"/>
      <c r="AS14" s="57"/>
      <c r="AX14" s="2"/>
      <c r="AY14" s="2"/>
      <c r="AZ14" s="2"/>
      <c r="BA14" s="2"/>
    </row>
    <row r="15" spans="1:53" x14ac:dyDescent="0.3">
      <c r="A15" t="s">
        <v>164</v>
      </c>
      <c r="B15" t="s">
        <v>159</v>
      </c>
      <c r="C15" t="s">
        <v>388</v>
      </c>
      <c r="D15" t="s">
        <v>53</v>
      </c>
      <c r="G15" t="s">
        <v>54</v>
      </c>
      <c r="H15" t="s">
        <v>46</v>
      </c>
      <c r="I15" t="s">
        <v>55</v>
      </c>
      <c r="L15">
        <v>25</v>
      </c>
      <c r="M15" s="1">
        <f t="shared" si="5"/>
        <v>298.14999999999998</v>
      </c>
      <c r="N15" s="81">
        <f t="shared" si="6"/>
        <v>14</v>
      </c>
      <c r="R15" s="10">
        <v>14700</v>
      </c>
      <c r="S15" s="18" t="s">
        <v>151</v>
      </c>
      <c r="T15" s="19"/>
      <c r="U15" s="19">
        <f>R15*10^(9-$N15)</f>
        <v>0.14700000000000002</v>
      </c>
      <c r="V15" s="19">
        <f>R15</f>
        <v>14700</v>
      </c>
      <c r="W15" s="12">
        <f t="shared" si="0"/>
        <v>5.4575080353989133E-5</v>
      </c>
      <c r="X15" s="12">
        <f t="shared" si="2"/>
        <v>0.14700000000000002</v>
      </c>
      <c r="Y15" s="12">
        <f t="shared" si="3"/>
        <v>14700.000000000002</v>
      </c>
      <c r="Z15" s="47">
        <f t="shared" si="4"/>
        <v>4.1673173347481764</v>
      </c>
      <c r="AA15">
        <f t="shared" si="1"/>
        <v>-0.83268266525182388</v>
      </c>
      <c r="AB15" s="4">
        <f t="shared" si="7"/>
        <v>4.7152869425846609</v>
      </c>
      <c r="AC15" t="s">
        <v>330</v>
      </c>
      <c r="AG15" t="str">
        <f>_xlfn.XLOOKUP(C15,Ref!$A$2:$A$35,Ref!$B$2:$B$35)</f>
        <v>10.1021/jo990550j</v>
      </c>
      <c r="AQ15" s="57"/>
      <c r="AR15" s="57"/>
      <c r="AS15" s="57"/>
      <c r="AX15" s="2"/>
      <c r="AY15" s="2"/>
      <c r="AZ15" s="2"/>
      <c r="BA15" s="2"/>
    </row>
    <row r="16" spans="1:53" x14ac:dyDescent="0.3">
      <c r="B16" t="s">
        <v>159</v>
      </c>
      <c r="C16" t="s">
        <v>388</v>
      </c>
      <c r="D16" t="s">
        <v>53</v>
      </c>
      <c r="G16" t="s">
        <v>54</v>
      </c>
      <c r="H16" t="s">
        <v>46</v>
      </c>
      <c r="I16" t="s">
        <v>55</v>
      </c>
      <c r="L16">
        <v>25</v>
      </c>
      <c r="M16" s="1">
        <f t="shared" si="5"/>
        <v>298.14999999999998</v>
      </c>
      <c r="N16" s="81">
        <f t="shared" si="6"/>
        <v>14</v>
      </c>
      <c r="P16" s="6">
        <v>9.02</v>
      </c>
      <c r="R16" s="10">
        <v>25</v>
      </c>
      <c r="S16" s="18" t="s">
        <v>152</v>
      </c>
      <c r="T16" s="14">
        <f>R16</f>
        <v>25</v>
      </c>
      <c r="U16" s="13">
        <f t="shared" ref="U16:U22" si="8">T16*10^(9-$P16)</f>
        <v>23.874814650535921</v>
      </c>
      <c r="V16" s="14">
        <f t="shared" ref="V16:V37" si="9">U16*10^($N16-9)</f>
        <v>2387481.4650535919</v>
      </c>
      <c r="W16" s="12">
        <f t="shared" si="0"/>
        <v>3.3602509294690259E-7</v>
      </c>
      <c r="X16" s="12">
        <f t="shared" si="2"/>
        <v>23.874814650535917</v>
      </c>
      <c r="Y16" s="12">
        <f t="shared" si="3"/>
        <v>2387481.4650535914</v>
      </c>
      <c r="Z16" s="47">
        <f t="shared" si="4"/>
        <v>6.3779400086720379</v>
      </c>
      <c r="AA16">
        <f t="shared" si="1"/>
        <v>1.3779400086720379</v>
      </c>
      <c r="AB16" s="4">
        <f t="shared" si="7"/>
        <v>2.9032568030612382E-2</v>
      </c>
      <c r="AC16" t="s">
        <v>330</v>
      </c>
      <c r="AG16" t="str">
        <f>_xlfn.XLOOKUP(C16,Ref!$A$2:$A$35,Ref!$B$2:$B$35)</f>
        <v>10.1021/jo990550j</v>
      </c>
      <c r="AQ16" s="57"/>
      <c r="AR16" s="57"/>
      <c r="AS16" s="57"/>
      <c r="AX16" s="2"/>
      <c r="AY16" s="2"/>
      <c r="AZ16" s="2"/>
      <c r="BA16" s="2"/>
    </row>
    <row r="17" spans="1:45" x14ac:dyDescent="0.3">
      <c r="C17" t="s">
        <v>56</v>
      </c>
      <c r="D17" t="s">
        <v>57</v>
      </c>
      <c r="G17" t="s">
        <v>58</v>
      </c>
      <c r="H17" t="s">
        <v>59</v>
      </c>
      <c r="I17" t="s">
        <v>60</v>
      </c>
      <c r="L17">
        <v>16</v>
      </c>
      <c r="M17" s="1">
        <f t="shared" si="5"/>
        <v>289.14999999999998</v>
      </c>
      <c r="N17" s="81">
        <f t="shared" si="6"/>
        <v>14.304813143691646</v>
      </c>
      <c r="O17" s="77">
        <v>14.34</v>
      </c>
      <c r="P17" s="6">
        <v>8.6</v>
      </c>
      <c r="R17" s="10">
        <v>1.2E-2</v>
      </c>
      <c r="S17" s="6" t="s">
        <v>149</v>
      </c>
      <c r="T17" s="20">
        <f>R17/60</f>
        <v>2.0000000000000001E-4</v>
      </c>
      <c r="U17" s="13">
        <f t="shared" si="8"/>
        <v>5.0237728630191645E-4</v>
      </c>
      <c r="V17" s="14">
        <f t="shared" si="9"/>
        <v>101.354524229841</v>
      </c>
      <c r="W17" s="12">
        <f t="shared" si="0"/>
        <v>3.7264593453088428E-3</v>
      </c>
      <c r="X17" s="12">
        <f t="shared" si="2"/>
        <v>2.1528577313303572E-3</v>
      </c>
      <c r="Y17" s="12">
        <f t="shared" si="3"/>
        <v>215.28577313303569</v>
      </c>
      <c r="Z17" s="47">
        <f t="shared" si="4"/>
        <v>2.3330153310126804</v>
      </c>
      <c r="AA17">
        <f t="shared" si="1"/>
        <v>-2.6669846689873196</v>
      </c>
      <c r="AB17" s="4">
        <f>W17*1440</f>
        <v>5.3661014572447341</v>
      </c>
      <c r="AC17" t="s">
        <v>325</v>
      </c>
      <c r="AG17" t="str">
        <f>_xlfn.XLOOKUP(C17,Ref!$A$2:$A$35,Ref!$B$2:$B$35)</f>
        <v>10.1246/bcsj.53.3334</v>
      </c>
      <c r="AQ17" s="57"/>
      <c r="AR17" s="57"/>
      <c r="AS17" s="57"/>
    </row>
    <row r="18" spans="1:45" x14ac:dyDescent="0.3">
      <c r="C18" t="s">
        <v>56</v>
      </c>
      <c r="D18" t="s">
        <v>61</v>
      </c>
      <c r="G18" t="s">
        <v>62</v>
      </c>
      <c r="H18" t="s">
        <v>63</v>
      </c>
      <c r="I18" t="s">
        <v>10</v>
      </c>
      <c r="L18">
        <v>16</v>
      </c>
      <c r="M18" s="1">
        <f t="shared" si="5"/>
        <v>289.14999999999998</v>
      </c>
      <c r="N18" s="81">
        <f>-LOG10(EXP(LN(10^-14)+13.36*(1/298.15-1/M18)/0.0019872))</f>
        <v>14.304813143691646</v>
      </c>
      <c r="O18" s="77">
        <v>14.34</v>
      </c>
      <c r="P18" s="6">
        <v>11.5</v>
      </c>
      <c r="R18" s="10">
        <v>1.2999999999999999E-2</v>
      </c>
      <c r="S18" s="6" t="s">
        <v>149</v>
      </c>
      <c r="T18" s="20">
        <f>R18/60</f>
        <v>2.1666666666666666E-4</v>
      </c>
      <c r="U18" s="13">
        <f t="shared" si="8"/>
        <v>6.8516015970314822E-7</v>
      </c>
      <c r="V18" s="14">
        <f t="shared" si="9"/>
        <v>0.13823093499935879</v>
      </c>
      <c r="W18" s="12">
        <f t="shared" si="0"/>
        <v>2.7323371140285957</v>
      </c>
      <c r="X18" s="12">
        <f t="shared" si="2"/>
        <v>2.9361445814451001E-6</v>
      </c>
      <c r="Y18" s="12">
        <f t="shared" si="3"/>
        <v>0.29361445814450998</v>
      </c>
      <c r="Z18" s="47">
        <f t="shared" si="4"/>
        <v>-0.53222256272810819</v>
      </c>
      <c r="AA18">
        <f t="shared" si="1"/>
        <v>-5.5322225627281085</v>
      </c>
      <c r="AB18" s="4">
        <f t="shared" ref="AB18:AB25" si="10">W18</f>
        <v>2.7323371140285957</v>
      </c>
      <c r="AC18" t="s">
        <v>331</v>
      </c>
      <c r="AG18" t="str">
        <f>_xlfn.XLOOKUP(C18,Ref!$A$2:$A$35,Ref!$B$2:$B$35)</f>
        <v>10.1246/bcsj.53.3334</v>
      </c>
      <c r="AQ18" s="57"/>
      <c r="AR18" s="57"/>
      <c r="AS18" s="57"/>
    </row>
    <row r="19" spans="1:45" x14ac:dyDescent="0.3">
      <c r="C19" t="s">
        <v>94</v>
      </c>
      <c r="D19" t="s">
        <v>95</v>
      </c>
      <c r="G19" t="s">
        <v>96</v>
      </c>
      <c r="H19" t="s">
        <v>97</v>
      </c>
      <c r="I19" t="s">
        <v>5</v>
      </c>
      <c r="L19">
        <v>25</v>
      </c>
      <c r="M19" s="1">
        <f>273.15+L19</f>
        <v>298.14999999999998</v>
      </c>
      <c r="N19" s="81">
        <f t="shared" ref="N19:N37" si="11">-LOG10(EXP(LN(10^-14)+13.36*(1/298.15-1/M19)/0.0019872))</f>
        <v>14</v>
      </c>
      <c r="P19" s="6">
        <v>9</v>
      </c>
      <c r="R19" s="10">
        <v>3.18E-6</v>
      </c>
      <c r="S19" s="6" t="s">
        <v>152</v>
      </c>
      <c r="T19" s="14">
        <f>R19</f>
        <v>3.18E-6</v>
      </c>
      <c r="U19" s="13">
        <f t="shared" si="8"/>
        <v>3.18E-6</v>
      </c>
      <c r="V19" s="14">
        <f t="shared" si="9"/>
        <v>0.318</v>
      </c>
      <c r="W19" s="12">
        <f t="shared" si="0"/>
        <v>2.5228103182504413</v>
      </c>
      <c r="X19" s="12">
        <f t="shared" si="2"/>
        <v>3.1800000000000005E-6</v>
      </c>
      <c r="Y19" s="12">
        <f t="shared" si="3"/>
        <v>0.318</v>
      </c>
      <c r="Z19" s="47">
        <f t="shared" si="4"/>
        <v>-0.49757288001556732</v>
      </c>
      <c r="AA19">
        <f t="shared" si="1"/>
        <v>-5.497572880015567</v>
      </c>
      <c r="AB19" s="4">
        <f t="shared" si="10"/>
        <v>2.5228103182504413</v>
      </c>
      <c r="AC19" t="s">
        <v>331</v>
      </c>
      <c r="AG19" t="str">
        <f>_xlfn.XLOOKUP(C19,Ref!$A$2:$A$35,Ref!$B$2:$B$35)</f>
        <v>10.1021/jf00084a048</v>
      </c>
    </row>
    <row r="20" spans="1:45" x14ac:dyDescent="0.3">
      <c r="B20" t="s">
        <v>6</v>
      </c>
      <c r="C20" t="s">
        <v>94</v>
      </c>
      <c r="D20" t="s">
        <v>95</v>
      </c>
      <c r="G20" t="s">
        <v>96</v>
      </c>
      <c r="H20" t="s">
        <v>97</v>
      </c>
      <c r="I20" t="s">
        <v>5</v>
      </c>
      <c r="L20">
        <v>25</v>
      </c>
      <c r="M20" s="1">
        <f>273.15+L20</f>
        <v>298.14999999999998</v>
      </c>
      <c r="N20" s="81">
        <f t="shared" si="11"/>
        <v>14</v>
      </c>
      <c r="P20" s="6">
        <v>9</v>
      </c>
      <c r="R20" s="10">
        <v>3.2100000000000002E-6</v>
      </c>
      <c r="S20" s="6" t="s">
        <v>152</v>
      </c>
      <c r="T20" s="14">
        <f>R20</f>
        <v>3.2100000000000002E-6</v>
      </c>
      <c r="U20" s="13">
        <f t="shared" si="8"/>
        <v>3.2100000000000002E-6</v>
      </c>
      <c r="V20" s="14">
        <f t="shared" si="9"/>
        <v>0.32100000000000001</v>
      </c>
      <c r="W20" s="12">
        <f t="shared" si="0"/>
        <v>2.4992326517247365</v>
      </c>
      <c r="X20" s="12">
        <f t="shared" si="2"/>
        <v>3.2099999999999998E-6</v>
      </c>
      <c r="Y20" s="12">
        <f t="shared" si="3"/>
        <v>0.32099999999999995</v>
      </c>
      <c r="Z20" s="47">
        <f t="shared" si="4"/>
        <v>-0.49349496759512801</v>
      </c>
      <c r="AA20">
        <f t="shared" si="1"/>
        <v>-5.4934949675951277</v>
      </c>
      <c r="AB20" s="4">
        <f t="shared" si="10"/>
        <v>2.4992326517247365</v>
      </c>
      <c r="AC20" t="s">
        <v>331</v>
      </c>
      <c r="AG20" t="str">
        <f>_xlfn.XLOOKUP(C20,Ref!$A$2:$A$35,Ref!$B$2:$B$35)</f>
        <v>10.1021/jf00084a048</v>
      </c>
    </row>
    <row r="21" spans="1:45" x14ac:dyDescent="0.3">
      <c r="B21" t="s">
        <v>6</v>
      </c>
      <c r="C21" t="s">
        <v>94</v>
      </c>
      <c r="D21" t="s">
        <v>95</v>
      </c>
      <c r="G21" t="s">
        <v>96</v>
      </c>
      <c r="H21" t="s">
        <v>97</v>
      </c>
      <c r="I21" t="s">
        <v>5</v>
      </c>
      <c r="L21">
        <v>25</v>
      </c>
      <c r="M21" s="1">
        <f>273.15+L21</f>
        <v>298.14999999999998</v>
      </c>
      <c r="N21" s="81">
        <f t="shared" si="11"/>
        <v>14</v>
      </c>
      <c r="P21" s="6">
        <v>9</v>
      </c>
      <c r="Q21" s="6">
        <v>2.5</v>
      </c>
      <c r="R21" s="10"/>
      <c r="T21" s="13">
        <f t="shared" ref="T21:T37" si="12">(LN(2)/Q21)/(60*60*24)</f>
        <v>3.2090147248145612E-6</v>
      </c>
      <c r="U21" s="13">
        <f t="shared" si="8"/>
        <v>3.2090147248145612E-6</v>
      </c>
      <c r="V21" s="14">
        <f t="shared" si="9"/>
        <v>0.32090147248145612</v>
      </c>
      <c r="W21" s="12">
        <f t="shared" si="0"/>
        <v>2.5000000000000004</v>
      </c>
      <c r="X21" s="12">
        <f t="shared" si="2"/>
        <v>3.2090147248145612E-6</v>
      </c>
      <c r="Y21" s="12">
        <f t="shared" si="3"/>
        <v>0.32090147248145612</v>
      </c>
      <c r="Z21" s="47">
        <f t="shared" si="4"/>
        <v>-0.49362829010579257</v>
      </c>
      <c r="AA21">
        <f t="shared" si="1"/>
        <v>-5.4936282901057929</v>
      </c>
      <c r="AB21" s="4">
        <f t="shared" si="10"/>
        <v>2.5000000000000004</v>
      </c>
      <c r="AC21" t="s">
        <v>331</v>
      </c>
      <c r="AD21" s="21">
        <f>AVERAGE(W19:W21)</f>
        <v>2.5073476566583928</v>
      </c>
      <c r="AE21" s="21">
        <f>MEDIAN(W19:W21)</f>
        <v>2.5000000000000004</v>
      </c>
      <c r="AF21" s="60">
        <f>STDEV(W19:W21)</f>
        <v>1.3396553044591286E-2</v>
      </c>
      <c r="AG21" t="str">
        <f>_xlfn.XLOOKUP(C21,Ref!$A$2:$A$35,Ref!$B$2:$B$35)</f>
        <v>10.1021/jf00084a048</v>
      </c>
      <c r="AH21">
        <f>AVERAGE(Y20:Y21)</f>
        <v>0.32095073624072801</v>
      </c>
      <c r="AI21">
        <f>LOG(AH21)</f>
        <v>-0.49356162373443518</v>
      </c>
    </row>
    <row r="22" spans="1:45" x14ac:dyDescent="0.3">
      <c r="A22" t="s">
        <v>164</v>
      </c>
      <c r="C22" t="s">
        <v>111</v>
      </c>
      <c r="D22" t="s">
        <v>131</v>
      </c>
      <c r="G22" t="s">
        <v>112</v>
      </c>
      <c r="H22" t="s">
        <v>113</v>
      </c>
      <c r="I22" t="s">
        <v>2</v>
      </c>
      <c r="L22">
        <v>25</v>
      </c>
      <c r="M22" s="1">
        <f t="shared" ref="M22:M27" si="13">273.15+L22</f>
        <v>298.14999999999998</v>
      </c>
      <c r="N22" s="81">
        <f t="shared" si="11"/>
        <v>14</v>
      </c>
      <c r="P22" s="6">
        <v>11</v>
      </c>
      <c r="Q22" s="6">
        <f>224/60/24</f>
        <v>0.15555555555555556</v>
      </c>
      <c r="T22" s="13">
        <f t="shared" si="12"/>
        <v>5.1573450934519741E-5</v>
      </c>
      <c r="U22" s="13">
        <f t="shared" si="8"/>
        <v>5.157345093451974E-7</v>
      </c>
      <c r="V22" s="14">
        <f t="shared" si="9"/>
        <v>5.1573450934519739E-2</v>
      </c>
      <c r="W22" s="12">
        <f t="shared" si="0"/>
        <v>15.555555555555555</v>
      </c>
      <c r="X22" s="12">
        <f t="shared" si="2"/>
        <v>5.157345093451974E-7</v>
      </c>
      <c r="Y22" s="12">
        <f t="shared" si="3"/>
        <v>5.1573450934519732E-2</v>
      </c>
      <c r="Z22" s="47">
        <f t="shared" si="4"/>
        <v>-1.2875738076726682</v>
      </c>
      <c r="AA22">
        <f t="shared" si="1"/>
        <v>-6.2875738076726684</v>
      </c>
      <c r="AB22" s="4">
        <f t="shared" si="10"/>
        <v>15.555555555555555</v>
      </c>
      <c r="AC22" t="s">
        <v>331</v>
      </c>
      <c r="AG22" t="str">
        <f>_xlfn.XLOOKUP(C22,Ref!$A$2:$A$35,Ref!$B$2:$B$35)</f>
        <v>10.3762/bjoc.13.241</v>
      </c>
    </row>
    <row r="23" spans="1:45" x14ac:dyDescent="0.3">
      <c r="A23" t="s">
        <v>164</v>
      </c>
      <c r="C23" t="s">
        <v>111</v>
      </c>
      <c r="D23" t="s">
        <v>132</v>
      </c>
      <c r="G23" t="s">
        <v>114</v>
      </c>
      <c r="H23" t="s">
        <v>113</v>
      </c>
      <c r="I23" t="s">
        <v>4</v>
      </c>
      <c r="L23">
        <v>25</v>
      </c>
      <c r="M23" s="1">
        <f t="shared" si="13"/>
        <v>298.14999999999998</v>
      </c>
      <c r="N23" s="81">
        <f t="shared" si="11"/>
        <v>14</v>
      </c>
      <c r="P23" s="6">
        <v>11</v>
      </c>
      <c r="Q23" s="6">
        <f>603/60/24</f>
        <v>0.41875000000000001</v>
      </c>
      <c r="T23" s="13">
        <f t="shared" si="12"/>
        <v>1.9158296864564545E-5</v>
      </c>
      <c r="U23" s="13">
        <f t="shared" ref="U23:U35" si="14">T23*10^(9-$P23)</f>
        <v>1.9158296864564546E-7</v>
      </c>
      <c r="V23" s="14">
        <f t="shared" si="9"/>
        <v>1.9158296864564547E-2</v>
      </c>
      <c r="W23" s="12">
        <f t="shared" si="0"/>
        <v>41.874999999999986</v>
      </c>
      <c r="X23" s="12">
        <f t="shared" si="2"/>
        <v>1.9158296864564551E-7</v>
      </c>
      <c r="Y23" s="12">
        <f t="shared" si="3"/>
        <v>1.915829686456455E-2</v>
      </c>
      <c r="Z23" s="47">
        <f t="shared" si="4"/>
        <v>-1.7176431014786564</v>
      </c>
      <c r="AA23">
        <f t="shared" si="1"/>
        <v>-6.7176431014786564</v>
      </c>
      <c r="AB23" s="4">
        <f t="shared" si="10"/>
        <v>41.874999999999986</v>
      </c>
      <c r="AC23" t="s">
        <v>331</v>
      </c>
      <c r="AG23" t="str">
        <f>_xlfn.XLOOKUP(C23,Ref!$A$2:$A$35,Ref!$B$2:$B$35)</f>
        <v>10.3762/bjoc.13.241</v>
      </c>
    </row>
    <row r="24" spans="1:45" x14ac:dyDescent="0.3">
      <c r="A24" t="s">
        <v>164</v>
      </c>
      <c r="C24" t="s">
        <v>111</v>
      </c>
      <c r="D24" t="s">
        <v>133</v>
      </c>
      <c r="G24" t="s">
        <v>115</v>
      </c>
      <c r="H24" t="s">
        <v>116</v>
      </c>
      <c r="I24" t="s">
        <v>117</v>
      </c>
      <c r="L24">
        <v>25</v>
      </c>
      <c r="M24" s="1">
        <f t="shared" si="13"/>
        <v>298.14999999999998</v>
      </c>
      <c r="N24" s="81">
        <f t="shared" si="11"/>
        <v>14</v>
      </c>
      <c r="P24" s="6">
        <v>11</v>
      </c>
      <c r="Q24" s="6">
        <f>80/60/24</f>
        <v>5.5555555555555552E-2</v>
      </c>
      <c r="T24" s="13">
        <f t="shared" si="12"/>
        <v>1.4440566261665527E-4</v>
      </c>
      <c r="U24" s="13">
        <f t="shared" si="14"/>
        <v>1.4440566261665528E-6</v>
      </c>
      <c r="V24" s="14">
        <f t="shared" si="9"/>
        <v>0.14440566261665527</v>
      </c>
      <c r="W24" s="12">
        <f t="shared" si="0"/>
        <v>5.5555555555555545</v>
      </c>
      <c r="X24" s="12">
        <f t="shared" si="2"/>
        <v>1.4440566261665528E-6</v>
      </c>
      <c r="Y24" s="12">
        <f t="shared" si="3"/>
        <v>0.14440566261665527</v>
      </c>
      <c r="Z24" s="47">
        <f t="shared" si="4"/>
        <v>-0.84041577633044884</v>
      </c>
      <c r="AA24">
        <f t="shared" si="1"/>
        <v>-5.8404157763304489</v>
      </c>
      <c r="AB24" s="4">
        <f t="shared" si="10"/>
        <v>5.5555555555555545</v>
      </c>
      <c r="AC24" t="s">
        <v>331</v>
      </c>
      <c r="AG24" t="str">
        <f>_xlfn.XLOOKUP(C24,Ref!$A$2:$A$35,Ref!$B$2:$B$35)</f>
        <v>10.3762/bjoc.13.241</v>
      </c>
    </row>
    <row r="25" spans="1:45" x14ac:dyDescent="0.3">
      <c r="A25" t="s">
        <v>164</v>
      </c>
      <c r="C25" t="s">
        <v>111</v>
      </c>
      <c r="D25" t="s">
        <v>134</v>
      </c>
      <c r="G25" t="s">
        <v>118</v>
      </c>
      <c r="H25" t="s">
        <v>116</v>
      </c>
      <c r="I25" t="s">
        <v>119</v>
      </c>
      <c r="L25">
        <v>25</v>
      </c>
      <c r="M25" s="1">
        <f t="shared" si="13"/>
        <v>298.14999999999998</v>
      </c>
      <c r="N25" s="81">
        <f t="shared" si="11"/>
        <v>14</v>
      </c>
      <c r="P25" s="6">
        <v>11</v>
      </c>
      <c r="Q25" s="6">
        <f>19.7/60/24</f>
        <v>1.3680555555555555E-2</v>
      </c>
      <c r="T25" s="13">
        <f t="shared" si="12"/>
        <v>5.8641893448387928E-4</v>
      </c>
      <c r="U25" s="13">
        <f t="shared" si="14"/>
        <v>5.864189344838793E-6</v>
      </c>
      <c r="V25" s="14">
        <f t="shared" si="9"/>
        <v>0.58641893448387927</v>
      </c>
      <c r="W25" s="12">
        <f t="shared" si="0"/>
        <v>1.3680555555555554</v>
      </c>
      <c r="X25" s="12">
        <f t="shared" si="2"/>
        <v>5.864189344838793E-6</v>
      </c>
      <c r="Y25" s="12">
        <f t="shared" si="3"/>
        <v>0.58641893448387927</v>
      </c>
      <c r="Z25" s="47">
        <f t="shared" si="4"/>
        <v>-0.23179201550009815</v>
      </c>
      <c r="AA25">
        <f t="shared" si="1"/>
        <v>-5.2317920155000985</v>
      </c>
      <c r="AB25" s="4">
        <f t="shared" si="10"/>
        <v>1.3680555555555554</v>
      </c>
      <c r="AC25" t="s">
        <v>331</v>
      </c>
      <c r="AG25" t="str">
        <f>_xlfn.XLOOKUP(C25,Ref!$A$2:$A$35,Ref!$B$2:$B$35)</f>
        <v>10.3762/bjoc.13.241</v>
      </c>
    </row>
    <row r="26" spans="1:45" x14ac:dyDescent="0.3">
      <c r="C26" t="s">
        <v>111</v>
      </c>
      <c r="D26" t="s">
        <v>135</v>
      </c>
      <c r="G26" t="s">
        <v>120</v>
      </c>
      <c r="H26" t="s">
        <v>116</v>
      </c>
      <c r="I26" t="s">
        <v>10</v>
      </c>
      <c r="L26">
        <v>25</v>
      </c>
      <c r="M26" s="1">
        <f t="shared" si="13"/>
        <v>298.14999999999998</v>
      </c>
      <c r="N26" s="81">
        <f t="shared" si="11"/>
        <v>14</v>
      </c>
      <c r="P26" s="6">
        <v>11</v>
      </c>
      <c r="Q26" s="6">
        <f>6.4/60/24</f>
        <v>4.4444444444444444E-3</v>
      </c>
      <c r="T26" s="13">
        <f t="shared" si="12"/>
        <v>1.8050707827081908E-3</v>
      </c>
      <c r="U26" s="13">
        <f t="shared" si="14"/>
        <v>1.8050707827081908E-5</v>
      </c>
      <c r="V26" s="14">
        <f t="shared" si="9"/>
        <v>1.8050707827081909</v>
      </c>
      <c r="W26" s="12">
        <f t="shared" si="0"/>
        <v>0.44444444444444436</v>
      </c>
      <c r="X26" s="12">
        <f t="shared" si="2"/>
        <v>1.8050707827081912E-5</v>
      </c>
      <c r="Y26" s="12">
        <f t="shared" si="3"/>
        <v>1.8050707827081909</v>
      </c>
      <c r="Z26" s="47">
        <f t="shared" si="4"/>
        <v>0.25649423667760762</v>
      </c>
      <c r="AA26">
        <f t="shared" si="1"/>
        <v>-4.7435057633223927</v>
      </c>
      <c r="AB26" s="4">
        <f>W26*24</f>
        <v>10.666666666666664</v>
      </c>
      <c r="AC26" t="s">
        <v>326</v>
      </c>
      <c r="AG26" t="str">
        <f>_xlfn.XLOOKUP(C26,Ref!$A$2:$A$35,Ref!$B$2:$B$35)</f>
        <v>10.3762/bjoc.13.241</v>
      </c>
    </row>
    <row r="27" spans="1:45" x14ac:dyDescent="0.3">
      <c r="B27" t="s">
        <v>6</v>
      </c>
      <c r="C27" t="s">
        <v>111</v>
      </c>
      <c r="D27" t="s">
        <v>135</v>
      </c>
      <c r="G27" t="s">
        <v>120</v>
      </c>
      <c r="H27" t="s">
        <v>116</v>
      </c>
      <c r="I27" t="s">
        <v>10</v>
      </c>
      <c r="L27">
        <v>25</v>
      </c>
      <c r="M27" s="1">
        <f t="shared" si="13"/>
        <v>298.14999999999998</v>
      </c>
      <c r="N27" s="81">
        <f t="shared" si="11"/>
        <v>14</v>
      </c>
      <c r="P27" s="6">
        <v>8</v>
      </c>
      <c r="Q27" s="6">
        <f>6112/60/24</f>
        <v>4.2444444444444445</v>
      </c>
      <c r="T27" s="13">
        <f t="shared" si="12"/>
        <v>1.8901264740399906E-6</v>
      </c>
      <c r="U27" s="13">
        <f t="shared" si="14"/>
        <v>1.8901264740399905E-5</v>
      </c>
      <c r="V27" s="14">
        <f t="shared" si="9"/>
        <v>1.8901264740399906</v>
      </c>
      <c r="W27" s="12">
        <f t="shared" si="0"/>
        <v>0.42444444444444435</v>
      </c>
      <c r="X27" s="12">
        <f t="shared" si="2"/>
        <v>1.8901264740399908E-5</v>
      </c>
      <c r="Y27" s="12">
        <f t="shared" si="3"/>
        <v>1.8901264740399906</v>
      </c>
      <c r="Z27" s="47">
        <f t="shared" si="4"/>
        <v>0.27649086509386128</v>
      </c>
      <c r="AA27">
        <f t="shared" si="1"/>
        <v>-4.7235091349061387</v>
      </c>
      <c r="AB27" s="4">
        <f>W27*24</f>
        <v>10.186666666666664</v>
      </c>
      <c r="AC27" t="s">
        <v>326</v>
      </c>
      <c r="AD27" s="21">
        <f>AVERAGE(W26:W27)</f>
        <v>0.43444444444444436</v>
      </c>
      <c r="AE27" s="21">
        <f>MEDIAN(W26:W27)</f>
        <v>0.43444444444444436</v>
      </c>
      <c r="AF27" s="60">
        <f>STDEV(W26:W27)</f>
        <v>1.4142135623730963E-2</v>
      </c>
      <c r="AG27" t="str">
        <f>_xlfn.XLOOKUP(C27,Ref!$A$2:$A$35,Ref!$B$2:$B$35)</f>
        <v>10.3762/bjoc.13.241</v>
      </c>
      <c r="AH27">
        <f>AVERAGE(Y26:Y27)</f>
        <v>1.8475986283740906</v>
      </c>
      <c r="AI27">
        <f>LOG(AH27)</f>
        <v>0.26660763116176567</v>
      </c>
    </row>
    <row r="28" spans="1:45" x14ac:dyDescent="0.3">
      <c r="A28" t="s">
        <v>136</v>
      </c>
      <c r="C28" t="s">
        <v>414</v>
      </c>
      <c r="D28" t="s">
        <v>104</v>
      </c>
      <c r="E28" t="s">
        <v>406</v>
      </c>
      <c r="F28" t="s">
        <v>398</v>
      </c>
      <c r="G28" t="s">
        <v>78</v>
      </c>
      <c r="H28" t="s">
        <v>79</v>
      </c>
      <c r="I28" t="s">
        <v>80</v>
      </c>
      <c r="L28">
        <v>25</v>
      </c>
      <c r="M28" s="1">
        <f t="shared" ref="M28:M37" si="15">273.15+L28</f>
        <v>298.14999999999998</v>
      </c>
      <c r="N28" s="81">
        <f t="shared" si="11"/>
        <v>14</v>
      </c>
      <c r="P28" s="6">
        <v>9</v>
      </c>
      <c r="Q28" s="6">
        <f>44.8/24</f>
        <v>1.8666666666666665</v>
      </c>
      <c r="S28" s="10"/>
      <c r="T28" s="13">
        <f t="shared" si="12"/>
        <v>4.2977875778766451E-6</v>
      </c>
      <c r="U28" s="13">
        <f t="shared" si="14"/>
        <v>4.2977875778766451E-6</v>
      </c>
      <c r="V28" s="14">
        <f t="shared" si="9"/>
        <v>0.4297787577876645</v>
      </c>
      <c r="W28" s="12">
        <f t="shared" si="0"/>
        <v>1.8666666666666667</v>
      </c>
      <c r="X28" s="12">
        <f t="shared" si="2"/>
        <v>4.2977875778766451E-6</v>
      </c>
      <c r="Y28" s="12">
        <f t="shared" si="3"/>
        <v>0.4297787577876645</v>
      </c>
      <c r="Z28" s="47">
        <f t="shared" si="4"/>
        <v>-0.36675505372029288</v>
      </c>
      <c r="AA28">
        <f t="shared" si="1"/>
        <v>-5.3667550537202926</v>
      </c>
      <c r="AB28" s="4">
        <f t="shared" ref="AB28:AB33" si="16">W28</f>
        <v>1.8666666666666667</v>
      </c>
      <c r="AC28" t="s">
        <v>331</v>
      </c>
      <c r="AG28" t="str">
        <f>_xlfn.XLOOKUP(C28,Ref!$A$2:$A$35,Ref!$B$2:$B$35)</f>
        <v>https://chem.echa.europa.eu/100.037.737/overview?searchText=241-527-8</v>
      </c>
    </row>
    <row r="29" spans="1:45" x14ac:dyDescent="0.3">
      <c r="A29" t="s">
        <v>136</v>
      </c>
      <c r="B29" t="s">
        <v>6</v>
      </c>
      <c r="C29" t="s">
        <v>414</v>
      </c>
      <c r="D29" t="s">
        <v>104</v>
      </c>
      <c r="E29" t="s">
        <v>406</v>
      </c>
      <c r="F29" t="s">
        <v>398</v>
      </c>
      <c r="G29" t="s">
        <v>78</v>
      </c>
      <c r="H29" t="s">
        <v>79</v>
      </c>
      <c r="I29" t="s">
        <v>80</v>
      </c>
      <c r="L29">
        <v>50</v>
      </c>
      <c r="M29" s="1">
        <f t="shared" si="15"/>
        <v>323.14999999999998</v>
      </c>
      <c r="N29" s="81">
        <f>-LOG10(EXP(LN(10^-14)+13.36*(1/298.15-1/M29)/0.0019872))</f>
        <v>13.242382102408241</v>
      </c>
      <c r="O29" s="48">
        <v>14.34</v>
      </c>
      <c r="P29" s="6">
        <v>9</v>
      </c>
      <c r="Q29" s="6">
        <f>10.2/24</f>
        <v>0.42499999999999999</v>
      </c>
      <c r="S29" s="10"/>
      <c r="T29" s="13">
        <f t="shared" si="12"/>
        <v>1.887655720479154E-5</v>
      </c>
      <c r="U29" s="13">
        <f t="shared" si="14"/>
        <v>1.887655720479154E-5</v>
      </c>
      <c r="V29" s="14">
        <f t="shared" si="9"/>
        <v>0.32984119173299159</v>
      </c>
      <c r="W29" s="12">
        <f t="shared" si="0"/>
        <v>15.819709097820304</v>
      </c>
      <c r="X29" s="12">
        <f t="shared" si="2"/>
        <v>5.0712290361532481E-7</v>
      </c>
      <c r="Y29" s="12">
        <f t="shared" si="3"/>
        <v>5.0712290361532478E-2</v>
      </c>
      <c r="Z29" s="47">
        <f t="shared" si="4"/>
        <v>-1.2948867746047055</v>
      </c>
      <c r="AA29">
        <f t="shared" si="1"/>
        <v>-6.2948867746047057</v>
      </c>
      <c r="AB29" s="4">
        <f t="shared" si="16"/>
        <v>15.819709097820304</v>
      </c>
      <c r="AC29" t="s">
        <v>331</v>
      </c>
      <c r="AD29" s="21">
        <f>AVERAGE(W28:W29)</f>
        <v>8.8431878822434857</v>
      </c>
      <c r="AE29" s="21">
        <f>MEDIAN(W28:W29)</f>
        <v>8.8431878822434857</v>
      </c>
      <c r="AF29" s="60">
        <f>STDEV(W28:W29)</f>
        <v>9.866290921252368</v>
      </c>
      <c r="AG29" t="str">
        <f>_xlfn.XLOOKUP(C29,Ref!$A$2:$A$35,Ref!$B$2:$B$35)</f>
        <v>https://chem.echa.europa.eu/100.037.737/overview?searchText=241-527-8</v>
      </c>
      <c r="AH29">
        <f>AVERAGE(Y28:Y29)</f>
        <v>0.24024552407459848</v>
      </c>
      <c r="AI29">
        <f>LOG(AH29)</f>
        <v>-0.61934469476372889</v>
      </c>
      <c r="AL29" s="47" t="s">
        <v>219</v>
      </c>
      <c r="AM29" s="47" t="s">
        <v>221</v>
      </c>
      <c r="AN29" s="47" t="s">
        <v>223</v>
      </c>
      <c r="AO29" s="56" t="s">
        <v>284</v>
      </c>
      <c r="AP29" s="56" t="s">
        <v>285</v>
      </c>
      <c r="AQ29" s="56" t="s">
        <v>286</v>
      </c>
    </row>
    <row r="30" spans="1:45" x14ac:dyDescent="0.3">
      <c r="C30" t="s">
        <v>395</v>
      </c>
      <c r="D30" t="s">
        <v>122</v>
      </c>
      <c r="E30" t="s">
        <v>407</v>
      </c>
      <c r="F30" t="s">
        <v>394</v>
      </c>
      <c r="G30" t="s">
        <v>123</v>
      </c>
      <c r="H30" t="s">
        <v>124</v>
      </c>
      <c r="I30" t="s">
        <v>125</v>
      </c>
      <c r="L30">
        <v>20</v>
      </c>
      <c r="M30" s="1">
        <f t="shared" si="15"/>
        <v>293.14999999999998</v>
      </c>
      <c r="N30" s="81">
        <f>-LOG10(EXP(LN(10^-14)+13.36*(1/298.15-1/M30)/0.0019872))</f>
        <v>14.167030000755094</v>
      </c>
      <c r="O30" s="48">
        <v>14.34</v>
      </c>
      <c r="P30" s="6">
        <v>9</v>
      </c>
      <c r="Q30" s="6">
        <v>18.7</v>
      </c>
      <c r="S30" s="10"/>
      <c r="T30" s="13">
        <f t="shared" ref="T30" si="17">(LN(2)/Q30)/(60*60*24)</f>
        <v>4.2901266374526228E-7</v>
      </c>
      <c r="U30" s="13">
        <f t="shared" ref="U30" si="18">T30*10^(9-$P30)</f>
        <v>4.2901266374526228E-7</v>
      </c>
      <c r="V30" s="14">
        <f t="shared" si="9"/>
        <v>6.3023150965986985E-2</v>
      </c>
      <c r="W30" s="12">
        <f t="shared" ref="W30" si="19">(LN(2)/X30)/(60*60*24)</f>
        <v>8.4242142655072776</v>
      </c>
      <c r="X30" s="12">
        <f t="shared" ref="X30" si="20">Y30*10^(9-14)</f>
        <v>9.5231870405818963E-7</v>
      </c>
      <c r="Y30" s="12">
        <f t="shared" ref="Y30" si="21">EXP(LN(V30)+$O30*(1/$M30-1/298.15)/0.0019872)</f>
        <v>9.5231870405818958E-2</v>
      </c>
      <c r="Z30" s="47">
        <f t="shared" ref="Z30" si="22">LOG(Y30)</f>
        <v>-1.021217685805875</v>
      </c>
      <c r="AA30">
        <f t="shared" ref="AA30" si="23">LOG(X30)</f>
        <v>-6.0212176858058752</v>
      </c>
      <c r="AB30" s="4">
        <f t="shared" si="16"/>
        <v>8.4242142655072776</v>
      </c>
      <c r="AC30" t="s">
        <v>331</v>
      </c>
      <c r="AD30" s="21"/>
      <c r="AE30" s="21"/>
      <c r="AG30" t="str">
        <f>_xlfn.XLOOKUP(C30,Ref!$A$2:$A$35,Ref!$B$2:$B$35)</f>
        <v>https://chem.echa.europa.eu/100.016.735/overview?searchText=218-407-9</v>
      </c>
      <c r="AO30" s="56"/>
      <c r="AP30" s="56"/>
      <c r="AQ30" s="56"/>
    </row>
    <row r="31" spans="1:45" x14ac:dyDescent="0.3">
      <c r="A31" t="s">
        <v>136</v>
      </c>
      <c r="B31" s="1" t="s">
        <v>157</v>
      </c>
      <c r="C31" s="43" t="s">
        <v>400</v>
      </c>
      <c r="D31" t="s">
        <v>105</v>
      </c>
      <c r="E31" t="s">
        <v>408</v>
      </c>
      <c r="F31" t="s">
        <v>399</v>
      </c>
      <c r="G31" t="s">
        <v>106</v>
      </c>
      <c r="H31" t="s">
        <v>79</v>
      </c>
      <c r="I31" t="s">
        <v>107</v>
      </c>
      <c r="L31">
        <v>20</v>
      </c>
      <c r="M31" s="1">
        <f t="shared" si="15"/>
        <v>293.14999999999998</v>
      </c>
      <c r="N31" s="81">
        <f t="shared" si="11"/>
        <v>14.167030000755094</v>
      </c>
      <c r="O31" s="48">
        <v>14.34</v>
      </c>
      <c r="P31" s="6">
        <v>9</v>
      </c>
      <c r="Q31" s="6">
        <f>224/24</f>
        <v>9.3333333333333339</v>
      </c>
      <c r="R31" s="10">
        <v>8.5799999999999998E-7</v>
      </c>
      <c r="S31" s="6" t="s">
        <v>152</v>
      </c>
      <c r="T31" s="13">
        <f>R31</f>
        <v>8.5799999999999998E-7</v>
      </c>
      <c r="U31" s="13">
        <f t="shared" si="14"/>
        <v>8.5799999999999998E-7</v>
      </c>
      <c r="V31" s="14">
        <f t="shared" si="9"/>
        <v>0.12604258125332315</v>
      </c>
      <c r="W31" s="12">
        <f t="shared" si="0"/>
        <v>4.2122314708695994</v>
      </c>
      <c r="X31" s="12">
        <f t="shared" si="2"/>
        <v>1.9045811863658531E-6</v>
      </c>
      <c r="Y31" s="12">
        <f t="shared" si="3"/>
        <v>0.19045811863658529</v>
      </c>
      <c r="Z31" s="47">
        <f t="shared" si="4"/>
        <v>-0.72020050998691587</v>
      </c>
      <c r="AA31">
        <f t="shared" si="1"/>
        <v>-5.720200509986916</v>
      </c>
      <c r="AB31" s="4">
        <f t="shared" si="16"/>
        <v>4.2122314708695994</v>
      </c>
      <c r="AC31" t="s">
        <v>331</v>
      </c>
      <c r="AG31" t="str">
        <f>_xlfn.XLOOKUP(C31,Ref!$A$2:$A$35,Ref!$B$2:$B$35)</f>
        <v>https://chem.echa.europa.eu/substance-search?searchText=288-003-5</v>
      </c>
    </row>
    <row r="32" spans="1:45" x14ac:dyDescent="0.3">
      <c r="A32" t="s">
        <v>136</v>
      </c>
      <c r="B32" s="1" t="s">
        <v>157</v>
      </c>
      <c r="C32" s="43" t="s">
        <v>400</v>
      </c>
      <c r="D32" t="s">
        <v>105</v>
      </c>
      <c r="E32" t="s">
        <v>408</v>
      </c>
      <c r="F32" t="s">
        <v>399</v>
      </c>
      <c r="G32" t="s">
        <v>106</v>
      </c>
      <c r="H32" t="s">
        <v>79</v>
      </c>
      <c r="I32" t="s">
        <v>107</v>
      </c>
      <c r="L32">
        <v>30</v>
      </c>
      <c r="M32" s="1">
        <f t="shared" si="15"/>
        <v>303.14999999999998</v>
      </c>
      <c r="N32" s="81">
        <f t="shared" si="11"/>
        <v>13.838479812893434</v>
      </c>
      <c r="O32" s="48">
        <v>14.34</v>
      </c>
      <c r="P32" s="6">
        <v>9</v>
      </c>
      <c r="Q32" s="6">
        <f>120/24</f>
        <v>5</v>
      </c>
      <c r="R32" s="10">
        <v>1.5999999999999999E-6</v>
      </c>
      <c r="S32" s="6" t="s">
        <v>152</v>
      </c>
      <c r="T32" s="13">
        <f>R32</f>
        <v>1.5999999999999999E-6</v>
      </c>
      <c r="U32" s="13">
        <f t="shared" si="14"/>
        <v>1.5999999999999999E-6</v>
      </c>
      <c r="V32" s="14">
        <f t="shared" si="9"/>
        <v>0.11030616747837003</v>
      </c>
      <c r="W32" s="12">
        <f t="shared" si="0"/>
        <v>10.841269680819993</v>
      </c>
      <c r="X32" s="12">
        <f t="shared" si="2"/>
        <v>7.3999974617637305E-7</v>
      </c>
      <c r="Y32" s="12">
        <f t="shared" si="3"/>
        <v>7.3999974617637299E-2</v>
      </c>
      <c r="Z32" s="47">
        <f t="shared" si="4"/>
        <v>-1.1307684292341853</v>
      </c>
      <c r="AA32">
        <f t="shared" si="1"/>
        <v>-6.1307684292341849</v>
      </c>
      <c r="AB32" s="4">
        <f t="shared" si="16"/>
        <v>10.841269680819993</v>
      </c>
      <c r="AC32" t="s">
        <v>331</v>
      </c>
      <c r="AD32" s="21">
        <f>AVERAGE(W31:W32)</f>
        <v>7.5267505758447957</v>
      </c>
      <c r="AE32" s="21">
        <f>MEDIAN(W31:W32)</f>
        <v>7.5267505758447957</v>
      </c>
      <c r="AF32" s="60">
        <f>STDEV(W31:W32)</f>
        <v>4.6874378710006548</v>
      </c>
      <c r="AG32" t="str">
        <f>_xlfn.XLOOKUP(C32,Ref!$A$2:$A$35,Ref!$B$2:$B$35)</f>
        <v>https://chem.echa.europa.eu/substance-search?searchText=288-003-5</v>
      </c>
      <c r="AH32">
        <f>AVERAGE(Y31:Y32)</f>
        <v>0.1322290466271113</v>
      </c>
      <c r="AI32">
        <f>LOG(AH32)</f>
        <v>-0.87867313332063945</v>
      </c>
    </row>
    <row r="33" spans="1:53" x14ac:dyDescent="0.3">
      <c r="A33" t="s">
        <v>136</v>
      </c>
      <c r="B33" s="1" t="s">
        <v>157</v>
      </c>
      <c r="C33" s="43" t="s">
        <v>400</v>
      </c>
      <c r="D33" t="s">
        <v>108</v>
      </c>
      <c r="E33" t="s">
        <v>409</v>
      </c>
      <c r="F33" t="s">
        <v>402</v>
      </c>
      <c r="G33" t="s">
        <v>109</v>
      </c>
      <c r="H33" t="s">
        <v>79</v>
      </c>
      <c r="I33" t="s">
        <v>110</v>
      </c>
      <c r="L33">
        <v>30</v>
      </c>
      <c r="M33" s="1">
        <f t="shared" si="15"/>
        <v>303.14999999999998</v>
      </c>
      <c r="N33" s="81">
        <f t="shared" si="11"/>
        <v>13.838479812893434</v>
      </c>
      <c r="O33" s="48">
        <v>14.34</v>
      </c>
      <c r="P33" s="6">
        <v>9</v>
      </c>
      <c r="Q33" s="6">
        <v>43.7</v>
      </c>
      <c r="S33" s="10"/>
      <c r="T33" s="13">
        <f t="shared" si="12"/>
        <v>1.8358207807863624E-7</v>
      </c>
      <c r="U33" s="13">
        <f t="shared" si="14"/>
        <v>1.8358207807863624E-7</v>
      </c>
      <c r="V33" s="14">
        <f t="shared" si="9"/>
        <v>1.2656397156605784E-2</v>
      </c>
      <c r="W33" s="12">
        <f t="shared" si="0"/>
        <v>94.486518895825554</v>
      </c>
      <c r="X33" s="12">
        <f t="shared" si="2"/>
        <v>8.4906681987951213E-8</v>
      </c>
      <c r="Y33" s="12">
        <f t="shared" si="3"/>
        <v>8.4906681987951208E-3</v>
      </c>
      <c r="Z33" s="47">
        <f t="shared" si="4"/>
        <v>-2.0710581302942868</v>
      </c>
      <c r="AA33">
        <f t="shared" si="1"/>
        <v>-7.0710581302942863</v>
      </c>
      <c r="AB33" s="4">
        <f t="shared" si="16"/>
        <v>94.486518895825554</v>
      </c>
      <c r="AC33" t="s">
        <v>331</v>
      </c>
      <c r="AG33" t="str">
        <f>_xlfn.XLOOKUP(C33,Ref!$A$2:$A$35,Ref!$B$2:$B$35)</f>
        <v>https://chem.echa.europa.eu/substance-search?searchText=288-003-5</v>
      </c>
    </row>
    <row r="34" spans="1:53" x14ac:dyDescent="0.3">
      <c r="A34" s="3" t="s">
        <v>136</v>
      </c>
      <c r="B34" s="3" t="s">
        <v>377</v>
      </c>
      <c r="C34" t="s">
        <v>392</v>
      </c>
      <c r="D34" s="43" t="s">
        <v>391</v>
      </c>
      <c r="E34" s="43" t="s">
        <v>412</v>
      </c>
      <c r="F34" s="43" t="s">
        <v>386</v>
      </c>
      <c r="G34" s="43" t="s">
        <v>98</v>
      </c>
      <c r="H34" s="1" t="s">
        <v>72</v>
      </c>
      <c r="I34" s="1" t="s">
        <v>99</v>
      </c>
      <c r="J34" s="3" t="s">
        <v>271</v>
      </c>
      <c r="L34">
        <v>50</v>
      </c>
      <c r="M34" s="1">
        <f t="shared" si="15"/>
        <v>323.14999999999998</v>
      </c>
      <c r="N34" s="49">
        <f t="shared" si="11"/>
        <v>13.242382102408241</v>
      </c>
      <c r="O34" s="48">
        <v>14.34</v>
      </c>
      <c r="P34" s="6">
        <v>9</v>
      </c>
      <c r="Q34" s="6">
        <f>1.608*365/10</f>
        <v>58.692000000000007</v>
      </c>
      <c r="T34" s="13">
        <f t="shared" si="12"/>
        <v>1.3668876187617397E-7</v>
      </c>
      <c r="U34" s="13">
        <f t="shared" si="14"/>
        <v>1.3668876187617397E-7</v>
      </c>
      <c r="V34" s="14">
        <f t="shared" si="9"/>
        <v>2.3884431691971885E-3</v>
      </c>
      <c r="W34" s="12">
        <f t="shared" si="0"/>
        <v>2184.6832149865163</v>
      </c>
      <c r="X34" s="12">
        <f t="shared" si="2"/>
        <v>3.6721739595943746E-9</v>
      </c>
      <c r="Y34" s="12">
        <f t="shared" si="3"/>
        <v>3.6721739595943742E-4</v>
      </c>
      <c r="Z34" s="47">
        <f t="shared" si="4"/>
        <v>-3.4350767534233011</v>
      </c>
      <c r="AA34">
        <f t="shared" si="1"/>
        <v>-8.4350767534233011</v>
      </c>
      <c r="AB34" s="85">
        <f>W34/365</f>
        <v>5.9854334657164827</v>
      </c>
      <c r="AC34" t="s">
        <v>329</v>
      </c>
      <c r="AD34" s="21"/>
      <c r="AE34" s="21"/>
      <c r="AG34" t="str">
        <f>_xlfn.XLOOKUP(C34,Ref!$A$2:$A$35,Ref!$B$2:$B$35)</f>
        <v>https://chem.echa.europa.eu/100.060.648/dossier-list/reach/dossiers/not_active?searchText=266-733-5</v>
      </c>
      <c r="AJ34" s="47"/>
      <c r="AW34"/>
    </row>
    <row r="35" spans="1:53" x14ac:dyDescent="0.3">
      <c r="A35" s="3" t="s">
        <v>136</v>
      </c>
      <c r="B35" s="3" t="s">
        <v>376</v>
      </c>
      <c r="C35" t="s">
        <v>385</v>
      </c>
      <c r="D35" t="s">
        <v>101</v>
      </c>
      <c r="E35" t="s">
        <v>411</v>
      </c>
      <c r="F35" t="s">
        <v>397</v>
      </c>
      <c r="G35" t="s">
        <v>102</v>
      </c>
      <c r="H35" t="s">
        <v>72</v>
      </c>
      <c r="I35" t="s">
        <v>103</v>
      </c>
      <c r="J35" s="3" t="s">
        <v>271</v>
      </c>
      <c r="L35">
        <v>50</v>
      </c>
      <c r="M35" s="1">
        <f t="shared" si="15"/>
        <v>323.14999999999998</v>
      </c>
      <c r="N35" s="81">
        <f t="shared" si="11"/>
        <v>13.242382102408241</v>
      </c>
      <c r="O35" s="77">
        <v>14.34</v>
      </c>
      <c r="P35" s="6">
        <v>9</v>
      </c>
      <c r="Q35" s="6">
        <v>9.3000000000000007</v>
      </c>
      <c r="T35" s="13">
        <f t="shared" si="12"/>
        <v>8.6263836688563473E-7</v>
      </c>
      <c r="U35" s="13">
        <f t="shared" si="14"/>
        <v>8.6263836688563473E-7</v>
      </c>
      <c r="V35" s="14">
        <f t="shared" si="9"/>
        <v>1.5073387794249613E-2</v>
      </c>
      <c r="W35" s="12">
        <f t="shared" si="0"/>
        <v>346.1724579052443</v>
      </c>
      <c r="X35" s="12">
        <f t="shared" si="2"/>
        <v>2.3174971401775598E-8</v>
      </c>
      <c r="Y35" s="12">
        <f t="shared" si="3"/>
        <v>2.3174971401775596E-3</v>
      </c>
      <c r="Z35" s="47">
        <f t="shared" si="4"/>
        <v>-2.6349807931083289</v>
      </c>
      <c r="AA35">
        <f t="shared" si="1"/>
        <v>-7.6349807931083289</v>
      </c>
      <c r="AB35" s="4">
        <f>W35</f>
        <v>346.1724579052443</v>
      </c>
      <c r="AC35" t="s">
        <v>331</v>
      </c>
      <c r="AG35" t="str">
        <f>_xlfn.XLOOKUP(C35,Ref!$A$2:$A$35,Ref!$B$2:$B$35)</f>
        <v>10.1039/C0EM00295J</v>
      </c>
    </row>
    <row r="36" spans="1:53" x14ac:dyDescent="0.3">
      <c r="A36" s="3" t="s">
        <v>230</v>
      </c>
      <c r="B36" s="3" t="s">
        <v>376</v>
      </c>
      <c r="C36" t="s">
        <v>385</v>
      </c>
      <c r="D36" t="s">
        <v>101</v>
      </c>
      <c r="E36" t="s">
        <v>411</v>
      </c>
      <c r="F36" t="s">
        <v>397</v>
      </c>
      <c r="G36" t="s">
        <v>102</v>
      </c>
      <c r="H36" t="s">
        <v>72</v>
      </c>
      <c r="I36" t="s">
        <v>103</v>
      </c>
      <c r="J36" s="3" t="s">
        <v>271</v>
      </c>
      <c r="L36">
        <v>50</v>
      </c>
      <c r="M36" s="1">
        <f t="shared" si="15"/>
        <v>323.14999999999998</v>
      </c>
      <c r="N36" s="81">
        <f t="shared" si="11"/>
        <v>13.242382102408241</v>
      </c>
      <c r="O36" s="77">
        <v>14.34</v>
      </c>
      <c r="P36" s="6">
        <v>11</v>
      </c>
      <c r="Q36" s="6">
        <v>7.9</v>
      </c>
      <c r="T36" s="13">
        <f t="shared" si="12"/>
        <v>1.0155109888653675E-6</v>
      </c>
      <c r="U36" s="13">
        <f>T36*10^(9-$P36)</f>
        <v>1.0155109888653675E-8</v>
      </c>
      <c r="V36" s="14">
        <f t="shared" si="9"/>
        <v>1.7744621074243215E-4</v>
      </c>
      <c r="W36" s="12">
        <f t="shared" si="0"/>
        <v>29406.047499477721</v>
      </c>
      <c r="X36" s="12">
        <f t="shared" si="2"/>
        <v>2.7281928359052308E-10</v>
      </c>
      <c r="Y36" s="12">
        <f t="shared" si="3"/>
        <v>2.7281928359052303E-5</v>
      </c>
      <c r="Z36" s="47">
        <f t="shared" si="4"/>
        <v>-4.564124935844835</v>
      </c>
      <c r="AA36">
        <f t="shared" si="1"/>
        <v>-9.5641249358448341</v>
      </c>
      <c r="AB36" s="4">
        <f>W36/365</f>
        <v>80.564513697199232</v>
      </c>
      <c r="AC36" t="s">
        <v>329</v>
      </c>
      <c r="AD36" s="21">
        <f>AVERAGE(W35:W36)</f>
        <v>14876.109978691482</v>
      </c>
      <c r="AE36" s="21">
        <f>MEDIAN(W35:W36)</f>
        <v>14876.109978691484</v>
      </c>
      <c r="AF36" s="60">
        <f>STDEV(W35:W36)</f>
        <v>20548.434702329603</v>
      </c>
      <c r="AG36" t="str">
        <f>_xlfn.XLOOKUP(C36,Ref!$A$2:$A$35,Ref!$B$2:$B$35)</f>
        <v>10.1039/C0EM00295J</v>
      </c>
      <c r="AH36">
        <f>AVERAGE(Y35:Y36)</f>
        <v>1.1723895342683061E-3</v>
      </c>
      <c r="AI36">
        <f>LOG(AH36)</f>
        <v>-2.9309280670928746</v>
      </c>
    </row>
    <row r="37" spans="1:53" x14ac:dyDescent="0.3">
      <c r="A37" s="3" t="s">
        <v>136</v>
      </c>
      <c r="B37" s="3" t="s">
        <v>376</v>
      </c>
      <c r="C37" t="s">
        <v>385</v>
      </c>
      <c r="D37" t="s">
        <v>375</v>
      </c>
      <c r="E37" t="s">
        <v>410</v>
      </c>
      <c r="F37" t="s">
        <v>384</v>
      </c>
      <c r="G37" t="s">
        <v>327</v>
      </c>
      <c r="H37" t="s">
        <v>72</v>
      </c>
      <c r="I37" t="s">
        <v>328</v>
      </c>
      <c r="J37" s="3" t="s">
        <v>271</v>
      </c>
      <c r="L37">
        <v>25</v>
      </c>
      <c r="M37" s="1">
        <f t="shared" si="15"/>
        <v>298.14999999999998</v>
      </c>
      <c r="N37" s="81">
        <f t="shared" si="11"/>
        <v>14</v>
      </c>
      <c r="P37" s="6">
        <v>9</v>
      </c>
      <c r="Q37" s="6">
        <v>15</v>
      </c>
      <c r="T37" s="13">
        <f t="shared" si="12"/>
        <v>5.3483578746909358E-7</v>
      </c>
      <c r="U37" s="13">
        <f>T37*10^(9-$P37)</f>
        <v>5.3483578746909358E-7</v>
      </c>
      <c r="V37" s="14">
        <f t="shared" si="9"/>
        <v>5.3483578746909358E-2</v>
      </c>
      <c r="W37" s="12">
        <f t="shared" si="0"/>
        <v>14.999999999999996</v>
      </c>
      <c r="X37" s="12">
        <f t="shared" si="2"/>
        <v>5.3483578746909368E-7</v>
      </c>
      <c r="Y37" s="12">
        <f t="shared" si="3"/>
        <v>5.3483578746909365E-2</v>
      </c>
      <c r="Z37" s="47">
        <f t="shared" si="4"/>
        <v>-1.2717795404894361</v>
      </c>
      <c r="AA37">
        <f>LOG(X37)</f>
        <v>-6.2717795404894359</v>
      </c>
      <c r="AB37" s="4">
        <f>W37</f>
        <v>14.999999999999996</v>
      </c>
      <c r="AC37" t="s">
        <v>331</v>
      </c>
      <c r="AD37" s="21"/>
      <c r="AE37" s="21"/>
      <c r="AG37" t="str">
        <f>_xlfn.XLOOKUP(C37,Ref!$A$2:$A$35,Ref!$B$2:$B$35)</f>
        <v>10.1039/C0EM00295J</v>
      </c>
    </row>
    <row r="38" spans="1:53" x14ac:dyDescent="0.3">
      <c r="A38" s="3"/>
      <c r="B38" s="1"/>
      <c r="H38" s="3"/>
      <c r="M38" s="1"/>
      <c r="N38" s="81"/>
      <c r="T38" s="13"/>
      <c r="U38" s="13"/>
      <c r="V38" s="14"/>
      <c r="W38" s="12"/>
      <c r="X38" s="7"/>
      <c r="Y38" s="7"/>
      <c r="AB38" s="4"/>
      <c r="AD38" s="61">
        <f>AVERAGE(W5:W33)</f>
        <v>7.3074481400718421</v>
      </c>
      <c r="AE38" s="61">
        <f>MEDIAN(W5:W33)</f>
        <v>0.44444444444444436</v>
      </c>
      <c r="AF38" s="61">
        <f>STDEV(W5:W33)</f>
        <v>18.798049709150209</v>
      </c>
      <c r="AH38" s="59">
        <f>AVERAGE(Y5:Y36)</f>
        <v>254336.59745027425</v>
      </c>
      <c r="AI38" s="2">
        <f>LOG(AH38)</f>
        <v>5.4054088569398546</v>
      </c>
    </row>
    <row r="39" spans="1:53" x14ac:dyDescent="0.3">
      <c r="B39" s="2" t="s">
        <v>354</v>
      </c>
      <c r="M39" s="1"/>
      <c r="N39" s="81"/>
      <c r="T39" s="13"/>
      <c r="U39" s="13"/>
      <c r="V39" s="14"/>
      <c r="W39" s="12"/>
      <c r="X39" s="7"/>
      <c r="Y39" s="7"/>
      <c r="AB39" s="4"/>
      <c r="AQ39" s="57"/>
      <c r="AR39" s="57"/>
      <c r="AS39" s="57"/>
    </row>
    <row r="40" spans="1:53" x14ac:dyDescent="0.3">
      <c r="C40" t="s">
        <v>64</v>
      </c>
      <c r="D40" t="s">
        <v>18</v>
      </c>
      <c r="G40" t="s">
        <v>19</v>
      </c>
      <c r="H40" t="s">
        <v>15</v>
      </c>
      <c r="I40" t="s">
        <v>2</v>
      </c>
      <c r="L40">
        <v>14.95</v>
      </c>
      <c r="M40" s="1">
        <f>273.15+L40</f>
        <v>288.09999999999997</v>
      </c>
      <c r="N40" s="81">
        <f>-LOG10(EXP(LN(10^-14)+13.36*(1/298.15-1/M40)/0.0019872))</f>
        <v>14.341615195730386</v>
      </c>
      <c r="O40" s="77">
        <v>10.6</v>
      </c>
      <c r="P40" s="6">
        <v>7</v>
      </c>
      <c r="R40" s="10">
        <v>4.6420000000000003E-3</v>
      </c>
      <c r="S40" s="6" t="s">
        <v>152</v>
      </c>
      <c r="T40" s="14">
        <f t="shared" ref="T40:T55" si="24">R40</f>
        <v>4.6420000000000003E-3</v>
      </c>
      <c r="U40" s="14"/>
      <c r="V40" s="13">
        <f t="shared" ref="V40:V73" si="25">T40*10^($N40-$P40)</f>
        <v>101934.29693901543</v>
      </c>
      <c r="W40" s="12">
        <f t="shared" ref="W40:W56" si="26">(LN(2)/X40)/(60*60*24)</f>
        <v>9.25901069684762E-4</v>
      </c>
      <c r="X40" s="7">
        <f t="shared" ref="X40:X73" si="27">EXP(LN(T40)+O40*(1/M40-1/298.15)/0.0019872)</f>
        <v>8.6645723551953633E-3</v>
      </c>
      <c r="Y40" s="7"/>
      <c r="AA40">
        <f t="shared" ref="AA40:AA73" si="28">LOG(X40)</f>
        <v>-2.0622528672676688</v>
      </c>
      <c r="AB40" s="4">
        <f>W40*1440</f>
        <v>1.3332975403460572</v>
      </c>
      <c r="AC40" t="s">
        <v>325</v>
      </c>
      <c r="AG40" t="str">
        <f>_xlfn.XLOOKUP(C40,Ref!$A$2:$A$35,Ref!$B$2:$B$35)</f>
        <v>10.1139/v68-480</v>
      </c>
      <c r="AQ40" s="57"/>
      <c r="AR40" s="57"/>
      <c r="AS40" s="57"/>
      <c r="AX40" s="2"/>
      <c r="AY40" s="2"/>
      <c r="AZ40" s="2"/>
      <c r="BA40" s="2"/>
    </row>
    <row r="41" spans="1:53" x14ac:dyDescent="0.3">
      <c r="B41" t="s">
        <v>6</v>
      </c>
      <c r="C41" t="s">
        <v>387</v>
      </c>
      <c r="D41" t="s">
        <v>18</v>
      </c>
      <c r="G41" t="s">
        <v>19</v>
      </c>
      <c r="H41" t="s">
        <v>15</v>
      </c>
      <c r="I41" t="s">
        <v>2</v>
      </c>
      <c r="L41">
        <v>25</v>
      </c>
      <c r="M41" s="1">
        <f>273.15+L41</f>
        <v>298.14999999999998</v>
      </c>
      <c r="N41" s="81">
        <f>-LOG10(EXP(LN(10^-14)+13.36*(1/298.15-1/M41)/0.0019872))</f>
        <v>14</v>
      </c>
      <c r="O41" s="77">
        <v>10.6</v>
      </c>
      <c r="P41" s="6">
        <v>7</v>
      </c>
      <c r="R41" s="10">
        <v>7.7000000000000002E-3</v>
      </c>
      <c r="S41" s="6" t="s">
        <v>152</v>
      </c>
      <c r="T41" s="14">
        <f t="shared" si="24"/>
        <v>7.7000000000000002E-3</v>
      </c>
      <c r="U41" s="14"/>
      <c r="V41" s="13">
        <f t="shared" si="25"/>
        <v>77000</v>
      </c>
      <c r="W41" s="12">
        <f t="shared" si="26"/>
        <v>1.0418878976670653E-3</v>
      </c>
      <c r="X41" s="7">
        <f t="shared" si="27"/>
        <v>7.700000000000002E-3</v>
      </c>
      <c r="Y41" s="7"/>
      <c r="AA41">
        <f t="shared" si="28"/>
        <v>-2.1135092748275182</v>
      </c>
      <c r="AB41" s="4">
        <f t="shared" ref="AB41:AB46" si="29">W41*1440</f>
        <v>1.5003185726405739</v>
      </c>
      <c r="AC41" t="s">
        <v>325</v>
      </c>
      <c r="AG41" t="str">
        <f>_xlfn.XLOOKUP(C41,Ref!$A$2:$A$35,Ref!$B$2:$B$35)</f>
        <v>10.1016/j.atmosenv.2003.10.019</v>
      </c>
      <c r="AQ41" s="57"/>
      <c r="AR41" s="57"/>
      <c r="AS41" s="57"/>
      <c r="AX41" s="2"/>
      <c r="AY41" s="2"/>
      <c r="AZ41" s="2"/>
      <c r="BA41" s="2"/>
    </row>
    <row r="42" spans="1:53" x14ac:dyDescent="0.3">
      <c r="B42" s="3"/>
      <c r="C42" t="s">
        <v>248</v>
      </c>
      <c r="D42" s="1" t="s">
        <v>18</v>
      </c>
      <c r="E42" s="1"/>
      <c r="F42" s="1"/>
      <c r="G42" s="1" t="s">
        <v>19</v>
      </c>
      <c r="H42" s="1" t="s">
        <v>15</v>
      </c>
      <c r="I42" s="1" t="s">
        <v>2</v>
      </c>
      <c r="J42" s="1"/>
      <c r="K42" s="1"/>
      <c r="L42" s="1">
        <v>25</v>
      </c>
      <c r="M42" s="1">
        <f>273.15+L42</f>
        <v>298.14999999999998</v>
      </c>
      <c r="N42" s="81">
        <f>-LOG10(EXP(LN(10^-14)+13.36*(1/298.15-1/M42)/0.0019872))</f>
        <v>14</v>
      </c>
      <c r="O42" s="77">
        <v>10.599904397705545</v>
      </c>
      <c r="P42" s="6">
        <v>7</v>
      </c>
      <c r="R42" s="10">
        <v>3.2799999999999999E-3</v>
      </c>
      <c r="S42" s="6" t="s">
        <v>152</v>
      </c>
      <c r="T42" s="14">
        <f t="shared" si="24"/>
        <v>3.2799999999999999E-3</v>
      </c>
      <c r="U42" s="14"/>
      <c r="V42" s="13">
        <f t="shared" si="25"/>
        <v>32800</v>
      </c>
      <c r="W42" s="12">
        <f t="shared" si="26"/>
        <v>2.4458953695232931E-3</v>
      </c>
      <c r="X42" s="7">
        <f t="shared" si="27"/>
        <v>3.2800000000000008E-3</v>
      </c>
      <c r="Y42" s="7"/>
      <c r="AA42">
        <f t="shared" si="28"/>
        <v>-2.4841261562883208</v>
      </c>
      <c r="AB42" s="4">
        <f t="shared" si="29"/>
        <v>3.5220893321135418</v>
      </c>
      <c r="AC42" t="s">
        <v>325</v>
      </c>
      <c r="AD42" s="21">
        <f>AVERAGE(W40:W42)</f>
        <v>1.471228112291707E-3</v>
      </c>
      <c r="AE42" s="21">
        <f>MEDIAN(W40:W42)</f>
        <v>1.0418878976670653E-3</v>
      </c>
      <c r="AF42" s="60">
        <f>STDEV(W40:W42)</f>
        <v>8.4607649347198883E-4</v>
      </c>
      <c r="AG42" t="str">
        <f>_xlfn.XLOOKUP(C42,Ref!$A$2:$A$35,Ref!$B$2:$B$35)</f>
        <v>https://srd.nist.gov/jpcrdreprint/1.555572.pdf</v>
      </c>
    </row>
    <row r="43" spans="1:53" x14ac:dyDescent="0.3">
      <c r="C43" t="s">
        <v>64</v>
      </c>
      <c r="D43" t="s">
        <v>20</v>
      </c>
      <c r="G43" t="s">
        <v>21</v>
      </c>
      <c r="H43" t="s">
        <v>15</v>
      </c>
      <c r="I43" t="s">
        <v>4</v>
      </c>
      <c r="L43">
        <f>M43-273.15</f>
        <v>22.03000000000003</v>
      </c>
      <c r="M43" s="1">
        <v>295.18</v>
      </c>
      <c r="N43" s="81">
        <f t="shared" ref="N43:N48" si="30">-LOG10(EXP(LN(10^-14)+13.36*(1/298.15-1/M43)/0.0019872))</f>
        <v>14.098533497406615</v>
      </c>
      <c r="O43" s="77">
        <v>10.53</v>
      </c>
      <c r="P43" s="6">
        <v>7</v>
      </c>
      <c r="R43" s="10">
        <v>2.735E-3</v>
      </c>
      <c r="S43" s="6" t="s">
        <v>152</v>
      </c>
      <c r="T43" s="14">
        <f t="shared" si="24"/>
        <v>2.735E-3</v>
      </c>
      <c r="U43" s="14"/>
      <c r="V43" s="13">
        <f t="shared" si="25"/>
        <v>34315.539257476732</v>
      </c>
      <c r="W43" s="12">
        <f t="shared" si="26"/>
        <v>2.4529736405152166E-3</v>
      </c>
      <c r="X43" s="7">
        <f t="shared" si="27"/>
        <v>3.2705352717738007E-3</v>
      </c>
      <c r="Y43" s="7"/>
      <c r="AA43">
        <f t="shared" si="28"/>
        <v>-2.4853811627668039</v>
      </c>
      <c r="AB43" s="4">
        <f t="shared" si="29"/>
        <v>3.5322820423419121</v>
      </c>
      <c r="AC43" t="s">
        <v>325</v>
      </c>
      <c r="AG43" t="str">
        <f>_xlfn.XLOOKUP(C43,Ref!$A$2:$A$35,Ref!$B$2:$B$35)</f>
        <v>10.1139/v68-480</v>
      </c>
      <c r="AQ43" s="57"/>
      <c r="AR43" s="57"/>
      <c r="AS43" s="57"/>
      <c r="AX43" s="2"/>
      <c r="AY43" s="2"/>
      <c r="AZ43" s="2"/>
      <c r="BA43" s="2"/>
    </row>
    <row r="44" spans="1:53" x14ac:dyDescent="0.3">
      <c r="B44" t="s">
        <v>6</v>
      </c>
      <c r="C44" t="s">
        <v>64</v>
      </c>
      <c r="D44" t="s">
        <v>20</v>
      </c>
      <c r="G44" t="s">
        <v>21</v>
      </c>
      <c r="H44" t="s">
        <v>15</v>
      </c>
      <c r="I44" t="s">
        <v>4</v>
      </c>
      <c r="L44">
        <v>25</v>
      </c>
      <c r="M44" s="1">
        <f t="shared" ref="M44:M55" si="31">273.15+L44</f>
        <v>298.14999999999998</v>
      </c>
      <c r="N44" s="81">
        <f>-LOG10(EXP(LN(10^-14)+13.36*(1/298.15-1/M44)/0.0019872))</f>
        <v>14</v>
      </c>
      <c r="O44" s="77">
        <v>10.53</v>
      </c>
      <c r="P44" s="6">
        <v>7</v>
      </c>
      <c r="R44" s="10">
        <v>3.29E-3</v>
      </c>
      <c r="S44" s="6" t="s">
        <v>152</v>
      </c>
      <c r="T44" s="14">
        <f t="shared" si="24"/>
        <v>3.29E-3</v>
      </c>
      <c r="U44" s="14"/>
      <c r="V44" s="13">
        <f t="shared" si="25"/>
        <v>32900</v>
      </c>
      <c r="W44" s="12">
        <f t="shared" si="26"/>
        <v>2.4384610370931322E-3</v>
      </c>
      <c r="X44" s="7">
        <f t="shared" si="27"/>
        <v>3.2899999999999995E-3</v>
      </c>
      <c r="Y44" s="7"/>
      <c r="AA44">
        <f t="shared" si="28"/>
        <v>-2.4828041020500256</v>
      </c>
      <c r="AB44" s="4">
        <f t="shared" si="29"/>
        <v>3.5113838934141106</v>
      </c>
      <c r="AC44" t="s">
        <v>325</v>
      </c>
      <c r="AG44" t="str">
        <f>_xlfn.XLOOKUP(C44,Ref!$A$2:$A$35,Ref!$B$2:$B$35)</f>
        <v>10.1139/v68-480</v>
      </c>
      <c r="AQ44" s="57"/>
      <c r="AR44" s="57"/>
      <c r="AS44" s="57"/>
      <c r="AX44" s="2"/>
      <c r="AY44" s="2"/>
      <c r="AZ44" s="2"/>
      <c r="BA44" s="2"/>
    </row>
    <row r="45" spans="1:53" x14ac:dyDescent="0.3">
      <c r="B45" t="s">
        <v>6</v>
      </c>
      <c r="C45" t="s">
        <v>64</v>
      </c>
      <c r="D45" t="s">
        <v>20</v>
      </c>
      <c r="G45" t="s">
        <v>21</v>
      </c>
      <c r="H45" t="s">
        <v>15</v>
      </c>
      <c r="I45" t="s">
        <v>4</v>
      </c>
      <c r="L45">
        <v>14.95</v>
      </c>
      <c r="M45" s="1">
        <f t="shared" si="31"/>
        <v>288.09999999999997</v>
      </c>
      <c r="N45" s="81">
        <f t="shared" si="30"/>
        <v>14.341615195730386</v>
      </c>
      <c r="O45" s="77">
        <v>10.53</v>
      </c>
      <c r="P45" s="6">
        <v>7</v>
      </c>
      <c r="R45" s="10">
        <v>1.7570000000000001E-3</v>
      </c>
      <c r="S45" s="6" t="s">
        <v>152</v>
      </c>
      <c r="T45" s="14">
        <f t="shared" si="24"/>
        <v>1.7570000000000001E-3</v>
      </c>
      <c r="U45" s="14"/>
      <c r="V45" s="13">
        <f t="shared" si="25"/>
        <v>38582.197268817348</v>
      </c>
      <c r="W45" s="12">
        <f t="shared" si="26"/>
        <v>2.4563364929170778E-3</v>
      </c>
      <c r="X45" s="7">
        <f t="shared" si="27"/>
        <v>3.2660577389008539E-3</v>
      </c>
      <c r="Y45" s="7"/>
      <c r="AA45">
        <f t="shared" si="28"/>
        <v>-2.4859761418699016</v>
      </c>
      <c r="AB45" s="4">
        <f t="shared" si="29"/>
        <v>3.5371245498005921</v>
      </c>
      <c r="AC45" t="s">
        <v>325</v>
      </c>
      <c r="AD45" s="21">
        <f>AVERAGE(W43:W45)</f>
        <v>2.4492570568418089E-3</v>
      </c>
      <c r="AE45" s="21">
        <f>MEDIAN(W43:W45)</f>
        <v>2.4529736405152166E-3</v>
      </c>
      <c r="AF45" s="60">
        <f>STDEV(W43:W45)</f>
        <v>9.499617143839943E-6</v>
      </c>
      <c r="AG45" t="str">
        <f>_xlfn.XLOOKUP(C45,Ref!$A$2:$A$35,Ref!$B$2:$B$35)</f>
        <v>10.1139/v68-480</v>
      </c>
      <c r="AQ45" s="57"/>
      <c r="AR45" s="57"/>
      <c r="AS45" s="57"/>
      <c r="AX45" s="2"/>
      <c r="AY45" s="2"/>
      <c r="AZ45" s="2"/>
      <c r="BA45" s="2"/>
    </row>
    <row r="46" spans="1:53" x14ac:dyDescent="0.3">
      <c r="C46" t="s">
        <v>64</v>
      </c>
      <c r="D46" t="s">
        <v>65</v>
      </c>
      <c r="G46" t="s">
        <v>66</v>
      </c>
      <c r="H46" t="s">
        <v>15</v>
      </c>
      <c r="I46" t="s">
        <v>67</v>
      </c>
      <c r="L46">
        <v>14.95</v>
      </c>
      <c r="M46" s="1">
        <f t="shared" si="31"/>
        <v>288.09999999999997</v>
      </c>
      <c r="N46" s="81">
        <f t="shared" si="30"/>
        <v>14.341615195730386</v>
      </c>
      <c r="O46" s="77">
        <v>10.51</v>
      </c>
      <c r="P46" s="6">
        <v>7</v>
      </c>
      <c r="R46" s="10">
        <v>4.86E-4</v>
      </c>
      <c r="S46" s="6" t="s">
        <v>152</v>
      </c>
      <c r="T46" s="14">
        <f t="shared" si="24"/>
        <v>4.86E-4</v>
      </c>
      <c r="U46" s="14"/>
      <c r="V46" s="13">
        <f t="shared" si="25"/>
        <v>10672.138800594894</v>
      </c>
      <c r="W46" s="12">
        <f t="shared" si="26"/>
        <v>8.8906753649873639E-3</v>
      </c>
      <c r="X46" s="7">
        <f t="shared" si="27"/>
        <v>9.0235403753804772E-4</v>
      </c>
      <c r="Y46" s="7"/>
      <c r="AA46">
        <f t="shared" si="28"/>
        <v>-3.0446230340965115</v>
      </c>
      <c r="AB46" s="4">
        <f t="shared" si="29"/>
        <v>12.802572525581803</v>
      </c>
      <c r="AC46" t="s">
        <v>325</v>
      </c>
      <c r="AG46" t="str">
        <f>_xlfn.XLOOKUP(C46,Ref!$A$2:$A$35,Ref!$B$2:$B$35)</f>
        <v>10.1139/v68-480</v>
      </c>
      <c r="AQ46" s="57"/>
      <c r="AR46" s="57"/>
      <c r="AS46" s="57"/>
      <c r="AX46" s="2"/>
      <c r="AY46" s="2"/>
      <c r="AZ46" s="2"/>
      <c r="BA46" s="2"/>
    </row>
    <row r="47" spans="1:53" x14ac:dyDescent="0.3">
      <c r="B47" s="3"/>
      <c r="C47" t="s">
        <v>248</v>
      </c>
      <c r="D47" t="s">
        <v>358</v>
      </c>
      <c r="G47" t="s">
        <v>66</v>
      </c>
      <c r="H47" t="s">
        <v>15</v>
      </c>
      <c r="I47" t="s">
        <v>67</v>
      </c>
      <c r="L47" s="1">
        <v>25</v>
      </c>
      <c r="M47" s="1">
        <f t="shared" si="31"/>
        <v>298.14999999999998</v>
      </c>
      <c r="N47" s="81">
        <f>-LOG10(EXP(LN(10^-14)+13.36*(1/298.15-1/M47)/0.0019872))</f>
        <v>14</v>
      </c>
      <c r="O47" s="77">
        <v>10.50908221797323</v>
      </c>
      <c r="P47" s="6">
        <v>7</v>
      </c>
      <c r="Q47" s="10"/>
      <c r="R47" s="10">
        <v>3.4940000000000001E-3</v>
      </c>
      <c r="S47" s="6" t="s">
        <v>152</v>
      </c>
      <c r="T47" s="14">
        <f t="shared" si="24"/>
        <v>3.4940000000000001E-3</v>
      </c>
      <c r="U47" s="14"/>
      <c r="V47" s="13">
        <f t="shared" si="25"/>
        <v>34940</v>
      </c>
      <c r="W47" s="12">
        <f t="shared" si="26"/>
        <v>2.2960895283447059E-3</v>
      </c>
      <c r="X47" s="7">
        <f t="shared" si="27"/>
        <v>3.4940000000000006E-3</v>
      </c>
      <c r="Y47" s="7"/>
      <c r="AA47">
        <f t="shared" si="28"/>
        <v>-2.456677099353088</v>
      </c>
      <c r="AB47" s="4">
        <f>W47*1440</f>
        <v>3.3063689208163765</v>
      </c>
      <c r="AC47" t="s">
        <v>325</v>
      </c>
      <c r="AD47" s="21">
        <f>AVERAGE(W46:W47)</f>
        <v>5.5933824466660349E-3</v>
      </c>
      <c r="AE47" s="21">
        <f>MEDIAN(W46:W47)</f>
        <v>5.5933824466660349E-3</v>
      </c>
      <c r="AF47" s="60">
        <f>STDEV(W46:W47)</f>
        <v>4.6630763642067866E-3</v>
      </c>
      <c r="AG47" t="str">
        <f>_xlfn.XLOOKUP(C47,Ref!$A$2:$A$35,Ref!$B$2:$B$35)</f>
        <v>https://srd.nist.gov/jpcrdreprint/1.555572.pdf</v>
      </c>
    </row>
    <row r="48" spans="1:53" x14ac:dyDescent="0.3">
      <c r="C48" t="s">
        <v>64</v>
      </c>
      <c r="D48" t="s">
        <v>68</v>
      </c>
      <c r="G48" t="s">
        <v>69</v>
      </c>
      <c r="H48" t="s">
        <v>15</v>
      </c>
      <c r="I48" t="s">
        <v>3</v>
      </c>
      <c r="L48">
        <v>14.95</v>
      </c>
      <c r="M48" s="1">
        <f t="shared" si="31"/>
        <v>288.09999999999997</v>
      </c>
      <c r="N48" s="81">
        <f t="shared" si="30"/>
        <v>14.341615195730386</v>
      </c>
      <c r="O48" s="77">
        <v>25.44</v>
      </c>
      <c r="P48" s="6">
        <v>7</v>
      </c>
      <c r="R48" s="10">
        <v>2.9149999999999998E-4</v>
      </c>
      <c r="S48" s="6" t="s">
        <v>152</v>
      </c>
      <c r="T48" s="14">
        <f t="shared" si="24"/>
        <v>2.9149999999999998E-4</v>
      </c>
      <c r="U48" s="14"/>
      <c r="V48" s="13">
        <f t="shared" si="25"/>
        <v>6401.0873670234805</v>
      </c>
      <c r="W48" s="12">
        <f t="shared" si="26"/>
        <v>6.1542107937528926E-3</v>
      </c>
      <c r="X48" s="7">
        <f t="shared" si="27"/>
        <v>1.3035849893507122E-3</v>
      </c>
      <c r="Y48" s="7"/>
      <c r="AA48">
        <f t="shared" si="28"/>
        <v>-2.8848606490351294</v>
      </c>
      <c r="AB48" s="4">
        <f>W48*1440</f>
        <v>8.8620635430041652</v>
      </c>
      <c r="AC48" t="s">
        <v>325</v>
      </c>
      <c r="AG48" t="str">
        <f>_xlfn.XLOOKUP(C48,Ref!$A$2:$A$35,Ref!$B$2:$B$35)</f>
        <v>10.1139/v68-480</v>
      </c>
      <c r="AQ48" s="57"/>
      <c r="AR48" s="57"/>
      <c r="AS48" s="57"/>
      <c r="AX48" s="2"/>
      <c r="AY48" s="2"/>
      <c r="AZ48" s="2"/>
      <c r="BA48" s="2"/>
    </row>
    <row r="49" spans="1:49" x14ac:dyDescent="0.3">
      <c r="C49" s="1" t="s">
        <v>249</v>
      </c>
      <c r="D49" t="s">
        <v>68</v>
      </c>
      <c r="G49" t="s">
        <v>69</v>
      </c>
      <c r="H49" t="s">
        <v>15</v>
      </c>
      <c r="I49" t="s">
        <v>3</v>
      </c>
      <c r="L49">
        <v>25</v>
      </c>
      <c r="M49" s="1">
        <f t="shared" si="31"/>
        <v>298.14999999999998</v>
      </c>
      <c r="N49" s="81">
        <f t="shared" ref="N49:N58" si="32">-LOG10(EXP(LN(10^-14)+13.36*(1/298.15-1/M49)/0.0019872))</f>
        <v>14</v>
      </c>
      <c r="O49" s="77">
        <v>25.44</v>
      </c>
      <c r="P49" s="6">
        <v>7</v>
      </c>
      <c r="R49" s="10">
        <v>1.4090000000000001E-3</v>
      </c>
      <c r="S49" s="6" t="s">
        <v>152</v>
      </c>
      <c r="T49" s="14">
        <f t="shared" si="24"/>
        <v>1.4090000000000001E-3</v>
      </c>
      <c r="U49" s="14"/>
      <c r="V49" s="13">
        <f t="shared" si="25"/>
        <v>14090.000000000002</v>
      </c>
      <c r="W49" s="12">
        <f t="shared" si="26"/>
        <v>5.6937805621266168E-3</v>
      </c>
      <c r="X49" s="7">
        <f t="shared" si="27"/>
        <v>1.4090000000000001E-3</v>
      </c>
      <c r="Y49" s="7"/>
      <c r="AA49">
        <f t="shared" si="28"/>
        <v>-2.8510890068906436</v>
      </c>
      <c r="AB49" s="4">
        <f>W49*1440</f>
        <v>8.1990440094623285</v>
      </c>
      <c r="AC49" t="s">
        <v>325</v>
      </c>
      <c r="AD49" s="21"/>
      <c r="AE49" s="21"/>
      <c r="AG49" t="str">
        <f>_xlfn.XLOOKUP(C49,Ref!$A$2:$A$35,Ref!$B$2:$B$35)</f>
        <v>10.1139/v72-351</v>
      </c>
    </row>
    <row r="50" spans="1:49" x14ac:dyDescent="0.3">
      <c r="C50" s="1" t="s">
        <v>249</v>
      </c>
      <c r="D50" t="s">
        <v>68</v>
      </c>
      <c r="G50" t="s">
        <v>69</v>
      </c>
      <c r="H50" t="s">
        <v>15</v>
      </c>
      <c r="I50" t="s">
        <v>3</v>
      </c>
      <c r="L50">
        <v>24.777000000000001</v>
      </c>
      <c r="M50" s="1">
        <f t="shared" si="31"/>
        <v>297.92699999999996</v>
      </c>
      <c r="N50" s="81">
        <f t="shared" si="32"/>
        <v>14.00733009117862</v>
      </c>
      <c r="O50" s="77">
        <v>25.44</v>
      </c>
      <c r="P50" s="6">
        <v>7</v>
      </c>
      <c r="R50" s="10">
        <v>1.32E-3</v>
      </c>
      <c r="S50" s="6" t="s">
        <v>152</v>
      </c>
      <c r="T50" s="14">
        <f t="shared" si="24"/>
        <v>1.32E-3</v>
      </c>
      <c r="U50" s="14"/>
      <c r="V50" s="13">
        <f t="shared" si="25"/>
        <v>13424.6824739847</v>
      </c>
      <c r="W50" s="12">
        <f t="shared" si="26"/>
        <v>5.8854529094809751E-3</v>
      </c>
      <c r="X50" s="7">
        <f t="shared" si="27"/>
        <v>1.3631129048900833E-3</v>
      </c>
      <c r="Y50" s="7"/>
      <c r="AA50">
        <f t="shared" si="28"/>
        <v>-2.86546817062169</v>
      </c>
      <c r="AB50" s="4">
        <f>W50*1440</f>
        <v>8.4750521896526045</v>
      </c>
      <c r="AC50" t="s">
        <v>325</v>
      </c>
      <c r="AD50" s="21">
        <f>AVERAGE(W48:W50)</f>
        <v>5.9111480884534951E-3</v>
      </c>
      <c r="AE50" s="21">
        <f>MEDIAN(W48:W50)</f>
        <v>5.8854529094809751E-3</v>
      </c>
      <c r="AF50" s="60">
        <f>STDEV(W48:W50)</f>
        <v>2.3128809138319004E-4</v>
      </c>
      <c r="AG50" t="str">
        <f>_xlfn.XLOOKUP(C50,Ref!$A$2:$A$35,Ref!$B$2:$B$35)</f>
        <v>10.1139/v72-351</v>
      </c>
    </row>
    <row r="51" spans="1:49" x14ac:dyDescent="0.3">
      <c r="B51" s="1" t="s">
        <v>250</v>
      </c>
      <c r="C51" t="s">
        <v>251</v>
      </c>
      <c r="D51" t="s">
        <v>252</v>
      </c>
      <c r="G51" t="s">
        <v>253</v>
      </c>
      <c r="H51" t="s">
        <v>15</v>
      </c>
      <c r="I51" t="s">
        <v>361</v>
      </c>
      <c r="L51">
        <v>5.05</v>
      </c>
      <c r="M51" s="1">
        <f t="shared" si="31"/>
        <v>278.2</v>
      </c>
      <c r="N51" s="81">
        <f t="shared" si="32"/>
        <v>14.702263588922387</v>
      </c>
      <c r="O51" s="77">
        <v>14.34</v>
      </c>
      <c r="P51" s="6">
        <v>7</v>
      </c>
      <c r="R51" s="10">
        <v>7.9959999999999996E-3</v>
      </c>
      <c r="S51" s="6" t="s">
        <v>152</v>
      </c>
      <c r="T51" s="14">
        <f t="shared" si="24"/>
        <v>7.9959999999999996E-3</v>
      </c>
      <c r="U51" s="14"/>
      <c r="V51" s="13">
        <f t="shared" si="25"/>
        <v>402843.51280325616</v>
      </c>
      <c r="W51" s="12">
        <f t="shared" si="26"/>
        <v>1.7687318531220492E-4</v>
      </c>
      <c r="X51" s="7">
        <f t="shared" si="27"/>
        <v>4.5357563939811163E-2</v>
      </c>
      <c r="Y51" s="7"/>
      <c r="Z51" s="84"/>
      <c r="AA51">
        <f t="shared" si="28"/>
        <v>-1.3433502785399227</v>
      </c>
      <c r="AB51" s="4">
        <f>W51*86400</f>
        <v>15.281843210974506</v>
      </c>
      <c r="AC51" t="s">
        <v>330</v>
      </c>
      <c r="AG51" t="str">
        <f>_xlfn.XLOOKUP(C51,Ref!$A$2:$A$35,Ref!$B$2:$B$35)</f>
        <v>10.1139/v72-303</v>
      </c>
    </row>
    <row r="52" spans="1:49" x14ac:dyDescent="0.3">
      <c r="B52" s="1" t="s">
        <v>250</v>
      </c>
      <c r="C52" t="s">
        <v>251</v>
      </c>
      <c r="D52" t="s">
        <v>254</v>
      </c>
      <c r="G52" t="s">
        <v>357</v>
      </c>
      <c r="H52" t="s">
        <v>15</v>
      </c>
      <c r="I52" t="s">
        <v>364</v>
      </c>
      <c r="L52">
        <v>5.05</v>
      </c>
      <c r="M52" s="1">
        <f t="shared" si="31"/>
        <v>278.2</v>
      </c>
      <c r="N52" s="81">
        <f t="shared" si="32"/>
        <v>14.702263588922387</v>
      </c>
      <c r="O52" s="77">
        <v>14.34</v>
      </c>
      <c r="P52" s="6">
        <v>7</v>
      </c>
      <c r="R52" s="10">
        <v>3.3050000000000002E-3</v>
      </c>
      <c r="S52" s="6" t="s">
        <v>152</v>
      </c>
      <c r="T52" s="14">
        <f t="shared" si="24"/>
        <v>3.3050000000000002E-3</v>
      </c>
      <c r="U52" s="14"/>
      <c r="V52" s="13">
        <f t="shared" si="25"/>
        <v>166507.9802169537</v>
      </c>
      <c r="W52" s="12">
        <f t="shared" si="26"/>
        <v>4.2792072307303806E-4</v>
      </c>
      <c r="X52" s="7">
        <f t="shared" si="27"/>
        <v>1.8747717461365169E-2</v>
      </c>
      <c r="Y52" s="7"/>
      <c r="Z52" s="84"/>
      <c r="AA52">
        <f t="shared" si="28"/>
        <v>-1.727051600164343</v>
      </c>
      <c r="AB52" s="4">
        <f>W52*86400</f>
        <v>36.972350473510488</v>
      </c>
      <c r="AC52" t="s">
        <v>330</v>
      </c>
      <c r="AG52" t="str">
        <f>_xlfn.XLOOKUP(C52,Ref!$A$2:$A$35,Ref!$B$2:$B$35)</f>
        <v>10.1139/v72-303</v>
      </c>
    </row>
    <row r="53" spans="1:49" x14ac:dyDescent="0.3">
      <c r="B53" s="1" t="s">
        <v>250</v>
      </c>
      <c r="C53" t="s">
        <v>251</v>
      </c>
      <c r="D53" t="s">
        <v>255</v>
      </c>
      <c r="G53" t="s">
        <v>256</v>
      </c>
      <c r="H53" t="s">
        <v>15</v>
      </c>
      <c r="I53" t="s">
        <v>365</v>
      </c>
      <c r="L53">
        <v>5.05</v>
      </c>
      <c r="M53" s="1">
        <f t="shared" si="31"/>
        <v>278.2</v>
      </c>
      <c r="N53" s="81">
        <f t="shared" si="32"/>
        <v>14.702263588922387</v>
      </c>
      <c r="O53" s="77">
        <v>14.34</v>
      </c>
      <c r="P53" s="6">
        <v>7</v>
      </c>
      <c r="R53" s="10">
        <v>2.4480000000000001E-3</v>
      </c>
      <c r="S53" s="6" t="s">
        <v>152</v>
      </c>
      <c r="T53" s="14">
        <f t="shared" si="24"/>
        <v>2.4480000000000001E-3</v>
      </c>
      <c r="U53" s="14"/>
      <c r="V53" s="13">
        <f t="shared" si="25"/>
        <v>123331.78080820051</v>
      </c>
      <c r="W53" s="12">
        <f t="shared" si="26"/>
        <v>5.7772793699198985E-4</v>
      </c>
      <c r="X53" s="7">
        <f t="shared" si="27"/>
        <v>1.3886357744454436E-2</v>
      </c>
      <c r="Y53" s="7"/>
      <c r="Z53" s="84"/>
      <c r="AA53">
        <f t="shared" si="28"/>
        <v>-1.8574116505124787</v>
      </c>
      <c r="AB53" s="4">
        <f>W53*86400</f>
        <v>49.91569375610792</v>
      </c>
      <c r="AC53" t="s">
        <v>330</v>
      </c>
      <c r="AG53" t="str">
        <f>_xlfn.XLOOKUP(C53,Ref!$A$2:$A$35,Ref!$B$2:$B$35)</f>
        <v>10.1139/v72-303</v>
      </c>
    </row>
    <row r="54" spans="1:49" x14ac:dyDescent="0.3">
      <c r="B54" s="1" t="s">
        <v>250</v>
      </c>
      <c r="C54" t="s">
        <v>251</v>
      </c>
      <c r="D54" t="s">
        <v>257</v>
      </c>
      <c r="G54" t="s">
        <v>362</v>
      </c>
      <c r="H54" t="s">
        <v>15</v>
      </c>
      <c r="I54" t="s">
        <v>366</v>
      </c>
      <c r="L54">
        <v>5.05</v>
      </c>
      <c r="M54" s="1">
        <f t="shared" si="31"/>
        <v>278.2</v>
      </c>
      <c r="N54" s="81">
        <f t="shared" si="32"/>
        <v>14.702263588922387</v>
      </c>
      <c r="O54" s="77">
        <v>14.34</v>
      </c>
      <c r="P54" s="6">
        <v>7</v>
      </c>
      <c r="R54" s="10">
        <v>1.939E-3</v>
      </c>
      <c r="S54" s="6" t="s">
        <v>152</v>
      </c>
      <c r="T54" s="14">
        <f t="shared" si="24"/>
        <v>1.939E-3</v>
      </c>
      <c r="U54" s="14"/>
      <c r="V54" s="13">
        <f t="shared" si="25"/>
        <v>97688.040435907169</v>
      </c>
      <c r="W54" s="12">
        <f t="shared" si="26"/>
        <v>7.2938524484599866E-4</v>
      </c>
      <c r="X54" s="7">
        <f t="shared" si="27"/>
        <v>1.0999039079451451E-2</v>
      </c>
      <c r="Y54" s="7"/>
      <c r="Z54" s="84"/>
      <c r="AA54">
        <f t="shared" si="28"/>
        <v>-1.958645254907297</v>
      </c>
      <c r="AB54" s="4">
        <f>W54*1440</f>
        <v>1.0503147525782381</v>
      </c>
      <c r="AC54" t="s">
        <v>325</v>
      </c>
      <c r="AG54" t="str">
        <f>_xlfn.XLOOKUP(C54,Ref!$A$2:$A$35,Ref!$B$2:$B$35)</f>
        <v>10.1139/v72-303</v>
      </c>
    </row>
    <row r="55" spans="1:49" x14ac:dyDescent="0.3">
      <c r="B55" s="1" t="s">
        <v>250</v>
      </c>
      <c r="C55" t="s">
        <v>251</v>
      </c>
      <c r="D55" t="s">
        <v>258</v>
      </c>
      <c r="G55" t="s">
        <v>363</v>
      </c>
      <c r="H55" t="s">
        <v>15</v>
      </c>
      <c r="I55" t="s">
        <v>367</v>
      </c>
      <c r="L55">
        <v>5.05</v>
      </c>
      <c r="M55" s="1">
        <f t="shared" si="31"/>
        <v>278.2</v>
      </c>
      <c r="N55" s="81">
        <f t="shared" si="32"/>
        <v>14.702263588922387</v>
      </c>
      <c r="O55" s="77">
        <v>14.34</v>
      </c>
      <c r="P55" s="6">
        <v>7</v>
      </c>
      <c r="R55" s="10">
        <v>3.212E-3</v>
      </c>
      <c r="S55" s="6" t="s">
        <v>152</v>
      </c>
      <c r="T55" s="14">
        <f t="shared" si="24"/>
        <v>3.212E-3</v>
      </c>
      <c r="U55" s="14"/>
      <c r="V55" s="13">
        <f t="shared" si="25"/>
        <v>161822.58168134803</v>
      </c>
      <c r="W55" s="12">
        <f t="shared" si="26"/>
        <v>4.4031070664893876E-4</v>
      </c>
      <c r="X55" s="7">
        <f t="shared" si="27"/>
        <v>1.8220172007838091E-2</v>
      </c>
      <c r="Y55" s="7"/>
      <c r="Z55" s="84"/>
      <c r="AA55">
        <f t="shared" si="28"/>
        <v>-1.739447527379359</v>
      </c>
      <c r="AB55" s="4">
        <f>W55*86400</f>
        <v>38.042845054468309</v>
      </c>
      <c r="AC55" t="s">
        <v>330</v>
      </c>
      <c r="AG55" t="str">
        <f>_xlfn.XLOOKUP(C55,Ref!$A$2:$A$35,Ref!$B$2:$B$35)</f>
        <v>10.1139/v72-303</v>
      </c>
    </row>
    <row r="56" spans="1:49" x14ac:dyDescent="0.3">
      <c r="A56" t="s">
        <v>136</v>
      </c>
      <c r="C56" t="s">
        <v>414</v>
      </c>
      <c r="D56" t="s">
        <v>104</v>
      </c>
      <c r="E56" t="s">
        <v>406</v>
      </c>
      <c r="F56" t="s">
        <v>398</v>
      </c>
      <c r="G56" t="s">
        <v>78</v>
      </c>
      <c r="H56" t="s">
        <v>79</v>
      </c>
      <c r="I56" t="s">
        <v>80</v>
      </c>
      <c r="L56">
        <v>25</v>
      </c>
      <c r="M56" s="1">
        <f t="shared" ref="M56:M61" si="33">273.15+L56</f>
        <v>298.14999999999998</v>
      </c>
      <c r="N56" s="81">
        <f t="shared" si="32"/>
        <v>14</v>
      </c>
      <c r="O56" s="77">
        <v>14.34</v>
      </c>
      <c r="P56" s="6">
        <v>7</v>
      </c>
      <c r="Q56" s="6">
        <f>37.9/24</f>
        <v>1.5791666666666666</v>
      </c>
      <c r="T56" s="13">
        <f t="shared" ref="T56:T64" si="34">(LN(2)/Q56)/(60*60*24)</f>
        <v>5.0802343928462718E-6</v>
      </c>
      <c r="U56" s="13"/>
      <c r="V56" s="13">
        <f t="shared" si="25"/>
        <v>50.802343928462719</v>
      </c>
      <c r="W56" s="12">
        <f t="shared" si="26"/>
        <v>1.5791666666666657</v>
      </c>
      <c r="X56" s="7">
        <f t="shared" si="27"/>
        <v>5.0802343928462752E-6</v>
      </c>
      <c r="Y56" s="7"/>
      <c r="AA56">
        <f t="shared" si="28"/>
        <v>-5.2941162496902212</v>
      </c>
      <c r="AB56" s="4">
        <f t="shared" ref="AB56:AB63" si="35">W56</f>
        <v>1.5791666666666657</v>
      </c>
      <c r="AC56" t="s">
        <v>331</v>
      </c>
      <c r="AG56" t="str">
        <f>_xlfn.XLOOKUP(C56,Ref!$A$2:$A$35,Ref!$B$2:$B$35)</f>
        <v>https://chem.echa.europa.eu/100.037.737/overview?searchText=241-527-8</v>
      </c>
    </row>
    <row r="57" spans="1:49" x14ac:dyDescent="0.3">
      <c r="A57" t="s">
        <v>136</v>
      </c>
      <c r="C57" t="s">
        <v>414</v>
      </c>
      <c r="D57" t="s">
        <v>104</v>
      </c>
      <c r="E57" t="s">
        <v>406</v>
      </c>
      <c r="F57" t="s">
        <v>398</v>
      </c>
      <c r="G57" t="s">
        <v>78</v>
      </c>
      <c r="H57" t="s">
        <v>79</v>
      </c>
      <c r="I57" t="s">
        <v>80</v>
      </c>
      <c r="L57">
        <v>50</v>
      </c>
      <c r="M57" s="1">
        <f t="shared" si="33"/>
        <v>323.14999999999998</v>
      </c>
      <c r="N57" s="81">
        <f t="shared" si="32"/>
        <v>13.242382102408241</v>
      </c>
      <c r="O57" s="77">
        <v>14.34</v>
      </c>
      <c r="P57" s="6">
        <v>7</v>
      </c>
      <c r="Q57" s="6">
        <f>32.9/24</f>
        <v>1.3708333333333333</v>
      </c>
      <c r="T57" s="13">
        <f t="shared" si="34"/>
        <v>5.8523064890235162E-6</v>
      </c>
      <c r="U57" s="13"/>
      <c r="V57" s="13">
        <f t="shared" si="25"/>
        <v>10.226079500536521</v>
      </c>
      <c r="W57" s="12">
        <f t="shared" ref="W57:W64" si="36">(LN(2)/X57)/(60*60*24)</f>
        <v>8.9161285579985741</v>
      </c>
      <c r="X57" s="7">
        <f t="shared" si="27"/>
        <v>8.9977805499893365E-7</v>
      </c>
      <c r="Y57" s="7"/>
      <c r="AA57">
        <f t="shared" si="28"/>
        <v>-6.0458646032010028</v>
      </c>
      <c r="AB57" s="4">
        <f t="shared" si="35"/>
        <v>8.9161285579985741</v>
      </c>
      <c r="AC57" t="s">
        <v>331</v>
      </c>
      <c r="AD57" s="21">
        <f>AVERAGE(W56:W57)</f>
        <v>5.2476476123326199</v>
      </c>
      <c r="AE57" s="21">
        <f>MEDIAN(W56:W57)</f>
        <v>5.2476476123326199</v>
      </c>
      <c r="AF57" s="60">
        <f>STDEV(W56:W57)</f>
        <v>5.1880155066680702</v>
      </c>
      <c r="AG57" t="str">
        <f>_xlfn.XLOOKUP(C57,Ref!$A$2:$A$35,Ref!$B$2:$B$35)</f>
        <v>https://chem.echa.europa.eu/100.037.737/overview?searchText=241-527-8</v>
      </c>
    </row>
    <row r="58" spans="1:49" x14ac:dyDescent="0.3">
      <c r="A58" t="s">
        <v>136</v>
      </c>
      <c r="C58" t="s">
        <v>395</v>
      </c>
      <c r="D58" t="s">
        <v>122</v>
      </c>
      <c r="E58" t="s">
        <v>407</v>
      </c>
      <c r="F58" t="s">
        <v>394</v>
      </c>
      <c r="G58" t="s">
        <v>123</v>
      </c>
      <c r="H58" t="s">
        <v>124</v>
      </c>
      <c r="I58" t="s">
        <v>125</v>
      </c>
      <c r="L58">
        <v>20</v>
      </c>
      <c r="M58" s="1">
        <f t="shared" si="33"/>
        <v>293.14999999999998</v>
      </c>
      <c r="N58" s="81">
        <f t="shared" si="32"/>
        <v>14.167030000755094</v>
      </c>
      <c r="O58" s="77">
        <v>14.34</v>
      </c>
      <c r="P58" s="6">
        <v>7</v>
      </c>
      <c r="Q58" s="6">
        <v>15.7</v>
      </c>
      <c r="T58" s="13">
        <f t="shared" si="34"/>
        <v>5.1098960586219128E-7</v>
      </c>
      <c r="U58" s="13"/>
      <c r="V58" s="13">
        <f t="shared" si="25"/>
        <v>7.506579127795904</v>
      </c>
      <c r="W58" s="12">
        <f t="shared" si="36"/>
        <v>10.390045537796521</v>
      </c>
      <c r="X58" s="7">
        <f t="shared" si="27"/>
        <v>7.7213682874173348E-7</v>
      </c>
      <c r="Y58" s="7"/>
      <c r="AA58">
        <f t="shared" si="28"/>
        <v>-6.1123057324337049</v>
      </c>
      <c r="AB58" s="4">
        <f t="shared" si="35"/>
        <v>10.390045537796521</v>
      </c>
      <c r="AC58" t="s">
        <v>331</v>
      </c>
      <c r="AG58" t="str">
        <f>_xlfn.XLOOKUP(C58,Ref!$A$2:$A$35,Ref!$B$2:$B$35)</f>
        <v>https://chem.echa.europa.eu/100.016.735/overview?searchText=218-407-9</v>
      </c>
    </row>
    <row r="59" spans="1:49" x14ac:dyDescent="0.3">
      <c r="A59" t="s">
        <v>136</v>
      </c>
      <c r="B59" s="1" t="s">
        <v>157</v>
      </c>
      <c r="C59" s="43" t="s">
        <v>400</v>
      </c>
      <c r="D59" t="s">
        <v>105</v>
      </c>
      <c r="E59" t="s">
        <v>408</v>
      </c>
      <c r="F59" t="s">
        <v>399</v>
      </c>
      <c r="G59" t="s">
        <v>106</v>
      </c>
      <c r="H59" t="s">
        <v>79</v>
      </c>
      <c r="I59" t="s">
        <v>107</v>
      </c>
      <c r="L59">
        <v>20</v>
      </c>
      <c r="M59" s="1">
        <f t="shared" si="33"/>
        <v>293.14999999999998</v>
      </c>
      <c r="N59" s="81">
        <f t="shared" ref="N59:N64" si="37">-LOG10(EXP(LN(10^-14)+13.36*(1/298.15-1/M59)/0.0019872))</f>
        <v>14.167030000755094</v>
      </c>
      <c r="O59" s="77">
        <v>14.34</v>
      </c>
      <c r="P59" s="6">
        <v>7</v>
      </c>
      <c r="Q59" s="6">
        <f>325/24</f>
        <v>13.541666666666666</v>
      </c>
      <c r="R59" s="10">
        <v>5.9200000000000001E-7</v>
      </c>
      <c r="S59" s="6" t="s">
        <v>152</v>
      </c>
      <c r="T59" s="13">
        <f>R59</f>
        <v>5.9200000000000001E-7</v>
      </c>
      <c r="U59" s="13"/>
      <c r="V59" s="13">
        <f t="shared" si="25"/>
        <v>8.696644300928595</v>
      </c>
      <c r="W59" s="12">
        <f t="shared" si="36"/>
        <v>8.9682521524474055</v>
      </c>
      <c r="X59" s="7">
        <f t="shared" si="27"/>
        <v>8.9454853361221355E-7</v>
      </c>
      <c r="Y59" s="7"/>
      <c r="AA59">
        <f t="shared" si="28"/>
        <v>-6.0483960918677964</v>
      </c>
      <c r="AB59" s="4">
        <f t="shared" si="35"/>
        <v>8.9682521524474055</v>
      </c>
      <c r="AC59" t="s">
        <v>331</v>
      </c>
      <c r="AG59" t="str">
        <f>_xlfn.XLOOKUP(C59,Ref!$A$2:$A$35,Ref!$B$2:$B$35)</f>
        <v>https://chem.echa.europa.eu/substance-search?searchText=288-003-5</v>
      </c>
    </row>
    <row r="60" spans="1:49" x14ac:dyDescent="0.3">
      <c r="A60" t="s">
        <v>136</v>
      </c>
      <c r="B60" s="1" t="s">
        <v>229</v>
      </c>
      <c r="C60" s="43" t="s">
        <v>400</v>
      </c>
      <c r="D60" t="s">
        <v>105</v>
      </c>
      <c r="E60" t="s">
        <v>408</v>
      </c>
      <c r="F60" t="s">
        <v>399</v>
      </c>
      <c r="G60" t="s">
        <v>106</v>
      </c>
      <c r="H60" t="s">
        <v>79</v>
      </c>
      <c r="I60" t="s">
        <v>107</v>
      </c>
      <c r="L60">
        <v>30</v>
      </c>
      <c r="M60" s="1">
        <f t="shared" si="33"/>
        <v>303.14999999999998</v>
      </c>
      <c r="N60" s="81">
        <f t="shared" si="37"/>
        <v>13.838479812893434</v>
      </c>
      <c r="O60" s="77">
        <v>14.34</v>
      </c>
      <c r="P60" s="6">
        <v>7</v>
      </c>
      <c r="Q60" s="6">
        <f>160/24</f>
        <v>6.666666666666667</v>
      </c>
      <c r="R60" s="10">
        <v>1.1999999999999999E-6</v>
      </c>
      <c r="S60" s="6" t="s">
        <v>152</v>
      </c>
      <c r="T60" s="13">
        <f>R60</f>
        <v>1.1999999999999999E-6</v>
      </c>
      <c r="U60" s="13"/>
      <c r="V60" s="13">
        <f t="shared" si="25"/>
        <v>8.2729625608777564</v>
      </c>
      <c r="W60" s="12">
        <f t="shared" si="36"/>
        <v>9.9654909090892172</v>
      </c>
      <c r="X60" s="7">
        <f t="shared" si="27"/>
        <v>8.0503177266654227E-7</v>
      </c>
      <c r="Y60" s="7"/>
      <c r="AA60">
        <f t="shared" si="28"/>
        <v>-6.0941869787359195</v>
      </c>
      <c r="AB60" s="4">
        <f t="shared" si="35"/>
        <v>9.9654909090892172</v>
      </c>
      <c r="AC60" t="s">
        <v>331</v>
      </c>
      <c r="AD60" s="21">
        <f>AVERAGE(W59:W60)</f>
        <v>9.4668715307683122</v>
      </c>
      <c r="AE60" s="21">
        <f>MEDIAN(W59:W60)</f>
        <v>9.4668715307683122</v>
      </c>
      <c r="AF60" s="60">
        <f>STDEV(W59:W60)</f>
        <v>0.7051542872834663</v>
      </c>
      <c r="AG60" t="str">
        <f>_xlfn.XLOOKUP(C60,Ref!$A$2:$A$35,Ref!$B$2:$B$35)</f>
        <v>https://chem.echa.europa.eu/substance-search?searchText=288-003-5</v>
      </c>
    </row>
    <row r="61" spans="1:49" x14ac:dyDescent="0.3">
      <c r="A61" t="s">
        <v>136</v>
      </c>
      <c r="B61" s="1" t="s">
        <v>157</v>
      </c>
      <c r="C61" s="43" t="s">
        <v>400</v>
      </c>
      <c r="D61" t="s">
        <v>108</v>
      </c>
      <c r="E61" t="s">
        <v>409</v>
      </c>
      <c r="F61" t="s">
        <v>402</v>
      </c>
      <c r="G61" t="s">
        <v>109</v>
      </c>
      <c r="H61" t="s">
        <v>79</v>
      </c>
      <c r="I61" t="s">
        <v>110</v>
      </c>
      <c r="L61">
        <v>30</v>
      </c>
      <c r="M61" s="1">
        <f t="shared" si="33"/>
        <v>303.14999999999998</v>
      </c>
      <c r="N61" s="81">
        <f t="shared" si="37"/>
        <v>13.838479812893434</v>
      </c>
      <c r="O61" s="77">
        <v>14.34</v>
      </c>
      <c r="P61" s="6">
        <v>7</v>
      </c>
      <c r="Q61" s="6">
        <f>1303/24</f>
        <v>54.291666666666664</v>
      </c>
      <c r="R61" s="10">
        <v>1.48E-7</v>
      </c>
      <c r="S61" s="6" t="s">
        <v>152</v>
      </c>
      <c r="T61" s="13">
        <f>R61</f>
        <v>1.48E-7</v>
      </c>
      <c r="U61" s="13"/>
      <c r="V61" s="13">
        <f t="shared" si="25"/>
        <v>1.0203320491749233</v>
      </c>
      <c r="W61" s="12">
        <f t="shared" si="36"/>
        <v>80.801277641263951</v>
      </c>
      <c r="X61" s="7">
        <f t="shared" si="27"/>
        <v>9.9287251962206841E-8</v>
      </c>
      <c r="Y61" s="7"/>
      <c r="AA61">
        <f t="shared" si="28"/>
        <v>-7.0031065093885871</v>
      </c>
      <c r="AB61" s="4">
        <f t="shared" si="35"/>
        <v>80.801277641263951</v>
      </c>
      <c r="AC61" t="s">
        <v>331</v>
      </c>
      <c r="AD61" s="21"/>
      <c r="AE61" s="21"/>
      <c r="AG61" t="str">
        <f>_xlfn.XLOOKUP(C61,Ref!$A$2:$A$35,Ref!$B$2:$B$35)</f>
        <v>https://chem.echa.europa.eu/substance-search?searchText=288-003-5</v>
      </c>
    </row>
    <row r="62" spans="1:49" x14ac:dyDescent="0.3">
      <c r="A62" s="3" t="s">
        <v>136</v>
      </c>
      <c r="B62" s="3" t="s">
        <v>377</v>
      </c>
      <c r="C62" t="s">
        <v>392</v>
      </c>
      <c r="D62" s="43" t="s">
        <v>391</v>
      </c>
      <c r="E62" s="43" t="s">
        <v>412</v>
      </c>
      <c r="F62" s="43" t="s">
        <v>386</v>
      </c>
      <c r="G62" t="s">
        <v>98</v>
      </c>
      <c r="H62" t="s">
        <v>72</v>
      </c>
      <c r="I62" t="s">
        <v>99</v>
      </c>
      <c r="J62" s="3" t="s">
        <v>271</v>
      </c>
      <c r="L62">
        <v>50</v>
      </c>
      <c r="M62" s="1">
        <f>273.15+L62</f>
        <v>323.14999999999998</v>
      </c>
      <c r="N62" s="81">
        <f t="shared" si="37"/>
        <v>13.242382102408241</v>
      </c>
      <c r="O62" s="77">
        <v>14.34</v>
      </c>
      <c r="P62" s="6">
        <v>7</v>
      </c>
      <c r="Q62" s="6">
        <v>22.077999999999999</v>
      </c>
      <c r="T62" s="13">
        <f t="shared" si="34"/>
        <v>3.6337244370125929E-7</v>
      </c>
      <c r="U62" s="13"/>
      <c r="V62" s="13">
        <f t="shared" si="25"/>
        <v>0.63494205311405683</v>
      </c>
      <c r="W62" s="12">
        <f t="shared" si="36"/>
        <v>143.59899304814076</v>
      </c>
      <c r="X62" s="7">
        <f t="shared" si="27"/>
        <v>5.586763974972229E-8</v>
      </c>
      <c r="Y62" s="7"/>
      <c r="AA62">
        <f t="shared" si="28"/>
        <v>-7.2528396759697769</v>
      </c>
      <c r="AB62" s="4">
        <f t="shared" si="35"/>
        <v>143.59899304814076</v>
      </c>
      <c r="AC62" t="s">
        <v>331</v>
      </c>
      <c r="AG62" t="str">
        <f>_xlfn.XLOOKUP(C62,Ref!$A$2:$A$35,Ref!$B$2:$B$35)</f>
        <v>https://chem.echa.europa.eu/100.060.648/dossier-list/reach/dossiers/not_active?searchText=266-733-5</v>
      </c>
    </row>
    <row r="63" spans="1:49" x14ac:dyDescent="0.3">
      <c r="A63" s="3" t="s">
        <v>136</v>
      </c>
      <c r="B63" s="3" t="s">
        <v>376</v>
      </c>
      <c r="C63" t="s">
        <v>385</v>
      </c>
      <c r="D63" t="s">
        <v>101</v>
      </c>
      <c r="E63" t="s">
        <v>411</v>
      </c>
      <c r="F63" t="s">
        <v>397</v>
      </c>
      <c r="G63" t="s">
        <v>102</v>
      </c>
      <c r="H63" t="s">
        <v>72</v>
      </c>
      <c r="I63" t="s">
        <v>103</v>
      </c>
      <c r="J63" s="3" t="s">
        <v>271</v>
      </c>
      <c r="L63">
        <v>50</v>
      </c>
      <c r="M63" s="1">
        <f>273.15+L63</f>
        <v>323.14999999999998</v>
      </c>
      <c r="N63" s="81">
        <f>-LOG10(EXP(LN(10^-14)+13.36*(1/298.15-1/M63)/0.0019872))</f>
        <v>13.242382102408241</v>
      </c>
      <c r="O63" s="77">
        <v>14.34</v>
      </c>
      <c r="P63" s="6">
        <v>7</v>
      </c>
      <c r="Q63" s="6">
        <v>9.9</v>
      </c>
      <c r="T63" s="13">
        <f t="shared" si="34"/>
        <v>8.1035725374105086E-7</v>
      </c>
      <c r="U63" s="13"/>
      <c r="V63" s="13">
        <f t="shared" si="25"/>
        <v>1.4159849140052676</v>
      </c>
      <c r="W63" s="12">
        <f t="shared" si="36"/>
        <v>64.391250619466987</v>
      </c>
      <c r="X63" s="7">
        <f t="shared" si="27"/>
        <v>1.2459047983781513E-7</v>
      </c>
      <c r="Y63" s="7"/>
      <c r="AA63">
        <f t="shared" si="28"/>
        <v>-6.9045151415601858</v>
      </c>
      <c r="AB63" s="4">
        <f t="shared" si="35"/>
        <v>64.391250619466987</v>
      </c>
      <c r="AC63" t="s">
        <v>331</v>
      </c>
      <c r="AD63" s="21"/>
      <c r="AE63" s="21"/>
      <c r="AG63" t="str">
        <f>_xlfn.XLOOKUP(C63,Ref!$A$2:$A$35,Ref!$B$2:$B$35)</f>
        <v>10.1039/C0EM00295J</v>
      </c>
      <c r="AH63" s="11"/>
    </row>
    <row r="64" spans="1:49" x14ac:dyDescent="0.3">
      <c r="A64" s="3" t="s">
        <v>136</v>
      </c>
      <c r="C64" t="s">
        <v>381</v>
      </c>
      <c r="D64" t="s">
        <v>375</v>
      </c>
      <c r="E64" t="s">
        <v>410</v>
      </c>
      <c r="F64" t="s">
        <v>384</v>
      </c>
      <c r="G64" t="s">
        <v>327</v>
      </c>
      <c r="H64" t="s">
        <v>72</v>
      </c>
      <c r="I64" t="s">
        <v>328</v>
      </c>
      <c r="J64" s="3" t="s">
        <v>271</v>
      </c>
      <c r="L64">
        <v>25</v>
      </c>
      <c r="M64" s="1">
        <f>273.15+L64</f>
        <v>298.14999999999998</v>
      </c>
      <c r="N64" s="81">
        <f t="shared" si="37"/>
        <v>14</v>
      </c>
      <c r="O64" s="78"/>
      <c r="P64" s="6">
        <v>7</v>
      </c>
      <c r="Q64" s="6">
        <v>35</v>
      </c>
      <c r="R64" s="10"/>
      <c r="T64" s="13">
        <f t="shared" si="34"/>
        <v>2.292153374867544E-7</v>
      </c>
      <c r="U64" s="13"/>
      <c r="V64" s="13">
        <f t="shared" si="25"/>
        <v>2.292153374867544</v>
      </c>
      <c r="W64" s="12">
        <f t="shared" si="36"/>
        <v>35.000000000000014</v>
      </c>
      <c r="X64" s="7">
        <f t="shared" si="27"/>
        <v>2.2921533748675432E-7</v>
      </c>
      <c r="Y64" s="7"/>
      <c r="AA64">
        <f t="shared" si="28"/>
        <v>-6.6397563257840311</v>
      </c>
      <c r="AB64" s="4">
        <f>W64</f>
        <v>35.000000000000014</v>
      </c>
      <c r="AC64" t="s">
        <v>331</v>
      </c>
      <c r="AG64" t="str">
        <f>_xlfn.XLOOKUP(C64,Ref!$A$2:$A$35,Ref!$B$2:$B$35)</f>
        <v>https://repository.tudelft.nl/file/File_d9e2177d-6a2a-4177-8cee-8518de637cae</v>
      </c>
      <c r="AK64"/>
      <c r="AL64"/>
      <c r="AM64"/>
      <c r="AN64"/>
      <c r="AO64"/>
      <c r="AP64"/>
      <c r="AQ64"/>
      <c r="AR64"/>
      <c r="AS64"/>
      <c r="AT64"/>
      <c r="AU64"/>
      <c r="AV64"/>
      <c r="AW64"/>
    </row>
    <row r="65" spans="1:35" s="1" customFormat="1" x14ac:dyDescent="0.3">
      <c r="A65" s="1" t="s">
        <v>164</v>
      </c>
      <c r="B65" s="1" t="s">
        <v>154</v>
      </c>
      <c r="C65" s="1" t="s">
        <v>17</v>
      </c>
      <c r="D65" s="1" t="s">
        <v>18</v>
      </c>
      <c r="G65" s="1" t="s">
        <v>19</v>
      </c>
      <c r="H65" s="1" t="s">
        <v>15</v>
      </c>
      <c r="I65" s="1" t="s">
        <v>2</v>
      </c>
      <c r="L65" s="1">
        <v>24.9</v>
      </c>
      <c r="M65" s="1">
        <f t="shared" ref="M65:M73" si="38">273.15+L65</f>
        <v>298.04999999999995</v>
      </c>
      <c r="N65" s="81">
        <f t="shared" ref="N65:N73" si="39">-LOG10(EXP(LN(10^-14)+13.36*(1/298.15-1/M65)/0.0019872))</f>
        <v>14.003285679900781</v>
      </c>
      <c r="O65" s="77">
        <v>7.8</v>
      </c>
      <c r="P65" s="6">
        <v>7</v>
      </c>
      <c r="Q65" s="15"/>
      <c r="R65" s="10">
        <v>1.2799999999999999E-4</v>
      </c>
      <c r="S65" s="6" t="s">
        <v>152</v>
      </c>
      <c r="T65" s="14">
        <f>R65</f>
        <v>1.2799999999999999E-4</v>
      </c>
      <c r="U65" s="14"/>
      <c r="V65" s="13">
        <f t="shared" si="25"/>
        <v>1289.7206383355765</v>
      </c>
      <c r="W65" s="12">
        <f t="shared" ref="W65:W73" si="40">(LN(2)/X65)/(60*60*24)</f>
        <v>6.2399838080905275E-2</v>
      </c>
      <c r="X65" s="7">
        <f t="shared" si="27"/>
        <v>1.2856662867673929E-4</v>
      </c>
      <c r="Y65" s="7"/>
      <c r="Z65"/>
      <c r="AA65">
        <f t="shared" si="28"/>
        <v>-3.8908717441825154</v>
      </c>
      <c r="AB65" s="4">
        <f t="shared" ref="AB65:AB71" si="41">W65*24</f>
        <v>1.4975961139417266</v>
      </c>
      <c r="AC65" t="s">
        <v>326</v>
      </c>
      <c r="AD65" s="21"/>
      <c r="AE65" s="21"/>
      <c r="AF65" s="60"/>
      <c r="AG65" t="str">
        <f>_xlfn.XLOOKUP(C65,Ref!$A$2:$A$35,Ref!$B$2:$B$35)</f>
        <v>10.1021/ja01558a012</v>
      </c>
      <c r="AH65"/>
      <c r="AI65"/>
    </row>
    <row r="66" spans="1:35" x14ac:dyDescent="0.3">
      <c r="A66" s="1" t="s">
        <v>164</v>
      </c>
      <c r="B66" s="1" t="s">
        <v>154</v>
      </c>
      <c r="C66" t="s">
        <v>17</v>
      </c>
      <c r="D66" t="s">
        <v>20</v>
      </c>
      <c r="G66" t="s">
        <v>21</v>
      </c>
      <c r="H66" t="s">
        <v>15</v>
      </c>
      <c r="I66" t="s">
        <v>4</v>
      </c>
      <c r="L66">
        <v>24.9</v>
      </c>
      <c r="M66" s="1">
        <f t="shared" si="38"/>
        <v>298.04999999999995</v>
      </c>
      <c r="N66" s="81">
        <f t="shared" si="39"/>
        <v>14.003285679900781</v>
      </c>
      <c r="O66" s="77">
        <v>7.3</v>
      </c>
      <c r="P66" s="6">
        <v>7</v>
      </c>
      <c r="R66" s="10">
        <v>3.9900000000000001E-5</v>
      </c>
      <c r="S66" s="6" t="s">
        <v>152</v>
      </c>
      <c r="T66" s="14">
        <f t="shared" ref="T66:T73" si="42">R66</f>
        <v>3.9900000000000001E-5</v>
      </c>
      <c r="U66" s="14"/>
      <c r="V66" s="13">
        <f t="shared" si="25"/>
        <v>402.03010523116802</v>
      </c>
      <c r="W66" s="12">
        <f t="shared" si="40"/>
        <v>0.20023661908412271</v>
      </c>
      <c r="X66" s="7">
        <f t="shared" si="27"/>
        <v>4.0065283007330465E-5</v>
      </c>
      <c r="Y66" s="7"/>
      <c r="AA66">
        <f t="shared" si="28"/>
        <v>-4.3972317852057898</v>
      </c>
      <c r="AB66" s="4">
        <f t="shared" si="41"/>
        <v>4.8056788580189451</v>
      </c>
      <c r="AC66" t="s">
        <v>326</v>
      </c>
      <c r="AG66" t="str">
        <f>_xlfn.XLOOKUP(C66,Ref!$A$2:$A$35,Ref!$B$2:$B$35)</f>
        <v>10.1021/ja01558a012</v>
      </c>
    </row>
    <row r="67" spans="1:35" x14ac:dyDescent="0.3">
      <c r="A67" s="1" t="s">
        <v>164</v>
      </c>
      <c r="B67" s="1" t="s">
        <v>154</v>
      </c>
      <c r="C67" t="s">
        <v>17</v>
      </c>
      <c r="D67" t="s">
        <v>22</v>
      </c>
      <c r="G67" t="s">
        <v>23</v>
      </c>
      <c r="H67" t="s">
        <v>15</v>
      </c>
      <c r="I67" t="s">
        <v>24</v>
      </c>
      <c r="L67">
        <v>24.9</v>
      </c>
      <c r="M67" s="1">
        <f t="shared" si="38"/>
        <v>298.04999999999995</v>
      </c>
      <c r="N67" s="81">
        <f t="shared" si="39"/>
        <v>14.003285679900781</v>
      </c>
      <c r="O67" s="77">
        <v>8.6999999999999993</v>
      </c>
      <c r="P67" s="6">
        <v>7</v>
      </c>
      <c r="R67" s="10">
        <v>2.69E-5</v>
      </c>
      <c r="S67" s="6" t="s">
        <v>152</v>
      </c>
      <c r="T67" s="14">
        <f t="shared" si="42"/>
        <v>2.69E-5</v>
      </c>
      <c r="U67" s="14"/>
      <c r="V67" s="13">
        <f t="shared" si="25"/>
        <v>271.04285290021102</v>
      </c>
      <c r="W67" s="12">
        <f t="shared" si="40"/>
        <v>0.29676987357171514</v>
      </c>
      <c r="X67" s="7">
        <f t="shared" si="27"/>
        <v>2.703285449928845E-5</v>
      </c>
      <c r="Y67" s="7"/>
      <c r="AA67">
        <f t="shared" si="28"/>
        <v>-4.5681080931160967</v>
      </c>
      <c r="AB67" s="4">
        <f t="shared" si="41"/>
        <v>7.1224769657211633</v>
      </c>
      <c r="AC67" t="s">
        <v>326</v>
      </c>
      <c r="AG67" t="str">
        <f>_xlfn.XLOOKUP(C67,Ref!$A$2:$A$35,Ref!$B$2:$B$35)</f>
        <v>10.1021/ja01558a012</v>
      </c>
    </row>
    <row r="68" spans="1:35" x14ac:dyDescent="0.3">
      <c r="A68" s="1" t="s">
        <v>164</v>
      </c>
      <c r="B68" s="1" t="s">
        <v>154</v>
      </c>
      <c r="C68" t="s">
        <v>17</v>
      </c>
      <c r="D68" t="s">
        <v>25</v>
      </c>
      <c r="G68" t="s">
        <v>26</v>
      </c>
      <c r="H68" t="s">
        <v>15</v>
      </c>
      <c r="I68" t="s">
        <v>5</v>
      </c>
      <c r="L68">
        <v>24.9</v>
      </c>
      <c r="M68" s="1">
        <f t="shared" si="38"/>
        <v>298.04999999999995</v>
      </c>
      <c r="N68" s="81">
        <f t="shared" si="39"/>
        <v>14.003285679900781</v>
      </c>
      <c r="O68" s="77">
        <v>8.3000000000000007</v>
      </c>
      <c r="P68" s="6">
        <v>7</v>
      </c>
      <c r="R68" s="10">
        <v>2.2799999999999999E-5</v>
      </c>
      <c r="S68" s="6" t="s">
        <v>152</v>
      </c>
      <c r="T68" s="14">
        <f t="shared" si="42"/>
        <v>2.2799999999999999E-5</v>
      </c>
      <c r="U68" s="14"/>
      <c r="V68" s="13">
        <f t="shared" si="25"/>
        <v>229.73148870352455</v>
      </c>
      <c r="W68" s="12">
        <f t="shared" si="40"/>
        <v>0.35021570559574972</v>
      </c>
      <c r="X68" s="7">
        <f t="shared" si="27"/>
        <v>2.2907415869283525E-5</v>
      </c>
      <c r="Y68" s="7"/>
      <c r="AA68">
        <f t="shared" si="28"/>
        <v>-4.6400238997677743</v>
      </c>
      <c r="AB68" s="4">
        <f t="shared" si="41"/>
        <v>8.4051769342979927</v>
      </c>
      <c r="AC68" t="s">
        <v>326</v>
      </c>
      <c r="AG68" t="str">
        <f>_xlfn.XLOOKUP(C68,Ref!$A$2:$A$35,Ref!$B$2:$B$35)</f>
        <v>10.1021/ja01558a012</v>
      </c>
    </row>
    <row r="69" spans="1:35" x14ac:dyDescent="0.3">
      <c r="A69" s="1" t="s">
        <v>164</v>
      </c>
      <c r="B69" s="1" t="s">
        <v>154</v>
      </c>
      <c r="C69" t="s">
        <v>17</v>
      </c>
      <c r="D69" t="s">
        <v>27</v>
      </c>
      <c r="G69" t="s">
        <v>28</v>
      </c>
      <c r="H69" t="s">
        <v>15</v>
      </c>
      <c r="I69" t="s">
        <v>29</v>
      </c>
      <c r="L69">
        <v>24.9</v>
      </c>
      <c r="M69" s="1">
        <f t="shared" si="38"/>
        <v>298.04999999999995</v>
      </c>
      <c r="N69" s="81">
        <f t="shared" si="39"/>
        <v>14.003285679900781</v>
      </c>
      <c r="O69" s="77">
        <v>8.8000000000000007</v>
      </c>
      <c r="P69" s="6">
        <v>7</v>
      </c>
      <c r="R69" s="10">
        <v>1.95E-5</v>
      </c>
      <c r="S69" s="6" t="s">
        <v>152</v>
      </c>
      <c r="T69" s="14">
        <f t="shared" si="42"/>
        <v>1.95E-5</v>
      </c>
      <c r="U69" s="14"/>
      <c r="V69" s="13">
        <f t="shared" si="25"/>
        <v>196.48087849643548</v>
      </c>
      <c r="W69" s="12">
        <f t="shared" si="40"/>
        <v>0.40936705338240725</v>
      </c>
      <c r="X69" s="7">
        <f t="shared" si="27"/>
        <v>1.9597416904340391E-5</v>
      </c>
      <c r="Y69" s="7"/>
      <c r="AA69">
        <f t="shared" si="28"/>
        <v>-4.7078011683435559</v>
      </c>
      <c r="AB69" s="4">
        <f t="shared" si="41"/>
        <v>9.8248092811777745</v>
      </c>
      <c r="AC69" t="s">
        <v>326</v>
      </c>
      <c r="AG69" t="str">
        <f>_xlfn.XLOOKUP(C69,Ref!$A$2:$A$35,Ref!$B$2:$B$35)</f>
        <v>10.1021/ja01558a012</v>
      </c>
    </row>
    <row r="70" spans="1:35" x14ac:dyDescent="0.3">
      <c r="A70" s="1" t="s">
        <v>164</v>
      </c>
      <c r="B70" s="1" t="s">
        <v>154</v>
      </c>
      <c r="C70" t="s">
        <v>17</v>
      </c>
      <c r="D70" t="s">
        <v>30</v>
      </c>
      <c r="G70" t="s">
        <v>31</v>
      </c>
      <c r="H70" t="s">
        <v>15</v>
      </c>
      <c r="I70" t="s">
        <v>32</v>
      </c>
      <c r="L70">
        <v>24.9</v>
      </c>
      <c r="M70" s="1">
        <f t="shared" si="38"/>
        <v>298.04999999999995</v>
      </c>
      <c r="N70" s="81">
        <f t="shared" si="39"/>
        <v>14.003285679900781</v>
      </c>
      <c r="O70" s="77">
        <v>8.6999999999999993</v>
      </c>
      <c r="P70" s="6">
        <v>7</v>
      </c>
      <c r="R70" s="10">
        <v>1.7499999999999998E-5</v>
      </c>
      <c r="S70" s="6" t="s">
        <v>152</v>
      </c>
      <c r="T70" s="14">
        <f t="shared" si="42"/>
        <v>1.7499999999999998E-5</v>
      </c>
      <c r="U70" s="14"/>
      <c r="V70" s="13">
        <f t="shared" si="25"/>
        <v>176.32899352244209</v>
      </c>
      <c r="W70" s="12">
        <f t="shared" si="40"/>
        <v>0.45617769137595088</v>
      </c>
      <c r="X70" s="7">
        <f t="shared" si="27"/>
        <v>1.7586429506972032E-5</v>
      </c>
      <c r="Y70" s="7"/>
      <c r="AA70">
        <f t="shared" si="28"/>
        <v>-4.7548223244322099</v>
      </c>
      <c r="AB70" s="4">
        <f t="shared" si="41"/>
        <v>10.94826459302282</v>
      </c>
      <c r="AC70" t="s">
        <v>326</v>
      </c>
      <c r="AG70" t="str">
        <f>_xlfn.XLOOKUP(C70,Ref!$A$2:$A$35,Ref!$B$2:$B$35)</f>
        <v>10.1021/ja01558a012</v>
      </c>
    </row>
    <row r="71" spans="1:35" x14ac:dyDescent="0.3">
      <c r="A71" s="1" t="s">
        <v>164</v>
      </c>
      <c r="B71" s="1" t="s">
        <v>154</v>
      </c>
      <c r="C71" t="s">
        <v>17</v>
      </c>
      <c r="D71" t="s">
        <v>33</v>
      </c>
      <c r="G71" t="s">
        <v>34</v>
      </c>
      <c r="H71" t="s">
        <v>15</v>
      </c>
      <c r="I71" t="s">
        <v>35</v>
      </c>
      <c r="L71">
        <v>24.9</v>
      </c>
      <c r="M71" s="1">
        <f t="shared" si="38"/>
        <v>298.04999999999995</v>
      </c>
      <c r="N71" s="81">
        <f t="shared" si="39"/>
        <v>14.003285679900781</v>
      </c>
      <c r="O71" s="77">
        <v>10.1</v>
      </c>
      <c r="P71" s="6">
        <v>7</v>
      </c>
      <c r="R71" s="10">
        <v>1.33E-5</v>
      </c>
      <c r="S71" s="6" t="s">
        <v>152</v>
      </c>
      <c r="T71" s="14">
        <f t="shared" si="42"/>
        <v>1.33E-5</v>
      </c>
      <c r="U71" s="14"/>
      <c r="V71" s="13">
        <f t="shared" si="25"/>
        <v>134.01003507705599</v>
      </c>
      <c r="W71" s="12">
        <f t="shared" si="40"/>
        <v>0.59975812889583735</v>
      </c>
      <c r="X71" s="7">
        <f t="shared" si="27"/>
        <v>1.3376286915537104E-5</v>
      </c>
      <c r="Y71" s="7"/>
      <c r="AA71">
        <f t="shared" si="28"/>
        <v>-4.8736644243773855</v>
      </c>
      <c r="AB71" s="4">
        <f t="shared" si="41"/>
        <v>14.394195093500096</v>
      </c>
      <c r="AC71" t="s">
        <v>326</v>
      </c>
      <c r="AG71" t="str">
        <f>_xlfn.XLOOKUP(C71,Ref!$A$2:$A$35,Ref!$B$2:$B$35)</f>
        <v>10.1021/ja01558a012</v>
      </c>
    </row>
    <row r="72" spans="1:35" x14ac:dyDescent="0.3">
      <c r="A72" t="s">
        <v>230</v>
      </c>
      <c r="B72" s="1" t="s">
        <v>154</v>
      </c>
      <c r="C72" t="s">
        <v>17</v>
      </c>
      <c r="D72" t="s">
        <v>36</v>
      </c>
      <c r="G72" t="s">
        <v>37</v>
      </c>
      <c r="H72" t="s">
        <v>38</v>
      </c>
      <c r="I72" t="s">
        <v>4</v>
      </c>
      <c r="L72">
        <v>24.9</v>
      </c>
      <c r="M72" s="1">
        <f t="shared" si="38"/>
        <v>298.04999999999995</v>
      </c>
      <c r="N72" s="81">
        <f t="shared" si="39"/>
        <v>14.003285679900781</v>
      </c>
      <c r="O72" s="77">
        <v>11.7</v>
      </c>
      <c r="P72" s="6">
        <v>7</v>
      </c>
      <c r="R72" s="10">
        <v>2.7199999999999998E-6</v>
      </c>
      <c r="S72" s="6" t="s">
        <v>152</v>
      </c>
      <c r="T72" s="14">
        <f t="shared" si="42"/>
        <v>2.7199999999999998E-6</v>
      </c>
      <c r="U72" s="14"/>
      <c r="V72" s="13">
        <f t="shared" si="25"/>
        <v>27.406563564631</v>
      </c>
      <c r="W72" s="12">
        <f t="shared" si="40"/>
        <v>2.9299849209291629</v>
      </c>
      <c r="X72" s="7">
        <f t="shared" si="27"/>
        <v>2.7380812627159462E-6</v>
      </c>
      <c r="Y72" s="7"/>
      <c r="AA72">
        <f t="shared" si="28"/>
        <v>-5.5625536667113771</v>
      </c>
      <c r="AB72" s="4">
        <f>W72</f>
        <v>2.9299849209291629</v>
      </c>
      <c r="AC72" t="s">
        <v>331</v>
      </c>
      <c r="AG72" t="str">
        <f>_xlfn.XLOOKUP(C72,Ref!$A$2:$A$35,Ref!$B$2:$B$35)</f>
        <v>10.1021/ja01558a012</v>
      </c>
    </row>
    <row r="73" spans="1:35" x14ac:dyDescent="0.3">
      <c r="A73" t="s">
        <v>230</v>
      </c>
      <c r="B73" s="1" t="s">
        <v>154</v>
      </c>
      <c r="C73" t="s">
        <v>17</v>
      </c>
      <c r="D73" t="s">
        <v>39</v>
      </c>
      <c r="G73" t="s">
        <v>40</v>
      </c>
      <c r="H73" t="s">
        <v>16</v>
      </c>
      <c r="I73" t="s">
        <v>4</v>
      </c>
      <c r="L73">
        <v>24.9</v>
      </c>
      <c r="M73" s="1">
        <f t="shared" si="38"/>
        <v>298.04999999999995</v>
      </c>
      <c r="N73" s="81">
        <f t="shared" si="39"/>
        <v>14.003285679900781</v>
      </c>
      <c r="O73" s="77">
        <v>12.2</v>
      </c>
      <c r="P73" s="6">
        <v>7</v>
      </c>
      <c r="R73" s="10">
        <v>1.31E-6</v>
      </c>
      <c r="S73" s="6" t="s">
        <v>152</v>
      </c>
      <c r="T73" s="14">
        <f t="shared" si="42"/>
        <v>1.31E-6</v>
      </c>
      <c r="U73" s="14"/>
      <c r="V73" s="13">
        <f t="shared" si="25"/>
        <v>13.199484657965666</v>
      </c>
      <c r="W73" s="12">
        <f t="shared" si="40"/>
        <v>6.0819105240415974</v>
      </c>
      <c r="X73" s="7">
        <f t="shared" si="27"/>
        <v>1.3190816899268039E-6</v>
      </c>
      <c r="Y73" s="7"/>
      <c r="AA73">
        <f t="shared" si="28"/>
        <v>-5.8797283080276559</v>
      </c>
      <c r="AB73" s="4">
        <f>W73</f>
        <v>6.0819105240415974</v>
      </c>
      <c r="AC73" t="s">
        <v>331</v>
      </c>
      <c r="AG73" t="str">
        <f>_xlfn.XLOOKUP(C73,Ref!$A$2:$A$35,Ref!$B$2:$B$35)</f>
        <v>10.1021/ja01558a012</v>
      </c>
    </row>
    <row r="74" spans="1:35" x14ac:dyDescent="0.3">
      <c r="N74" s="81"/>
      <c r="R74" s="10"/>
      <c r="T74" s="14"/>
      <c r="U74" s="14"/>
      <c r="V74" s="14"/>
      <c r="W74" s="12"/>
      <c r="X74" s="7"/>
      <c r="Y74" s="7"/>
      <c r="AB74" s="4"/>
      <c r="AD74" s="61">
        <f>AVERAGE(W40:W73)</f>
        <v>11.030601746185013</v>
      </c>
      <c r="AE74" s="61">
        <f>MEDIAN(W40:W73)</f>
        <v>0.13131822858251399</v>
      </c>
      <c r="AF74" s="61">
        <f>STDEV(W43:W73)</f>
        <v>30.767860648428318</v>
      </c>
      <c r="AH74" s="59"/>
      <c r="AI74" s="2"/>
    </row>
    <row r="75" spans="1:35" x14ac:dyDescent="0.3">
      <c r="B75" s="2" t="s">
        <v>355</v>
      </c>
      <c r="N75" s="81"/>
      <c r="R75" s="10"/>
      <c r="T75" s="14"/>
      <c r="U75" s="14"/>
      <c r="V75" s="14"/>
      <c r="W75" s="12"/>
      <c r="X75" s="7"/>
      <c r="Y75" s="7"/>
      <c r="AB75" s="4"/>
    </row>
    <row r="76" spans="1:35" x14ac:dyDescent="0.3">
      <c r="A76" t="s">
        <v>136</v>
      </c>
      <c r="C76" t="s">
        <v>414</v>
      </c>
      <c r="D76" t="s">
        <v>104</v>
      </c>
      <c r="E76" t="s">
        <v>406</v>
      </c>
      <c r="F76" t="s">
        <v>398</v>
      </c>
      <c r="G76" t="s">
        <v>78</v>
      </c>
      <c r="H76" t="s">
        <v>79</v>
      </c>
      <c r="I76" t="s">
        <v>80</v>
      </c>
      <c r="L76">
        <v>25</v>
      </c>
      <c r="M76" s="1">
        <f t="shared" ref="M76:M80" si="43">273.15+L76</f>
        <v>298.14999999999998</v>
      </c>
      <c r="N76" s="81">
        <f t="shared" ref="N76:N80" si="44">-LOG10(EXP(LN(10^-14)+13.36*(1/298.15-1/M76)/0.0019872))</f>
        <v>14</v>
      </c>
      <c r="O76" s="77">
        <v>14.34</v>
      </c>
      <c r="P76" s="6">
        <v>4</v>
      </c>
      <c r="Q76" s="6">
        <f>37.3/24</f>
        <v>1.5541666666666665</v>
      </c>
      <c r="T76" s="13">
        <f t="shared" ref="T76:T77" si="45">(LN(2)/Q76)/(60*60*24)</f>
        <v>5.1619539809349518E-6</v>
      </c>
      <c r="U76" s="13"/>
      <c r="V76" s="13">
        <f t="shared" ref="V76:V80" si="46">T76*10^($N76-$P76)</f>
        <v>51619.539809349517</v>
      </c>
      <c r="W76" s="16">
        <f t="shared" ref="W76:W80" si="47">(LN(2)/X76)/(60*60*24)</f>
        <v>1.5541666666666656</v>
      </c>
      <c r="X76" s="17">
        <f t="shared" ref="X76:X80" si="48">Y76*10^(4-14)</f>
        <v>5.1619539809349552E-6</v>
      </c>
      <c r="Y76" s="17">
        <f t="shared" ref="Y76:Y80" si="49">EXP(LN(V76)+$O76*(1/$M76-1/298.15)/0.0019872)</f>
        <v>51619.539809349553</v>
      </c>
      <c r="Z76">
        <f t="shared" ref="Z76:Z80" si="50">LOG(Y76)</f>
        <v>4.712814128469164</v>
      </c>
      <c r="AA76">
        <f t="shared" ref="AA76:AA80" si="51">LOG(X76)</f>
        <v>-5.287185871530836</v>
      </c>
      <c r="AB76" s="4">
        <f>W76</f>
        <v>1.5541666666666656</v>
      </c>
      <c r="AC76" t="s">
        <v>331</v>
      </c>
      <c r="AG76" t="str">
        <f>_xlfn.XLOOKUP(C76,Ref!$A$2:$A$35,Ref!$B$2:$B$35)</f>
        <v>https://chem.echa.europa.eu/100.037.737/overview?searchText=241-527-8</v>
      </c>
    </row>
    <row r="77" spans="1:35" x14ac:dyDescent="0.3">
      <c r="A77" t="s">
        <v>136</v>
      </c>
      <c r="B77" t="s">
        <v>6</v>
      </c>
      <c r="C77" t="s">
        <v>414</v>
      </c>
      <c r="D77" t="s">
        <v>104</v>
      </c>
      <c r="E77" t="s">
        <v>406</v>
      </c>
      <c r="F77" t="s">
        <v>398</v>
      </c>
      <c r="G77" t="s">
        <v>78</v>
      </c>
      <c r="H77" t="s">
        <v>79</v>
      </c>
      <c r="I77" t="s">
        <v>80</v>
      </c>
      <c r="L77">
        <v>50</v>
      </c>
      <c r="M77" s="1">
        <f t="shared" si="43"/>
        <v>323.14999999999998</v>
      </c>
      <c r="N77" s="81">
        <f t="shared" si="44"/>
        <v>13.242382102408241</v>
      </c>
      <c r="O77" s="77">
        <v>14.34</v>
      </c>
      <c r="P77" s="6">
        <v>4</v>
      </c>
      <c r="Q77" s="6">
        <f>25.2/24</f>
        <v>1.05</v>
      </c>
      <c r="T77" s="13">
        <f t="shared" si="45"/>
        <v>7.6405112495584789E-6</v>
      </c>
      <c r="U77" s="13"/>
      <c r="V77" s="13">
        <f t="shared" si="46"/>
        <v>13350.714903478231</v>
      </c>
      <c r="W77" s="16">
        <f t="shared" si="47"/>
        <v>39.08398718285013</v>
      </c>
      <c r="X77" s="17">
        <f t="shared" si="48"/>
        <v>2.0526403241572691E-7</v>
      </c>
      <c r="Y77" s="17">
        <f t="shared" si="49"/>
        <v>2052.6403241572689</v>
      </c>
      <c r="Z77">
        <f t="shared" si="50"/>
        <v>3.3123128563756685</v>
      </c>
      <c r="AA77">
        <f t="shared" si="51"/>
        <v>-6.6876871436243315</v>
      </c>
      <c r="AB77" s="4">
        <f>W77</f>
        <v>39.08398718285013</v>
      </c>
      <c r="AC77" t="s">
        <v>331</v>
      </c>
      <c r="AD77" s="21">
        <f>AVERAGE(W76:W77)</f>
        <v>20.319076924758399</v>
      </c>
      <c r="AE77" s="21">
        <f>MEDIAN(W76:W77)</f>
        <v>20.319076924758399</v>
      </c>
      <c r="AF77" s="60">
        <f>STDEV(W76:W77)</f>
        <v>26.537590583707345</v>
      </c>
      <c r="AG77" t="str">
        <f>_xlfn.XLOOKUP(C77,Ref!$A$2:$A$35,Ref!$B$2:$B$35)</f>
        <v>https://chem.echa.europa.eu/100.037.737/overview?searchText=241-527-8</v>
      </c>
      <c r="AH77">
        <f>AVERAGE(Y76:Y77)</f>
        <v>26836.090066753412</v>
      </c>
      <c r="AI77">
        <f>LOG(AH77)</f>
        <v>4.4287192407768075</v>
      </c>
    </row>
    <row r="78" spans="1:35" x14ac:dyDescent="0.3">
      <c r="A78" t="s">
        <v>136</v>
      </c>
      <c r="B78" s="1" t="s">
        <v>157</v>
      </c>
      <c r="C78" s="43" t="s">
        <v>400</v>
      </c>
      <c r="D78" t="s">
        <v>105</v>
      </c>
      <c r="E78" t="s">
        <v>408</v>
      </c>
      <c r="F78" t="s">
        <v>399</v>
      </c>
      <c r="G78" t="s">
        <v>106</v>
      </c>
      <c r="H78" t="s">
        <v>79</v>
      </c>
      <c r="I78" t="s">
        <v>107</v>
      </c>
      <c r="L78">
        <v>20</v>
      </c>
      <c r="M78" s="1">
        <f t="shared" si="43"/>
        <v>293.14999999999998</v>
      </c>
      <c r="N78" s="81">
        <f t="shared" si="44"/>
        <v>14.167030000755094</v>
      </c>
      <c r="O78" s="77">
        <v>14.34</v>
      </c>
      <c r="P78" s="6">
        <v>4</v>
      </c>
      <c r="Q78" s="6">
        <f>208/24</f>
        <v>8.6666666666666661</v>
      </c>
      <c r="R78" s="10">
        <v>9.2500000000000004E-7</v>
      </c>
      <c r="S78" s="6" t="s">
        <v>152</v>
      </c>
      <c r="T78" s="13">
        <f>R78</f>
        <v>9.2500000000000004E-7</v>
      </c>
      <c r="U78" s="13"/>
      <c r="V78" s="13">
        <f t="shared" si="46"/>
        <v>13588.506720200927</v>
      </c>
      <c r="W78" s="16">
        <f t="shared" si="47"/>
        <v>3.9071292994660705</v>
      </c>
      <c r="X78" s="17">
        <f t="shared" si="48"/>
        <v>2.0533072230634203E-6</v>
      </c>
      <c r="Y78" s="17">
        <f t="shared" si="49"/>
        <v>20533.072230634203</v>
      </c>
      <c r="Z78">
        <f t="shared" si="50"/>
        <v>4.3124539349034112</v>
      </c>
      <c r="AA78">
        <f t="shared" si="51"/>
        <v>-5.6875460650965888</v>
      </c>
      <c r="AB78" s="4">
        <f>W78</f>
        <v>3.9071292994660705</v>
      </c>
      <c r="AC78" t="s">
        <v>331</v>
      </c>
      <c r="AG78" t="str">
        <f>_xlfn.XLOOKUP(C78,Ref!$A$2:$A$35,Ref!$B$2:$B$35)</f>
        <v>https://chem.echa.europa.eu/substance-search?searchText=288-003-5</v>
      </c>
    </row>
    <row r="79" spans="1:35" x14ac:dyDescent="0.3">
      <c r="A79" t="s">
        <v>136</v>
      </c>
      <c r="B79" s="1" t="s">
        <v>157</v>
      </c>
      <c r="C79" s="43" t="s">
        <v>400</v>
      </c>
      <c r="D79" t="s">
        <v>105</v>
      </c>
      <c r="E79" t="s">
        <v>408</v>
      </c>
      <c r="F79" t="s">
        <v>399</v>
      </c>
      <c r="G79" t="s">
        <v>106</v>
      </c>
      <c r="H79" t="s">
        <v>79</v>
      </c>
      <c r="I79" t="s">
        <v>107</v>
      </c>
      <c r="L79">
        <v>30</v>
      </c>
      <c r="M79" s="1">
        <f t="shared" si="43"/>
        <v>303.14999999999998</v>
      </c>
      <c r="N79" s="81">
        <f t="shared" si="44"/>
        <v>13.838479812893434</v>
      </c>
      <c r="O79" s="77">
        <v>14.34</v>
      </c>
      <c r="P79" s="6">
        <v>4</v>
      </c>
      <c r="Q79" s="6">
        <f>114/24</f>
        <v>4.75</v>
      </c>
      <c r="R79" s="10">
        <v>1.7E-6</v>
      </c>
      <c r="S79" s="6" t="s">
        <v>152</v>
      </c>
      <c r="T79" s="13">
        <f>R79</f>
        <v>1.7E-6</v>
      </c>
      <c r="U79" s="13"/>
      <c r="V79" s="13">
        <f t="shared" si="46"/>
        <v>11720.03029457684</v>
      </c>
      <c r="W79" s="16">
        <f t="shared" si="47"/>
        <v>10.203547934889393</v>
      </c>
      <c r="X79" s="17">
        <f t="shared" si="48"/>
        <v>7.8624973031239725E-7</v>
      </c>
      <c r="Y79" s="17">
        <f t="shared" si="49"/>
        <v>7862.4973031239724</v>
      </c>
      <c r="Z79">
        <f t="shared" si="50"/>
        <v>3.8955605094881642</v>
      </c>
      <c r="AA79">
        <f t="shared" si="51"/>
        <v>-6.1044394905118358</v>
      </c>
      <c r="AB79" s="4">
        <f>W79</f>
        <v>10.203547934889393</v>
      </c>
      <c r="AC79" t="s">
        <v>331</v>
      </c>
      <c r="AD79" s="21">
        <f>AVERAGE(W78:W79)</f>
        <v>7.0553386171777319</v>
      </c>
      <c r="AE79" s="21">
        <f>MEDIAN(W78:W79)</f>
        <v>7.0553386171777319</v>
      </c>
      <c r="AF79" s="60">
        <f>STDEV(W78:W79)</f>
        <v>4.45224031429718</v>
      </c>
      <c r="AG79" t="str">
        <f>_xlfn.XLOOKUP(C79,Ref!$A$2:$A$35,Ref!$B$2:$B$35)</f>
        <v>https://chem.echa.europa.eu/substance-search?searchText=288-003-5</v>
      </c>
      <c r="AH79">
        <f>AVERAGE(Y78:Y79)</f>
        <v>14197.784766879087</v>
      </c>
      <c r="AI79">
        <f>LOG(AH79)</f>
        <v>4.1522205881457026</v>
      </c>
    </row>
    <row r="80" spans="1:35" x14ac:dyDescent="0.3">
      <c r="B80" s="1" t="s">
        <v>157</v>
      </c>
      <c r="C80" s="43" t="s">
        <v>400</v>
      </c>
      <c r="D80" t="s">
        <v>108</v>
      </c>
      <c r="E80" t="s">
        <v>409</v>
      </c>
      <c r="F80" t="s">
        <v>402</v>
      </c>
      <c r="G80" t="s">
        <v>109</v>
      </c>
      <c r="H80" t="s">
        <v>79</v>
      </c>
      <c r="I80" t="s">
        <v>110</v>
      </c>
      <c r="L80">
        <v>50</v>
      </c>
      <c r="M80" s="1">
        <f t="shared" si="43"/>
        <v>323.14999999999998</v>
      </c>
      <c r="N80" s="81">
        <f t="shared" si="44"/>
        <v>13.242382102408241</v>
      </c>
      <c r="O80" s="77">
        <v>14.34</v>
      </c>
      <c r="P80" s="6">
        <v>4</v>
      </c>
      <c r="Q80" s="6">
        <f>1070/24</f>
        <v>44.583333333333336</v>
      </c>
      <c r="R80" s="10">
        <v>1.8E-7</v>
      </c>
      <c r="S80" s="6" t="s">
        <v>152</v>
      </c>
      <c r="T80" s="13">
        <f>R80</f>
        <v>1.8E-7</v>
      </c>
      <c r="U80" s="13"/>
      <c r="V80" s="13">
        <f t="shared" si="46"/>
        <v>314.52459189363157</v>
      </c>
      <c r="W80" s="16">
        <f t="shared" si="47"/>
        <v>1659.0091319342562</v>
      </c>
      <c r="X80" s="17">
        <f t="shared" si="48"/>
        <v>4.8357399954048745E-9</v>
      </c>
      <c r="Y80" s="17">
        <f t="shared" si="49"/>
        <v>48.357399954048745</v>
      </c>
      <c r="Z80">
        <f t="shared" si="50"/>
        <v>1.6844629419826673</v>
      </c>
      <c r="AA80">
        <f t="shared" si="51"/>
        <v>-8.3155370580173322</v>
      </c>
      <c r="AB80" s="4">
        <f>W80/365</f>
        <v>4.5452304984500165</v>
      </c>
      <c r="AC80" t="s">
        <v>329</v>
      </c>
      <c r="AG80" t="str">
        <f>_xlfn.XLOOKUP(C80,Ref!$A$2:$A$35,Ref!$B$2:$B$35)</f>
        <v>https://chem.echa.europa.eu/substance-search?searchText=288-003-5</v>
      </c>
    </row>
    <row r="81" spans="1:53" x14ac:dyDescent="0.3">
      <c r="A81" t="s">
        <v>136</v>
      </c>
      <c r="B81" s="3" t="s">
        <v>377</v>
      </c>
      <c r="C81" t="s">
        <v>392</v>
      </c>
      <c r="D81" s="43" t="s">
        <v>391</v>
      </c>
      <c r="E81" s="43" t="s">
        <v>412</v>
      </c>
      <c r="F81" s="43" t="s">
        <v>386</v>
      </c>
      <c r="G81" t="s">
        <v>98</v>
      </c>
      <c r="H81" t="s">
        <v>72</v>
      </c>
      <c r="I81" t="s">
        <v>99</v>
      </c>
      <c r="J81" s="3" t="s">
        <v>271</v>
      </c>
      <c r="L81">
        <v>50</v>
      </c>
      <c r="M81" s="1">
        <f>273.15+L81</f>
        <v>323.14999999999998</v>
      </c>
      <c r="N81" s="81">
        <f>-LOG10(EXP(LN(10^-14)+13.36*(1/298.15-1/M81)/0.0019872))</f>
        <v>13.242382102408241</v>
      </c>
      <c r="O81" s="77">
        <v>14.34</v>
      </c>
      <c r="P81" s="6">
        <v>4</v>
      </c>
      <c r="Q81" s="6">
        <f>15.14*365/10</f>
        <v>552.61</v>
      </c>
      <c r="T81" s="13">
        <f>(LN(2)/Q81)/(60*60*24)</f>
        <v>1.4517538249464184E-8</v>
      </c>
      <c r="U81" s="13"/>
      <c r="V81" s="13">
        <f>T81*10^($N81-$P81)</f>
        <v>25.367348851182829</v>
      </c>
      <c r="W81" s="16">
        <f>(LN(2)/X81)/(60*60*24)</f>
        <v>20569.71634010936</v>
      </c>
      <c r="X81" s="17">
        <f>Y81*10^(4-14)</f>
        <v>3.9001689082085569E-10</v>
      </c>
      <c r="Y81" s="17">
        <f>EXP(LN(V81)+$O81*(1/$M81-1/298.15)/0.0019872)</f>
        <v>3.9001689082085567</v>
      </c>
      <c r="Z81">
        <f>LOG(Y81)</f>
        <v>0.59108341582507751</v>
      </c>
      <c r="AA81">
        <f>LOG(X81)</f>
        <v>-9.4089165841749232</v>
      </c>
      <c r="AB81" s="4">
        <f>W81/365</f>
        <v>56.35538723317633</v>
      </c>
      <c r="AC81" t="s">
        <v>329</v>
      </c>
      <c r="AG81" t="str">
        <f>_xlfn.XLOOKUP(C81,Ref!$A$2:$A$35,Ref!$B$2:$B$35)</f>
        <v>https://chem.echa.europa.eu/100.060.648/dossier-list/reach/dossiers/not_active?searchText=266-733-5</v>
      </c>
    </row>
    <row r="82" spans="1:53" x14ac:dyDescent="0.3">
      <c r="A82" t="s">
        <v>136</v>
      </c>
      <c r="B82" s="1" t="s">
        <v>100</v>
      </c>
      <c r="C82" t="s">
        <v>385</v>
      </c>
      <c r="D82" t="s">
        <v>101</v>
      </c>
      <c r="E82" t="s">
        <v>411</v>
      </c>
      <c r="F82" t="s">
        <v>397</v>
      </c>
      <c r="G82" t="s">
        <v>102</v>
      </c>
      <c r="H82" t="s">
        <v>72</v>
      </c>
      <c r="I82" t="s">
        <v>103</v>
      </c>
      <c r="J82" s="3" t="s">
        <v>271</v>
      </c>
      <c r="L82">
        <v>50</v>
      </c>
      <c r="M82" s="1">
        <f>273.15+L82</f>
        <v>323.14999999999998</v>
      </c>
      <c r="N82" s="81">
        <f>-LOG10(EXP(LN(10^-14)+13.36*(1/298.15-1/M82)/0.0019872))</f>
        <v>13.242382102408241</v>
      </c>
      <c r="O82" s="77">
        <v>14.34</v>
      </c>
      <c r="P82" s="6">
        <v>5</v>
      </c>
      <c r="Q82" s="6">
        <v>17.8</v>
      </c>
      <c r="T82" s="13">
        <f>(LN(2)/Q82)/(60*60*24)</f>
        <v>4.5070431528294401E-7</v>
      </c>
      <c r="U82" s="13"/>
      <c r="V82" s="13">
        <f>T82*10^($N82-$P82)</f>
        <v>78.754217127259423</v>
      </c>
      <c r="W82" s="16">
        <f>(LN(2)/X82)/(60*60*24)</f>
        <v>6625.666398616484</v>
      </c>
      <c r="X82" s="17">
        <f>Y82*10^(4-14)</f>
        <v>1.2108271575085039E-9</v>
      </c>
      <c r="Y82" s="17">
        <f>EXP(LN(V82)+$O82*(1/$M82-1/298.15)/0.0019872)</f>
        <v>12.108271575085039</v>
      </c>
      <c r="Z82">
        <f>LOG(Y82)</f>
        <v>1.0830821531367136</v>
      </c>
      <c r="AA82">
        <f>LOG(X82)</f>
        <v>-8.9169178468632868</v>
      </c>
      <c r="AB82" s="4">
        <f>W82/365</f>
        <v>18.152510681141052</v>
      </c>
      <c r="AC82" t="s">
        <v>329</v>
      </c>
      <c r="AG82" t="str">
        <f>_xlfn.XLOOKUP(C82,Ref!$A$2:$A$35,Ref!$B$2:$B$35)</f>
        <v>10.1039/C0EM00295J</v>
      </c>
    </row>
    <row r="83" spans="1:53" x14ac:dyDescent="0.3">
      <c r="A83" s="3" t="s">
        <v>136</v>
      </c>
      <c r="B83" s="3" t="s">
        <v>376</v>
      </c>
      <c r="C83" t="s">
        <v>385</v>
      </c>
      <c r="D83" t="s">
        <v>375</v>
      </c>
      <c r="E83" t="s">
        <v>410</v>
      </c>
      <c r="F83" t="s">
        <v>384</v>
      </c>
      <c r="G83" t="s">
        <v>327</v>
      </c>
      <c r="H83" t="s">
        <v>72</v>
      </c>
      <c r="I83" t="s">
        <v>328</v>
      </c>
      <c r="J83" s="3" t="s">
        <v>271</v>
      </c>
      <c r="L83">
        <v>25</v>
      </c>
      <c r="M83" s="1">
        <f t="shared" ref="M83" si="52">273.15+L83</f>
        <v>298.14999999999998</v>
      </c>
      <c r="N83" s="81">
        <f t="shared" ref="N83" si="53">-LOG10(EXP(LN(10^-14)+13.36*(1/298.15-1/M83)/0.0019872))</f>
        <v>14</v>
      </c>
      <c r="P83" s="6">
        <v>4</v>
      </c>
      <c r="Q83" s="6">
        <v>42</v>
      </c>
      <c r="T83" s="13">
        <f>(LN(2)/Q83)/(60*60*24)</f>
        <v>1.9101278123896201E-7</v>
      </c>
      <c r="U83" s="13"/>
      <c r="V83" s="13">
        <f>T83*10^($N83-$P83)</f>
        <v>1910.1278123896202</v>
      </c>
      <c r="W83" s="16">
        <f>(LN(2)/X83)/(60*60*24)</f>
        <v>42.000000000000007</v>
      </c>
      <c r="X83" s="17">
        <f>Y83*10^(4-14)</f>
        <v>1.9101278123896196E-7</v>
      </c>
      <c r="Y83" s="17">
        <f>EXP(LN(V83)+$O83*(1/$M83-1/298.15)/0.0019872)</f>
        <v>1910.1278123896195</v>
      </c>
      <c r="Z83">
        <f>LOG(Y83)</f>
        <v>3.2810624281683447</v>
      </c>
      <c r="AA83">
        <f>LOG(X83)</f>
        <v>-6.7189375718316553</v>
      </c>
      <c r="AB83" s="4">
        <f>W83</f>
        <v>42.000000000000007</v>
      </c>
      <c r="AC83" t="s">
        <v>331</v>
      </c>
      <c r="AG83" t="str">
        <f>_xlfn.XLOOKUP(C83,Ref!$A$2:$A$35,Ref!$B$2:$B$35)</f>
        <v>10.1039/C0EM00295J</v>
      </c>
    </row>
    <row r="84" spans="1:53" x14ac:dyDescent="0.3">
      <c r="M84" s="1"/>
      <c r="N84" s="81"/>
      <c r="T84" s="13"/>
      <c r="U84" s="13"/>
      <c r="V84" s="13"/>
      <c r="W84" s="12"/>
      <c r="X84" s="7"/>
      <c r="Y84" s="7"/>
      <c r="AB84" s="4"/>
      <c r="AD84" s="61">
        <f>AVERAGE(W76:W80)</f>
        <v>342.75159260362568</v>
      </c>
      <c r="AE84" s="61">
        <f>MEDIAN(W76:W80)</f>
        <v>10.203547934889393</v>
      </c>
      <c r="AF84" s="62">
        <f>STDEV(W76:W80)</f>
        <v>735.9632090358873</v>
      </c>
      <c r="AG84">
        <f>_xlfn.XLOOKUP(C84,Ref!$A$2:$A$35,Ref!$B$2:$B$35)</f>
        <v>0</v>
      </c>
      <c r="AH84" s="2">
        <f>AVERAGE(Y79:Y80)</f>
        <v>3955.4273515390105</v>
      </c>
      <c r="AI84" s="2">
        <f>LOG(AH84)</f>
        <v>3.5971934123314897</v>
      </c>
    </row>
    <row r="85" spans="1:53" x14ac:dyDescent="0.3">
      <c r="B85" s="2" t="s">
        <v>356</v>
      </c>
      <c r="M85" s="1"/>
      <c r="N85" s="81"/>
      <c r="R85" s="10"/>
      <c r="T85" s="14"/>
      <c r="U85" s="14"/>
      <c r="V85" s="14"/>
      <c r="W85" s="12"/>
      <c r="X85" s="7"/>
      <c r="Y85" s="7"/>
      <c r="AB85" s="4"/>
      <c r="AG85">
        <f>_xlfn.XLOOKUP(C85,Ref!$A$2:$A$35,Ref!$B$2:$B$35)</f>
        <v>0</v>
      </c>
      <c r="AQ85" s="57"/>
      <c r="AR85" s="57"/>
      <c r="AS85" s="57"/>
      <c r="AX85" s="2"/>
      <c r="AY85" s="2"/>
      <c r="AZ85" s="2"/>
      <c r="BA85" s="2"/>
    </row>
    <row r="86" spans="1:53" x14ac:dyDescent="0.3">
      <c r="B86" s="1"/>
      <c r="C86" t="s">
        <v>260</v>
      </c>
      <c r="D86" t="s">
        <v>85</v>
      </c>
      <c r="G86" t="s">
        <v>75</v>
      </c>
      <c r="H86" t="s">
        <v>72</v>
      </c>
      <c r="I86" t="s">
        <v>76</v>
      </c>
      <c r="L86" s="1">
        <v>25</v>
      </c>
      <c r="M86" s="1">
        <f>273.15+L86</f>
        <v>298.14999999999998</v>
      </c>
      <c r="N86" s="81">
        <f t="shared" ref="N86:N119" si="54">-LOG10(EXP(LN(10^-14)+13.36*(1/298.15-1/M86)/0.0019872))</f>
        <v>14</v>
      </c>
      <c r="P86" s="6">
        <v>10</v>
      </c>
      <c r="Q86" s="6">
        <f>365*5.5</f>
        <v>2007.5</v>
      </c>
      <c r="R86" s="10"/>
      <c r="T86" s="13">
        <f>((LN(2)/Q86)/(60*60*24))*10^(9-P86)</f>
        <v>3.9962823472161416E-10</v>
      </c>
      <c r="U86" s="13"/>
      <c r="V86" s="13">
        <f>T86*10^(N86-9)</f>
        <v>3.9962823472161419E-5</v>
      </c>
      <c r="W86" s="12">
        <f t="shared" ref="W86:W97" si="55">(LN(2)/X86)/(60*60*24)</f>
        <v>2007.4999999999982</v>
      </c>
      <c r="X86" s="7">
        <f t="shared" ref="X86:X119" si="56">Y86*10^(P86-14)</f>
        <v>3.9962823472161448E-9</v>
      </c>
      <c r="Y86" s="7">
        <f t="shared" ref="Y86:Y119" si="57">EXP(LN(V86)+O86*(1/M86-1/298.15)/0.0019872)</f>
        <v>3.9962823472161446E-5</v>
      </c>
      <c r="Z86">
        <f t="shared" ref="Z86:Z95" si="58">LOG(Y86)</f>
        <v>-4.3983438353844733</v>
      </c>
      <c r="AA86">
        <f t="shared" ref="AA86:AA97" si="59">LOG(X86)</f>
        <v>-8.3983438353844733</v>
      </c>
      <c r="AB86" s="4">
        <f>W86/365</f>
        <v>5.4999999999999947</v>
      </c>
      <c r="AC86" t="s">
        <v>329</v>
      </c>
      <c r="AG86" t="str">
        <f>_xlfn.XLOOKUP(C86,Ref!$A$2:$A$35,Ref!$B$2:$B$35)</f>
        <v>10.1021/es504347u</v>
      </c>
    </row>
    <row r="87" spans="1:53" x14ac:dyDescent="0.3">
      <c r="B87" s="1"/>
      <c r="C87" t="s">
        <v>86</v>
      </c>
      <c r="D87" t="s">
        <v>155</v>
      </c>
      <c r="G87" t="s">
        <v>87</v>
      </c>
      <c r="H87" t="s">
        <v>72</v>
      </c>
      <c r="I87" t="s">
        <v>73</v>
      </c>
      <c r="L87" s="1">
        <f>M87-273.15</f>
        <v>22.350000000000023</v>
      </c>
      <c r="M87" s="1">
        <v>295.5</v>
      </c>
      <c r="N87" s="81">
        <f t="shared" si="54"/>
        <v>14.087821887317489</v>
      </c>
      <c r="O87" s="77">
        <v>14.34</v>
      </c>
      <c r="P87" s="6">
        <v>6</v>
      </c>
      <c r="Q87" s="6">
        <v>90</v>
      </c>
      <c r="R87" s="10"/>
      <c r="T87" s="13">
        <f>((LN(2)/Q87)/(60*60*24))*10^(9-9)</f>
        <v>8.9139297911515601E-8</v>
      </c>
      <c r="U87" s="13"/>
      <c r="V87" s="13">
        <f>T87*10^(N87-P87)</f>
        <v>10.911666815056579</v>
      </c>
      <c r="W87" s="12">
        <f t="shared" si="55"/>
        <v>59.177513085908174</v>
      </c>
      <c r="X87" s="7">
        <f t="shared" si="56"/>
        <v>1.3556731930235162E-7</v>
      </c>
      <c r="Y87" s="7">
        <f t="shared" si="57"/>
        <v>13.556731930235161</v>
      </c>
      <c r="Z87">
        <f t="shared" si="58"/>
        <v>1.1321550084303966</v>
      </c>
      <c r="AA87">
        <f t="shared" si="59"/>
        <v>-6.8678449915696032</v>
      </c>
      <c r="AB87" s="4">
        <f t="shared" ref="AB87:AB97" si="60">W87</f>
        <v>59.177513085908174</v>
      </c>
      <c r="AC87" t="s">
        <v>331</v>
      </c>
      <c r="AG87" t="str">
        <f>_xlfn.XLOOKUP(C87,Ref!$A$2:$A$35,Ref!$B$2:$B$35)</f>
        <v>https://central.bac-lac.gc.ca/.item?id=MR81225&amp;op=pdf&amp;app=Library&amp;oclc_number=853308762</v>
      </c>
    </row>
    <row r="88" spans="1:53" x14ac:dyDescent="0.3">
      <c r="B88" s="1"/>
      <c r="C88" t="s">
        <v>86</v>
      </c>
      <c r="D88" t="s">
        <v>155</v>
      </c>
      <c r="G88" t="s">
        <v>87</v>
      </c>
      <c r="H88" t="s">
        <v>72</v>
      </c>
      <c r="I88" t="s">
        <v>73</v>
      </c>
      <c r="L88" s="1">
        <f>M88-273.15</f>
        <v>22.350000000000023</v>
      </c>
      <c r="M88" s="1">
        <v>295.5</v>
      </c>
      <c r="N88" s="81">
        <f t="shared" si="54"/>
        <v>14.087821887317489</v>
      </c>
      <c r="O88" s="77">
        <v>14.34</v>
      </c>
      <c r="P88" s="6">
        <v>8</v>
      </c>
      <c r="Q88" s="6">
        <v>80</v>
      </c>
      <c r="R88" s="10"/>
      <c r="T88" s="13">
        <f>((LN(2)/Q88)/(60*60*24))*10^(9-9)</f>
        <v>1.0028171015045504E-7</v>
      </c>
      <c r="U88" s="13"/>
      <c r="V88" s="13">
        <f>T88*10^(N88-P88)</f>
        <v>0.12275625166938643</v>
      </c>
      <c r="W88" s="12">
        <f t="shared" si="55"/>
        <v>52.602233854140621</v>
      </c>
      <c r="X88" s="7">
        <f t="shared" si="56"/>
        <v>1.5251323421514548E-7</v>
      </c>
      <c r="Y88" s="7">
        <f t="shared" si="57"/>
        <v>0.15251323421514548</v>
      </c>
      <c r="Z88">
        <f t="shared" si="58"/>
        <v>-0.81669246912222238</v>
      </c>
      <c r="AA88">
        <f t="shared" si="59"/>
        <v>-6.8166924691222226</v>
      </c>
      <c r="AB88" s="4">
        <f t="shared" si="60"/>
        <v>52.602233854140621</v>
      </c>
      <c r="AC88" t="s">
        <v>331</v>
      </c>
      <c r="AG88" t="str">
        <f>_xlfn.XLOOKUP(C88,Ref!$A$2:$A$35,Ref!$B$2:$B$35)</f>
        <v>https://central.bac-lac.gc.ca/.item?id=MR81225&amp;op=pdf&amp;app=Library&amp;oclc_number=853308762</v>
      </c>
    </row>
    <row r="89" spans="1:53" x14ac:dyDescent="0.3">
      <c r="B89" s="1"/>
      <c r="C89" t="s">
        <v>86</v>
      </c>
      <c r="D89" t="s">
        <v>155</v>
      </c>
      <c r="G89" t="s">
        <v>87</v>
      </c>
      <c r="H89" t="s">
        <v>72</v>
      </c>
      <c r="I89" t="s">
        <v>76</v>
      </c>
      <c r="L89" s="1">
        <f>M89-273.15</f>
        <v>22.350000000000023</v>
      </c>
      <c r="M89" s="1">
        <v>295.5</v>
      </c>
      <c r="N89" s="81">
        <f t="shared" si="54"/>
        <v>14.087821887317489</v>
      </c>
      <c r="O89" s="77">
        <v>14.34</v>
      </c>
      <c r="P89" s="6">
        <v>10</v>
      </c>
      <c r="Q89" s="6">
        <v>10.6</v>
      </c>
      <c r="R89" s="10"/>
      <c r="T89" s="13">
        <f>((LN(2)/Q89)/(60*60*24))*10^(9-9)</f>
        <v>7.5684309547513249E-7</v>
      </c>
      <c r="U89" s="13"/>
      <c r="V89" s="13">
        <f>T89*10^(N89-P89)</f>
        <v>9.2646227675008616E-3</v>
      </c>
      <c r="W89" s="12">
        <f t="shared" si="55"/>
        <v>6.9697959856736338</v>
      </c>
      <c r="X89" s="7">
        <f t="shared" si="56"/>
        <v>1.1510432770954374E-6</v>
      </c>
      <c r="Y89" s="7">
        <f t="shared" si="57"/>
        <v>1.1510432770954373E-2</v>
      </c>
      <c r="Z89">
        <f t="shared" si="58"/>
        <v>-1.938908347395049</v>
      </c>
      <c r="AA89">
        <f t="shared" si="59"/>
        <v>-5.9389083473950492</v>
      </c>
      <c r="AB89" s="4">
        <f t="shared" si="60"/>
        <v>6.9697959856736338</v>
      </c>
      <c r="AC89" t="s">
        <v>331</v>
      </c>
      <c r="AD89" s="21">
        <f>AVERAGE(W88:W89)</f>
        <v>29.786014919907128</v>
      </c>
      <c r="AE89" s="21">
        <f>MEDIAN(W88:W89)</f>
        <v>29.786014919907128</v>
      </c>
      <c r="AF89" s="60">
        <f>STDEV(W88:W89)</f>
        <v>32.267006258866807</v>
      </c>
      <c r="AG89" t="str">
        <f>_xlfn.XLOOKUP(C89,Ref!$A$2:$A$35,Ref!$B$2:$B$35)</f>
        <v>https://central.bac-lac.gc.ca/.item?id=MR81225&amp;op=pdf&amp;app=Library&amp;oclc_number=853308762</v>
      </c>
    </row>
    <row r="90" spans="1:53" x14ac:dyDescent="0.3">
      <c r="A90" s="3"/>
      <c r="B90" s="1" t="s">
        <v>323</v>
      </c>
      <c r="C90" t="s">
        <v>77</v>
      </c>
      <c r="D90" t="s">
        <v>320</v>
      </c>
      <c r="G90" s="1" t="s">
        <v>78</v>
      </c>
      <c r="H90" t="s">
        <v>79</v>
      </c>
      <c r="I90" t="s">
        <v>80</v>
      </c>
      <c r="L90" s="1">
        <v>30</v>
      </c>
      <c r="M90" s="1">
        <f t="shared" ref="M90:M119" si="61">273.15+L90</f>
        <v>303.14999999999998</v>
      </c>
      <c r="N90" s="81">
        <f t="shared" si="54"/>
        <v>13.838479812893434</v>
      </c>
      <c r="O90" s="77">
        <v>14.34</v>
      </c>
      <c r="P90" s="6">
        <f>14-(-LOG(0.02))</f>
        <v>12.301029995663981</v>
      </c>
      <c r="Q90" s="6">
        <f>40/1440</f>
        <v>2.7777777777777776E-2</v>
      </c>
      <c r="R90" s="10"/>
      <c r="T90" s="13">
        <f>((LN(2)/Q90)/(60*60*24))*10^(9-P90)</f>
        <v>1.4440566261665515E-7</v>
      </c>
      <c r="U90" s="13"/>
      <c r="V90" s="13">
        <f>T90*10^(N90-9)</f>
        <v>9.9555220033861018E-3</v>
      </c>
      <c r="W90" s="12">
        <f t="shared" si="55"/>
        <v>6.006008066096219E-2</v>
      </c>
      <c r="X90" s="7">
        <f t="shared" si="56"/>
        <v>1.3357519210344462E-4</v>
      </c>
      <c r="Y90" s="7">
        <f t="shared" si="57"/>
        <v>6.6787596051722338E-3</v>
      </c>
      <c r="Z90">
        <f t="shared" si="58"/>
        <v>-2.1753041882205593</v>
      </c>
      <c r="AA90">
        <f t="shared" si="59"/>
        <v>-3.8742741925565785</v>
      </c>
      <c r="AB90" s="4">
        <f t="shared" si="60"/>
        <v>6.006008066096219E-2</v>
      </c>
      <c r="AC90" t="s">
        <v>331</v>
      </c>
      <c r="AG90" t="str">
        <f>_xlfn.XLOOKUP(C90,Ref!$A$2:$A$35,Ref!$B$2:$B$35)</f>
        <v>10.1021/acs.langmuir.2c03005</v>
      </c>
    </row>
    <row r="91" spans="1:53" x14ac:dyDescent="0.3">
      <c r="A91" s="3"/>
      <c r="B91" s="1" t="s">
        <v>324</v>
      </c>
      <c r="C91" t="s">
        <v>77</v>
      </c>
      <c r="D91" t="s">
        <v>321</v>
      </c>
      <c r="G91" s="1" t="s">
        <v>81</v>
      </c>
      <c r="H91" t="s">
        <v>79</v>
      </c>
      <c r="I91" t="s">
        <v>82</v>
      </c>
      <c r="L91" s="1">
        <v>30</v>
      </c>
      <c r="M91" s="1">
        <f t="shared" si="61"/>
        <v>303.14999999999998</v>
      </c>
      <c r="N91" s="81">
        <f t="shared" si="54"/>
        <v>13.838479812893434</v>
      </c>
      <c r="O91" s="77">
        <v>15.34</v>
      </c>
      <c r="P91" s="6">
        <f>14-(-LOG(0.01))</f>
        <v>12</v>
      </c>
      <c r="Q91" s="6">
        <f>30/1440</f>
        <v>2.0833333333333332E-2</v>
      </c>
      <c r="R91" s="10"/>
      <c r="T91" s="13">
        <f>((LN(2)/Q91)/(60*60*24))*10^(9-P91)</f>
        <v>3.8508176697774745E-7</v>
      </c>
      <c r="U91" s="13"/>
      <c r="V91" s="13">
        <f>T91*10^(N91-9)</f>
        <v>2.6548058675696297E-2</v>
      </c>
      <c r="W91" s="12">
        <f t="shared" si="55"/>
        <v>4.631663600376431E-2</v>
      </c>
      <c r="X91" s="7">
        <f t="shared" si="56"/>
        <v>1.7321069715392078E-4</v>
      </c>
      <c r="Y91" s="7">
        <f t="shared" si="57"/>
        <v>1.7321069715392077E-2</v>
      </c>
      <c r="Z91">
        <f t="shared" si="58"/>
        <v>-1.7614252903125418</v>
      </c>
      <c r="AA91">
        <f t="shared" si="59"/>
        <v>-3.761425290312542</v>
      </c>
      <c r="AB91" s="4">
        <f t="shared" si="60"/>
        <v>4.631663600376431E-2</v>
      </c>
      <c r="AC91" t="s">
        <v>331</v>
      </c>
      <c r="AG91" t="str">
        <f>_xlfn.XLOOKUP(C91,Ref!$A$2:$A$35,Ref!$B$2:$B$35)</f>
        <v>10.1021/acs.langmuir.2c03005</v>
      </c>
    </row>
    <row r="92" spans="1:53" x14ac:dyDescent="0.3">
      <c r="B92" s="1" t="s">
        <v>322</v>
      </c>
      <c r="C92" t="s">
        <v>77</v>
      </c>
      <c r="D92" t="s">
        <v>83</v>
      </c>
      <c r="G92" s="1" t="s">
        <v>78</v>
      </c>
      <c r="H92" t="s">
        <v>79</v>
      </c>
      <c r="I92" t="s">
        <v>80</v>
      </c>
      <c r="L92" s="1">
        <v>30</v>
      </c>
      <c r="M92" s="1">
        <f t="shared" si="61"/>
        <v>303.14999999999998</v>
      </c>
      <c r="N92" s="81">
        <f t="shared" si="54"/>
        <v>13.838479812893434</v>
      </c>
      <c r="O92" s="77">
        <v>14.34</v>
      </c>
      <c r="P92" s="6">
        <f>14-(-LOG(0.02))</f>
        <v>12.301029995663981</v>
      </c>
      <c r="Q92" s="6">
        <f>2/1440</f>
        <v>1.3888888888888889E-3</v>
      </c>
      <c r="R92" s="10"/>
      <c r="T92" s="13">
        <f>((LN(2)/Q92)/(60*60*24))*10^(9-P92)</f>
        <v>2.8881132523331026E-6</v>
      </c>
      <c r="U92" s="13"/>
      <c r="V92" s="13">
        <f>T92*10^(N92-9)</f>
        <v>0.19911044006772199</v>
      </c>
      <c r="W92" s="12">
        <f t="shared" si="55"/>
        <v>3.0030040330481099E-3</v>
      </c>
      <c r="X92" s="7">
        <f t="shared" si="56"/>
        <v>2.671503842068892E-3</v>
      </c>
      <c r="Y92" s="7">
        <f t="shared" si="57"/>
        <v>0.13357519210344465</v>
      </c>
      <c r="Z92">
        <f t="shared" si="58"/>
        <v>-0.87427419255657823</v>
      </c>
      <c r="AA92">
        <f t="shared" si="59"/>
        <v>-2.5732441968925972</v>
      </c>
      <c r="AB92" s="4">
        <f t="shared" si="60"/>
        <v>3.0030040330481099E-3</v>
      </c>
      <c r="AC92" t="s">
        <v>331</v>
      </c>
      <c r="AG92" t="str">
        <f>_xlfn.XLOOKUP(C92,Ref!$A$2:$A$35,Ref!$B$2:$B$35)</f>
        <v>10.1021/acs.langmuir.2c03005</v>
      </c>
    </row>
    <row r="93" spans="1:53" x14ac:dyDescent="0.3">
      <c r="B93" s="1" t="s">
        <v>322</v>
      </c>
      <c r="C93" t="s">
        <v>77</v>
      </c>
      <c r="D93" t="s">
        <v>84</v>
      </c>
      <c r="G93" s="1" t="s">
        <v>81</v>
      </c>
      <c r="H93" t="s">
        <v>79</v>
      </c>
      <c r="I93" t="s">
        <v>82</v>
      </c>
      <c r="L93" s="1">
        <v>30</v>
      </c>
      <c r="M93" s="1">
        <f t="shared" si="61"/>
        <v>303.14999999999998</v>
      </c>
      <c r="N93" s="81">
        <f t="shared" si="54"/>
        <v>13.838479812893434</v>
      </c>
      <c r="O93" s="77">
        <v>14.34</v>
      </c>
      <c r="P93" s="6">
        <f>14-(-LOG(0.02))</f>
        <v>12.301029995663981</v>
      </c>
      <c r="Q93" s="6">
        <f>2/1440</f>
        <v>1.3888888888888889E-3</v>
      </c>
      <c r="R93" s="10"/>
      <c r="T93" s="13">
        <f>((LN(2)/Q93)/(60*60*24))*10^(9-P93)</f>
        <v>2.8881132523331026E-6</v>
      </c>
      <c r="U93" s="13"/>
      <c r="V93" s="13">
        <f>T93*10^(N93-9)</f>
        <v>0.19911044006772199</v>
      </c>
      <c r="W93" s="12">
        <f t="shared" si="55"/>
        <v>3.0030040330481099E-3</v>
      </c>
      <c r="X93" s="7">
        <f t="shared" si="56"/>
        <v>2.671503842068892E-3</v>
      </c>
      <c r="Y93" s="7">
        <f t="shared" si="57"/>
        <v>0.13357519210344465</v>
      </c>
      <c r="Z93">
        <f t="shared" si="58"/>
        <v>-0.87427419255657823</v>
      </c>
      <c r="AA93">
        <f t="shared" si="59"/>
        <v>-2.5732441968925972</v>
      </c>
      <c r="AB93" s="4">
        <f t="shared" si="60"/>
        <v>3.0030040330481099E-3</v>
      </c>
      <c r="AC93" t="s">
        <v>331</v>
      </c>
      <c r="AG93" t="str">
        <f>_xlfn.XLOOKUP(C93,Ref!$A$2:$A$35,Ref!$B$2:$B$35)</f>
        <v>10.1021/acs.langmuir.2c03005</v>
      </c>
    </row>
    <row r="94" spans="1:53" x14ac:dyDescent="0.3">
      <c r="B94" s="1" t="s">
        <v>319</v>
      </c>
      <c r="C94" t="s">
        <v>77</v>
      </c>
      <c r="D94" t="s">
        <v>83</v>
      </c>
      <c r="G94" s="1" t="s">
        <v>78</v>
      </c>
      <c r="H94" t="s">
        <v>79</v>
      </c>
      <c r="I94" t="s">
        <v>80</v>
      </c>
      <c r="L94" s="1">
        <v>30</v>
      </c>
      <c r="M94" s="1">
        <f t="shared" si="61"/>
        <v>303.14999999999998</v>
      </c>
      <c r="N94" s="81">
        <f t="shared" si="54"/>
        <v>13.838479812893434</v>
      </c>
      <c r="O94" s="77">
        <v>14.34</v>
      </c>
      <c r="P94" s="6">
        <f>14-(-LOG(0.02))</f>
        <v>12.301029995663981</v>
      </c>
      <c r="R94" s="10">
        <v>2.8999999999999998E-3</v>
      </c>
      <c r="S94" s="6" t="s">
        <v>151</v>
      </c>
      <c r="T94" s="19">
        <f xml:space="preserve"> V94*10^(9-N94)</f>
        <v>4.2064737684861169E-8</v>
      </c>
      <c r="U94" s="19"/>
      <c r="V94" s="13">
        <v>2.8999999999999998E-3</v>
      </c>
      <c r="W94" s="12">
        <f t="shared" si="55"/>
        <v>0.20618257053288044</v>
      </c>
      <c r="X94" s="7">
        <f t="shared" si="56"/>
        <v>3.8909869012216187E-5</v>
      </c>
      <c r="Y94" s="7">
        <f t="shared" si="57"/>
        <v>1.9454934506108101E-3</v>
      </c>
      <c r="Z94">
        <f t="shared" si="58"/>
        <v>-2.7109702268845886</v>
      </c>
      <c r="AA94">
        <f t="shared" si="59"/>
        <v>-4.4099402312206077</v>
      </c>
      <c r="AB94" s="4">
        <f>W94/365</f>
        <v>5.648837548846039E-4</v>
      </c>
      <c r="AC94" t="s">
        <v>329</v>
      </c>
      <c r="AG94" t="str">
        <f>_xlfn.XLOOKUP(C94,Ref!$A$2:$A$35,Ref!$B$2:$B$35)</f>
        <v>10.1021/acs.langmuir.2c03005</v>
      </c>
    </row>
    <row r="95" spans="1:53" x14ac:dyDescent="0.3">
      <c r="B95" s="1" t="s">
        <v>319</v>
      </c>
      <c r="C95" t="s">
        <v>77</v>
      </c>
      <c r="D95" t="s">
        <v>84</v>
      </c>
      <c r="G95" s="1" t="s">
        <v>81</v>
      </c>
      <c r="H95" t="s">
        <v>79</v>
      </c>
      <c r="I95" t="s">
        <v>82</v>
      </c>
      <c r="L95" s="1">
        <v>30</v>
      </c>
      <c r="M95" s="1">
        <f t="shared" si="61"/>
        <v>303.14999999999998</v>
      </c>
      <c r="N95" s="81">
        <f t="shared" si="54"/>
        <v>13.838479812893434</v>
      </c>
      <c r="O95" s="77">
        <v>14.34</v>
      </c>
      <c r="P95" s="6">
        <f>14-(-LOG(0.02))</f>
        <v>12.301029995663981</v>
      </c>
      <c r="R95" s="10">
        <v>1.0999999999999999E-2</v>
      </c>
      <c r="S95" s="6" t="s">
        <v>151</v>
      </c>
      <c r="T95" s="19">
        <f xml:space="preserve"> V95*10^(9-N95)</f>
        <v>1.595559015632665E-7</v>
      </c>
      <c r="U95" s="19"/>
      <c r="V95" s="13">
        <v>1.0999999999999999E-2</v>
      </c>
      <c r="W95" s="12">
        <f t="shared" si="55"/>
        <v>5.4357223140486619E-2</v>
      </c>
      <c r="X95" s="7">
        <f t="shared" si="56"/>
        <v>1.4758915832219945E-4</v>
      </c>
      <c r="Y95" s="7">
        <f t="shared" si="57"/>
        <v>7.3794579161099751E-3</v>
      </c>
      <c r="Z95">
        <f t="shared" si="58"/>
        <v>-2.1319755396253193</v>
      </c>
      <c r="AA95">
        <f t="shared" si="59"/>
        <v>-3.830945543961338</v>
      </c>
      <c r="AB95" s="4">
        <f t="shared" si="60"/>
        <v>5.4357223140486619E-2</v>
      </c>
      <c r="AC95" t="s">
        <v>331</v>
      </c>
      <c r="AG95" t="str">
        <f>_xlfn.XLOOKUP(C95,Ref!$A$2:$A$35,Ref!$B$2:$B$35)</f>
        <v>10.1021/acs.langmuir.2c03005</v>
      </c>
    </row>
    <row r="96" spans="1:53" x14ac:dyDescent="0.3">
      <c r="B96" s="1"/>
      <c r="C96" t="s">
        <v>161</v>
      </c>
      <c r="D96" t="s">
        <v>70</v>
      </c>
      <c r="G96" t="s">
        <v>71</v>
      </c>
      <c r="H96" t="s">
        <v>72</v>
      </c>
      <c r="I96" t="s">
        <v>73</v>
      </c>
      <c r="L96" s="1">
        <v>25</v>
      </c>
      <c r="M96" s="1">
        <f t="shared" si="61"/>
        <v>298.14999999999998</v>
      </c>
      <c r="N96" s="81">
        <f t="shared" si="54"/>
        <v>14</v>
      </c>
      <c r="P96" s="6">
        <v>12</v>
      </c>
      <c r="R96" s="10">
        <v>2.64E-3</v>
      </c>
      <c r="S96" s="6" t="s">
        <v>150</v>
      </c>
      <c r="T96" s="14">
        <f>(R96/24/60/60)*10^(P96-P96)</f>
        <v>3.0555555555555556E-8</v>
      </c>
      <c r="U96" s="14"/>
      <c r="V96" s="14">
        <f t="shared" ref="V96:V111" si="62">T96*10^(N96-P96)</f>
        <v>3.0555555555555556E-6</v>
      </c>
      <c r="W96" s="12">
        <f t="shared" si="55"/>
        <v>262.55575021210029</v>
      </c>
      <c r="X96" s="7">
        <f t="shared" si="56"/>
        <v>3.0555555555555582E-8</v>
      </c>
      <c r="Y96" s="7">
        <f t="shared" si="57"/>
        <v>3.0555555555555582E-6</v>
      </c>
      <c r="Z96">
        <f t="shared" ref="Z96:Z111" si="63">LOG(Y96)</f>
        <v>-5.5149098156090615</v>
      </c>
      <c r="AA96">
        <f t="shared" si="59"/>
        <v>-7.5149098156090615</v>
      </c>
      <c r="AB96" s="4">
        <f t="shared" si="60"/>
        <v>262.55575021210029</v>
      </c>
      <c r="AC96" t="s">
        <v>331</v>
      </c>
      <c r="AG96" t="str">
        <f>_xlfn.XLOOKUP(C96,Ref!$A$2:$A$35,Ref!$B$2:$B$35)</f>
        <v>10.1021/acs.est.5b03686</v>
      </c>
    </row>
    <row r="97" spans="2:53" x14ac:dyDescent="0.3">
      <c r="B97" s="1"/>
      <c r="C97" t="s">
        <v>161</v>
      </c>
      <c r="D97" t="s">
        <v>74</v>
      </c>
      <c r="G97" t="s">
        <v>75</v>
      </c>
      <c r="H97" t="s">
        <v>72</v>
      </c>
      <c r="I97" t="s">
        <v>76</v>
      </c>
      <c r="L97" s="1">
        <v>25</v>
      </c>
      <c r="M97" s="1">
        <f t="shared" si="61"/>
        <v>298.14999999999998</v>
      </c>
      <c r="N97" s="81">
        <f t="shared" si="54"/>
        <v>14</v>
      </c>
      <c r="P97" s="6">
        <v>12</v>
      </c>
      <c r="Q97" s="10"/>
      <c r="R97" s="10">
        <v>3.0100000000000001E-3</v>
      </c>
      <c r="S97" s="6" t="s">
        <v>150</v>
      </c>
      <c r="T97" s="14">
        <f t="shared" ref="T97:T111" si="64">(R97/24/60/60)*10^(P97-P97)</f>
        <v>3.4837962962962964E-8</v>
      </c>
      <c r="U97" s="14"/>
      <c r="V97" s="14">
        <f t="shared" si="62"/>
        <v>3.4837962962962965E-6</v>
      </c>
      <c r="W97" s="12">
        <f t="shared" si="55"/>
        <v>230.28145533552978</v>
      </c>
      <c r="X97" s="7">
        <f t="shared" si="56"/>
        <v>3.483796296296299E-8</v>
      </c>
      <c r="Y97" s="7">
        <f t="shared" si="57"/>
        <v>3.483796296296299E-6</v>
      </c>
      <c r="Z97">
        <f t="shared" si="63"/>
        <v>-5.4579472468850492</v>
      </c>
      <c r="AA97">
        <f t="shared" si="59"/>
        <v>-7.4579472468850492</v>
      </c>
      <c r="AB97" s="4">
        <f t="shared" si="60"/>
        <v>230.28145533552978</v>
      </c>
      <c r="AC97" t="s">
        <v>331</v>
      </c>
      <c r="AG97" t="str">
        <f>_xlfn.XLOOKUP(C97,Ref!$A$2:$A$35,Ref!$B$2:$B$35)</f>
        <v>10.1021/acs.est.5b03686</v>
      </c>
      <c r="AQ97" s="57"/>
      <c r="AR97" s="57"/>
      <c r="AS97" s="57"/>
      <c r="AX97" s="2"/>
      <c r="AY97" s="2"/>
      <c r="AZ97" s="2"/>
      <c r="BA97" s="2"/>
    </row>
    <row r="98" spans="2:53" x14ac:dyDescent="0.3">
      <c r="B98" s="1"/>
      <c r="C98" t="s">
        <v>161</v>
      </c>
      <c r="D98" t="s">
        <v>70</v>
      </c>
      <c r="G98" t="s">
        <v>71</v>
      </c>
      <c r="H98" t="s">
        <v>72</v>
      </c>
      <c r="I98" t="s">
        <v>73</v>
      </c>
      <c r="L98" s="1">
        <v>25</v>
      </c>
      <c r="M98" s="1">
        <f t="shared" si="61"/>
        <v>298.14999999999998</v>
      </c>
      <c r="N98" s="81">
        <f t="shared" si="54"/>
        <v>14</v>
      </c>
      <c r="P98" s="6">
        <v>11</v>
      </c>
      <c r="R98" s="10">
        <v>3.5399999999999999E-4</v>
      </c>
      <c r="S98" s="6" t="s">
        <v>150</v>
      </c>
      <c r="T98" s="14">
        <f t="shared" si="64"/>
        <v>4.0972222222222228E-9</v>
      </c>
      <c r="U98" s="14"/>
      <c r="V98" s="14">
        <f t="shared" si="62"/>
        <v>4.0972222222222232E-6</v>
      </c>
      <c r="W98" s="12">
        <f t="shared" ref="W98:W103" si="65">(LN(2)/X98)/(60*60*24)</f>
        <v>1958.0428829376983</v>
      </c>
      <c r="X98" s="7">
        <f t="shared" si="56"/>
        <v>4.0972222222222228E-9</v>
      </c>
      <c r="Y98" s="7">
        <f t="shared" si="57"/>
        <v>4.0972222222222223E-6</v>
      </c>
      <c r="Z98">
        <f t="shared" si="63"/>
        <v>-5.3875104804531055</v>
      </c>
      <c r="AA98">
        <f t="shared" ref="AA98:AA111" si="66">LOG(X98)</f>
        <v>-8.3875104804531055</v>
      </c>
      <c r="AB98" s="4">
        <f t="shared" ref="AB98:AB111" si="67">W98/365</f>
        <v>5.364501049144379</v>
      </c>
      <c r="AC98" t="s">
        <v>329</v>
      </c>
      <c r="AG98" t="str">
        <f>_xlfn.XLOOKUP(C98,Ref!$A$2:$A$35,Ref!$B$2:$B$35)</f>
        <v>10.1021/acs.est.5b03686</v>
      </c>
      <c r="AQ98" s="57"/>
      <c r="AR98" s="57"/>
      <c r="AS98" s="57"/>
      <c r="AX98" s="2"/>
      <c r="AY98" s="2"/>
      <c r="AZ98" s="2"/>
      <c r="BA98" s="2"/>
    </row>
    <row r="99" spans="2:53" x14ac:dyDescent="0.3">
      <c r="B99" s="1"/>
      <c r="C99" t="s">
        <v>161</v>
      </c>
      <c r="D99" t="s">
        <v>74</v>
      </c>
      <c r="G99" t="s">
        <v>75</v>
      </c>
      <c r="H99" t="s">
        <v>72</v>
      </c>
      <c r="I99" t="s">
        <v>76</v>
      </c>
      <c r="L99" s="1">
        <v>25</v>
      </c>
      <c r="M99" s="1">
        <f t="shared" si="61"/>
        <v>298.14999999999998</v>
      </c>
      <c r="N99" s="81">
        <f t="shared" si="54"/>
        <v>14</v>
      </c>
      <c r="P99" s="6">
        <v>11</v>
      </c>
      <c r="R99" s="10">
        <v>3.7300000000000001E-4</v>
      </c>
      <c r="S99" s="6" t="s">
        <v>150</v>
      </c>
      <c r="T99" s="14">
        <f t="shared" si="64"/>
        <v>4.3171296296296301E-9</v>
      </c>
      <c r="U99" s="14"/>
      <c r="V99" s="14">
        <f t="shared" si="62"/>
        <v>4.3171296296296304E-6</v>
      </c>
      <c r="W99" s="12">
        <f t="shared" si="65"/>
        <v>1858.3034331365814</v>
      </c>
      <c r="X99" s="7">
        <f t="shared" si="56"/>
        <v>4.3171296296296325E-9</v>
      </c>
      <c r="Y99" s="7">
        <f t="shared" si="57"/>
        <v>4.3171296296296321E-6</v>
      </c>
      <c r="Z99">
        <f t="shared" si="63"/>
        <v>-5.3648049106702054</v>
      </c>
      <c r="AA99">
        <f t="shared" si="66"/>
        <v>-8.3648049106702054</v>
      </c>
      <c r="AB99" s="4">
        <f t="shared" si="67"/>
        <v>5.0912422825659762</v>
      </c>
      <c r="AC99" t="s">
        <v>329</v>
      </c>
      <c r="AG99" t="str">
        <f>_xlfn.XLOOKUP(C99,Ref!$A$2:$A$35,Ref!$B$2:$B$35)</f>
        <v>10.1021/acs.est.5b03686</v>
      </c>
    </row>
    <row r="100" spans="2:53" x14ac:dyDescent="0.3">
      <c r="B100" s="1"/>
      <c r="C100" t="s">
        <v>161</v>
      </c>
      <c r="D100" t="s">
        <v>70</v>
      </c>
      <c r="G100" t="s">
        <v>71</v>
      </c>
      <c r="H100" t="s">
        <v>72</v>
      </c>
      <c r="I100" t="s">
        <v>73</v>
      </c>
      <c r="L100" s="1">
        <v>25</v>
      </c>
      <c r="M100" s="1">
        <f t="shared" si="61"/>
        <v>298.14999999999998</v>
      </c>
      <c r="N100" s="81">
        <f t="shared" si="54"/>
        <v>14</v>
      </c>
      <c r="P100" s="6">
        <v>10</v>
      </c>
      <c r="R100" s="10">
        <v>1.01E-4</v>
      </c>
      <c r="S100" s="6" t="s">
        <v>150</v>
      </c>
      <c r="T100" s="14">
        <f t="shared" si="64"/>
        <v>1.1689814814814815E-9</v>
      </c>
      <c r="U100" s="14"/>
      <c r="V100" s="14">
        <f t="shared" si="62"/>
        <v>1.1689814814814815E-5</v>
      </c>
      <c r="W100" s="12">
        <f t="shared" si="65"/>
        <v>6862.8433718806482</v>
      </c>
      <c r="X100" s="7">
        <f t="shared" si="56"/>
        <v>1.1689814814814813E-9</v>
      </c>
      <c r="Y100" s="7">
        <f t="shared" si="57"/>
        <v>1.1689814814814812E-5</v>
      </c>
      <c r="Z100">
        <f t="shared" si="63"/>
        <v>-4.932192368696251</v>
      </c>
      <c r="AA100">
        <f t="shared" si="66"/>
        <v>-8.932192368696251</v>
      </c>
      <c r="AB100" s="4">
        <f t="shared" si="67"/>
        <v>18.802310607892188</v>
      </c>
      <c r="AC100" t="s">
        <v>329</v>
      </c>
      <c r="AG100" t="str">
        <f>_xlfn.XLOOKUP(C100,Ref!$A$2:$A$35,Ref!$B$2:$B$35)</f>
        <v>10.1021/acs.est.5b03686</v>
      </c>
    </row>
    <row r="101" spans="2:53" x14ac:dyDescent="0.3">
      <c r="B101" s="1"/>
      <c r="C101" t="s">
        <v>161</v>
      </c>
      <c r="D101" t="s">
        <v>74</v>
      </c>
      <c r="G101" t="s">
        <v>75</v>
      </c>
      <c r="H101" t="s">
        <v>72</v>
      </c>
      <c r="I101" t="s">
        <v>76</v>
      </c>
      <c r="L101" s="1">
        <v>25</v>
      </c>
      <c r="M101" s="1">
        <f t="shared" si="61"/>
        <v>298.14999999999998</v>
      </c>
      <c r="N101" s="81">
        <f t="shared" si="54"/>
        <v>14</v>
      </c>
      <c r="P101" s="6">
        <v>10</v>
      </c>
      <c r="R101" s="10">
        <v>1.06E-4</v>
      </c>
      <c r="S101" s="6" t="s">
        <v>150</v>
      </c>
      <c r="T101" s="14">
        <f t="shared" si="64"/>
        <v>1.2268518518518518E-9</v>
      </c>
      <c r="U101" s="14"/>
      <c r="V101" s="14">
        <f t="shared" si="62"/>
        <v>1.2268518518518517E-5</v>
      </c>
      <c r="W101" s="12">
        <f t="shared" si="65"/>
        <v>6539.1243449051481</v>
      </c>
      <c r="X101" s="7">
        <f t="shared" si="56"/>
        <v>1.2268518518518511E-9</v>
      </c>
      <c r="Y101" s="7">
        <f t="shared" si="57"/>
        <v>1.226851851851851E-5</v>
      </c>
      <c r="Z101">
        <f t="shared" si="63"/>
        <v>-4.9112078772141237</v>
      </c>
      <c r="AA101">
        <f t="shared" si="66"/>
        <v>-8.9112078772141228</v>
      </c>
      <c r="AB101" s="4">
        <f t="shared" si="67"/>
        <v>17.915409164123695</v>
      </c>
      <c r="AC101" t="s">
        <v>329</v>
      </c>
      <c r="AG101" t="str">
        <f>_xlfn.XLOOKUP(C101,Ref!$A$2:$A$35,Ref!$B$2:$B$35)</f>
        <v>10.1021/acs.est.5b03686</v>
      </c>
    </row>
    <row r="102" spans="2:53" x14ac:dyDescent="0.3">
      <c r="B102" s="1"/>
      <c r="C102" t="s">
        <v>161</v>
      </c>
      <c r="D102" t="s">
        <v>70</v>
      </c>
      <c r="G102" t="s">
        <v>71</v>
      </c>
      <c r="H102" t="s">
        <v>72</v>
      </c>
      <c r="I102" t="s">
        <v>73</v>
      </c>
      <c r="L102" s="1">
        <v>25</v>
      </c>
      <c r="M102" s="1">
        <f t="shared" si="61"/>
        <v>298.14999999999998</v>
      </c>
      <c r="N102" s="81">
        <f t="shared" si="54"/>
        <v>14</v>
      </c>
      <c r="P102" s="6">
        <v>9</v>
      </c>
      <c r="R102" s="10">
        <v>4.0599999999999998E-5</v>
      </c>
      <c r="S102" s="6" t="s">
        <v>150</v>
      </c>
      <c r="T102" s="14">
        <f t="shared" si="64"/>
        <v>4.6990740740740743E-10</v>
      </c>
      <c r="U102" s="14"/>
      <c r="V102" s="14">
        <f t="shared" si="62"/>
        <v>4.6990740740740741E-5</v>
      </c>
      <c r="W102" s="12">
        <f t="shared" si="65"/>
        <v>17072.590654185849</v>
      </c>
      <c r="X102" s="7">
        <f t="shared" si="56"/>
        <v>4.6990740740740723E-10</v>
      </c>
      <c r="Y102" s="7">
        <f t="shared" si="57"/>
        <v>4.6990740740740714E-5</v>
      </c>
      <c r="Z102">
        <f t="shared" si="63"/>
        <v>-4.3279877089016994</v>
      </c>
      <c r="AA102">
        <f t="shared" si="66"/>
        <v>-9.3279877089016985</v>
      </c>
      <c r="AB102" s="4">
        <f t="shared" si="67"/>
        <v>46.774220970372191</v>
      </c>
      <c r="AC102" t="s">
        <v>329</v>
      </c>
      <c r="AG102" t="str">
        <f>_xlfn.XLOOKUP(C102,Ref!$A$2:$A$35,Ref!$B$2:$B$35)</f>
        <v>10.1021/acs.est.5b03686</v>
      </c>
    </row>
    <row r="103" spans="2:53" x14ac:dyDescent="0.3">
      <c r="B103" s="1"/>
      <c r="C103" t="s">
        <v>161</v>
      </c>
      <c r="D103" t="s">
        <v>74</v>
      </c>
      <c r="G103" t="s">
        <v>75</v>
      </c>
      <c r="H103" t="s">
        <v>72</v>
      </c>
      <c r="I103" t="s">
        <v>76</v>
      </c>
      <c r="L103" s="1">
        <v>25</v>
      </c>
      <c r="M103" s="1">
        <f t="shared" si="61"/>
        <v>298.14999999999998</v>
      </c>
      <c r="N103" s="81">
        <f t="shared" si="54"/>
        <v>14</v>
      </c>
      <c r="P103" s="6">
        <v>9</v>
      </c>
      <c r="R103" s="10">
        <v>4.32E-5</v>
      </c>
      <c r="S103" s="6" t="s">
        <v>150</v>
      </c>
      <c r="T103" s="14">
        <f t="shared" si="64"/>
        <v>4.9999999999999993E-10</v>
      </c>
      <c r="U103" s="14"/>
      <c r="V103" s="14">
        <f t="shared" si="62"/>
        <v>4.9999999999999996E-5</v>
      </c>
      <c r="W103" s="12">
        <f t="shared" si="65"/>
        <v>16045.07362407282</v>
      </c>
      <c r="X103" s="7">
        <f t="shared" si="56"/>
        <v>4.9999999999999962E-10</v>
      </c>
      <c r="Y103" s="7">
        <f t="shared" si="57"/>
        <v>4.9999999999999955E-5</v>
      </c>
      <c r="Z103">
        <f t="shared" si="63"/>
        <v>-4.3010299956639813</v>
      </c>
      <c r="AA103">
        <f t="shared" si="66"/>
        <v>-9.3010299956639813</v>
      </c>
      <c r="AB103" s="4">
        <f t="shared" si="67"/>
        <v>43.959105819377591</v>
      </c>
      <c r="AC103" t="s">
        <v>329</v>
      </c>
      <c r="AG103" t="str">
        <f>_xlfn.XLOOKUP(C103,Ref!$A$2:$A$35,Ref!$B$2:$B$35)</f>
        <v>10.1021/acs.est.5b03686</v>
      </c>
    </row>
    <row r="104" spans="2:53" x14ac:dyDescent="0.3">
      <c r="B104" s="1"/>
      <c r="C104" t="s">
        <v>161</v>
      </c>
      <c r="D104" t="s">
        <v>70</v>
      </c>
      <c r="G104" t="s">
        <v>71</v>
      </c>
      <c r="H104" t="s">
        <v>72</v>
      </c>
      <c r="I104" t="s">
        <v>73</v>
      </c>
      <c r="L104" s="1">
        <v>25</v>
      </c>
      <c r="M104" s="1">
        <f t="shared" si="61"/>
        <v>298.14999999999998</v>
      </c>
      <c r="N104" s="81">
        <f t="shared" si="54"/>
        <v>14</v>
      </c>
      <c r="P104" s="6">
        <v>8</v>
      </c>
      <c r="R104" s="10">
        <v>3.3300000000000003E-5</v>
      </c>
      <c r="S104" s="6" t="s">
        <v>150</v>
      </c>
      <c r="T104" s="14">
        <f t="shared" si="64"/>
        <v>3.8541666666666665E-10</v>
      </c>
      <c r="U104" s="14"/>
      <c r="V104" s="14">
        <f t="shared" si="62"/>
        <v>3.8541666666666667E-4</v>
      </c>
      <c r="W104" s="12">
        <f t="shared" ref="W104:W111" si="68">(LN(2)/X104)/(60*60*24)</f>
        <v>20815.230647445806</v>
      </c>
      <c r="X104" s="7">
        <f t="shared" si="56"/>
        <v>3.854166666666666E-10</v>
      </c>
      <c r="Y104" s="7">
        <f t="shared" si="57"/>
        <v>3.8541666666666661E-4</v>
      </c>
      <c r="Z104">
        <f t="shared" si="63"/>
        <v>-3.4140695089725734</v>
      </c>
      <c r="AA104">
        <f t="shared" si="66"/>
        <v>-9.4140695089725739</v>
      </c>
      <c r="AB104" s="4">
        <f t="shared" si="67"/>
        <v>57.028029171084398</v>
      </c>
      <c r="AC104" t="s">
        <v>329</v>
      </c>
      <c r="AG104" t="str">
        <f>_xlfn.XLOOKUP(C104,Ref!$A$2:$A$35,Ref!$B$2:$B$35)</f>
        <v>10.1021/acs.est.5b03686</v>
      </c>
    </row>
    <row r="105" spans="2:53" x14ac:dyDescent="0.3">
      <c r="B105" s="1"/>
      <c r="C105" t="s">
        <v>161</v>
      </c>
      <c r="D105" t="s">
        <v>74</v>
      </c>
      <c r="G105" t="s">
        <v>75</v>
      </c>
      <c r="H105" t="s">
        <v>72</v>
      </c>
      <c r="I105" t="s">
        <v>76</v>
      </c>
      <c r="L105" s="1">
        <v>25</v>
      </c>
      <c r="M105" s="1">
        <f t="shared" si="61"/>
        <v>298.14999999999998</v>
      </c>
      <c r="N105" s="81">
        <f t="shared" si="54"/>
        <v>14</v>
      </c>
      <c r="P105" s="6">
        <v>8</v>
      </c>
      <c r="R105" s="10">
        <v>3.8500000000000001E-5</v>
      </c>
      <c r="S105" s="6" t="s">
        <v>150</v>
      </c>
      <c r="T105" s="14">
        <f t="shared" si="64"/>
        <v>4.4560185185185185E-10</v>
      </c>
      <c r="U105" s="14"/>
      <c r="V105" s="14">
        <f t="shared" si="62"/>
        <v>4.4560185185185187E-4</v>
      </c>
      <c r="W105" s="12">
        <f t="shared" si="68"/>
        <v>18003.822871686887</v>
      </c>
      <c r="X105" s="7">
        <f t="shared" si="56"/>
        <v>4.456018518518519E-10</v>
      </c>
      <c r="Y105" s="7">
        <f t="shared" si="57"/>
        <v>4.4560185185185192E-4</v>
      </c>
      <c r="Z105">
        <f t="shared" si="63"/>
        <v>-3.3510530129703926</v>
      </c>
      <c r="AA105">
        <f t="shared" si="66"/>
        <v>-9.351053012970393</v>
      </c>
      <c r="AB105" s="4">
        <f t="shared" si="67"/>
        <v>49.325542114210648</v>
      </c>
      <c r="AC105" t="s">
        <v>329</v>
      </c>
      <c r="AG105" t="str">
        <f>_xlfn.XLOOKUP(C105,Ref!$A$2:$A$35,Ref!$B$2:$B$35)</f>
        <v>10.1021/acs.est.5b03686</v>
      </c>
    </row>
    <row r="106" spans="2:53" x14ac:dyDescent="0.3">
      <c r="B106" s="1"/>
      <c r="C106" t="s">
        <v>161</v>
      </c>
      <c r="D106" t="s">
        <v>70</v>
      </c>
      <c r="G106" t="s">
        <v>71</v>
      </c>
      <c r="H106" t="s">
        <v>72</v>
      </c>
      <c r="I106" t="s">
        <v>73</v>
      </c>
      <c r="L106" s="1">
        <v>25</v>
      </c>
      <c r="M106" s="1">
        <f t="shared" si="61"/>
        <v>298.14999999999998</v>
      </c>
      <c r="N106" s="81">
        <f t="shared" si="54"/>
        <v>14</v>
      </c>
      <c r="P106" s="6">
        <v>7</v>
      </c>
      <c r="R106" s="10">
        <v>3.8000000000000002E-5</v>
      </c>
      <c r="S106" s="6" t="s">
        <v>150</v>
      </c>
      <c r="T106" s="14">
        <f t="shared" si="64"/>
        <v>4.3981481481481478E-10</v>
      </c>
      <c r="U106" s="14"/>
      <c r="V106" s="14">
        <f t="shared" si="62"/>
        <v>4.3981481481481476E-3</v>
      </c>
      <c r="W106" s="12">
        <f t="shared" si="68"/>
        <v>18240.715277893294</v>
      </c>
      <c r="X106" s="7">
        <f t="shared" si="56"/>
        <v>4.3981481481481484E-10</v>
      </c>
      <c r="Y106" s="7">
        <f t="shared" si="57"/>
        <v>4.3981481481481484E-3</v>
      </c>
      <c r="Z106">
        <f t="shared" si="63"/>
        <v>-2.3567301458620831</v>
      </c>
      <c r="AA106">
        <f t="shared" si="66"/>
        <v>-9.356730145862084</v>
      </c>
      <c r="AB106" s="4">
        <f t="shared" si="67"/>
        <v>49.974562405187108</v>
      </c>
      <c r="AC106" t="s">
        <v>329</v>
      </c>
      <c r="AG106" t="str">
        <f>_xlfn.XLOOKUP(C106,Ref!$A$2:$A$35,Ref!$B$2:$B$35)</f>
        <v>10.1021/acs.est.5b03686</v>
      </c>
    </row>
    <row r="107" spans="2:53" x14ac:dyDescent="0.3">
      <c r="B107" s="1"/>
      <c r="C107" t="s">
        <v>161</v>
      </c>
      <c r="D107" t="s">
        <v>74</v>
      </c>
      <c r="G107" t="s">
        <v>75</v>
      </c>
      <c r="H107" t="s">
        <v>72</v>
      </c>
      <c r="I107" t="s">
        <v>76</v>
      </c>
      <c r="L107" s="1">
        <v>25</v>
      </c>
      <c r="M107" s="1">
        <f t="shared" si="61"/>
        <v>298.14999999999998</v>
      </c>
      <c r="N107" s="81">
        <f t="shared" si="54"/>
        <v>14</v>
      </c>
      <c r="P107" s="6">
        <v>7</v>
      </c>
      <c r="R107" s="10">
        <v>3.3599999999999997E-5</v>
      </c>
      <c r="S107" s="6" t="s">
        <v>150</v>
      </c>
      <c r="T107" s="14">
        <f t="shared" si="64"/>
        <v>3.8888888888888887E-10</v>
      </c>
      <c r="U107" s="14"/>
      <c r="V107" s="14">
        <f t="shared" si="62"/>
        <v>3.8888888888888888E-3</v>
      </c>
      <c r="W107" s="12">
        <f t="shared" si="68"/>
        <v>20629.3803738079</v>
      </c>
      <c r="X107" s="7">
        <f t="shared" si="56"/>
        <v>3.8888888888888882E-10</v>
      </c>
      <c r="Y107" s="7">
        <f t="shared" si="57"/>
        <v>3.8888888888888883E-3</v>
      </c>
      <c r="Z107">
        <f t="shared" si="63"/>
        <v>-2.4101744650890491</v>
      </c>
      <c r="AA107">
        <f t="shared" si="66"/>
        <v>-9.4101744650890495</v>
      </c>
      <c r="AB107" s="4">
        <f t="shared" si="67"/>
        <v>56.51885033919973</v>
      </c>
      <c r="AC107" t="s">
        <v>329</v>
      </c>
      <c r="AG107" t="str">
        <f>_xlfn.XLOOKUP(C107,Ref!$A$2:$A$35,Ref!$B$2:$B$35)</f>
        <v>10.1021/acs.est.5b03686</v>
      </c>
    </row>
    <row r="108" spans="2:53" x14ac:dyDescent="0.3">
      <c r="B108" s="1"/>
      <c r="C108" t="s">
        <v>161</v>
      </c>
      <c r="D108" t="s">
        <v>70</v>
      </c>
      <c r="G108" t="s">
        <v>71</v>
      </c>
      <c r="H108" t="s">
        <v>72</v>
      </c>
      <c r="I108" t="s">
        <v>73</v>
      </c>
      <c r="L108" s="1">
        <v>25</v>
      </c>
      <c r="M108" s="1">
        <f t="shared" si="61"/>
        <v>298.14999999999998</v>
      </c>
      <c r="N108" s="81">
        <f t="shared" si="54"/>
        <v>14</v>
      </c>
      <c r="P108" s="6">
        <v>6</v>
      </c>
      <c r="R108" s="10">
        <v>4.5399999999999999E-5</v>
      </c>
      <c r="S108" s="6" t="s">
        <v>150</v>
      </c>
      <c r="T108" s="14">
        <f t="shared" si="64"/>
        <v>5.2546296296296293E-10</v>
      </c>
      <c r="U108" s="14"/>
      <c r="V108" s="14">
        <f t="shared" si="62"/>
        <v>5.2546296296296292E-2</v>
      </c>
      <c r="W108" s="12">
        <f t="shared" si="68"/>
        <v>15267.5590431706</v>
      </c>
      <c r="X108" s="7">
        <f t="shared" si="56"/>
        <v>5.2546296296296304E-10</v>
      </c>
      <c r="Y108" s="7">
        <f t="shared" si="57"/>
        <v>5.2546296296296299E-2</v>
      </c>
      <c r="Z108">
        <f t="shared" si="63"/>
        <v>-1.2794578896217894</v>
      </c>
      <c r="AA108">
        <f t="shared" si="66"/>
        <v>-9.2794578896217885</v>
      </c>
      <c r="AB108" s="4">
        <f t="shared" si="67"/>
        <v>41.828928885398902</v>
      </c>
      <c r="AC108" t="s">
        <v>329</v>
      </c>
      <c r="AG108" t="str">
        <f>_xlfn.XLOOKUP(C108,Ref!$A$2:$A$35,Ref!$B$2:$B$35)</f>
        <v>10.1021/acs.est.5b03686</v>
      </c>
    </row>
    <row r="109" spans="2:53" x14ac:dyDescent="0.3">
      <c r="B109" s="1"/>
      <c r="C109" t="s">
        <v>161</v>
      </c>
      <c r="D109" t="s">
        <v>74</v>
      </c>
      <c r="G109" t="s">
        <v>75</v>
      </c>
      <c r="H109" t="s">
        <v>72</v>
      </c>
      <c r="I109" t="s">
        <v>76</v>
      </c>
      <c r="L109" s="1">
        <v>25</v>
      </c>
      <c r="M109" s="1">
        <f t="shared" si="61"/>
        <v>298.14999999999998</v>
      </c>
      <c r="N109" s="81">
        <f t="shared" si="54"/>
        <v>14</v>
      </c>
      <c r="P109" s="6">
        <v>6</v>
      </c>
      <c r="R109" s="10">
        <v>2.8099999999999999E-5</v>
      </c>
      <c r="S109" s="6" t="s">
        <v>150</v>
      </c>
      <c r="T109" s="14">
        <f t="shared" si="64"/>
        <v>3.2523148148148146E-10</v>
      </c>
      <c r="U109" s="14"/>
      <c r="V109" s="14">
        <f t="shared" si="62"/>
        <v>3.2523148148148148E-2</v>
      </c>
      <c r="W109" s="12">
        <f t="shared" si="68"/>
        <v>24667.159450531868</v>
      </c>
      <c r="X109" s="7">
        <f t="shared" si="56"/>
        <v>3.2523148148148141E-10</v>
      </c>
      <c r="Y109" s="7">
        <f t="shared" si="57"/>
        <v>3.2523148148148141E-2</v>
      </c>
      <c r="Z109">
        <f t="shared" si="63"/>
        <v>-1.4878074225738134</v>
      </c>
      <c r="AA109">
        <f t="shared" si="66"/>
        <v>-9.4878074225738143</v>
      </c>
      <c r="AB109" s="4">
        <f t="shared" si="67"/>
        <v>67.581258768580454</v>
      </c>
      <c r="AC109" t="s">
        <v>329</v>
      </c>
      <c r="AG109" t="str">
        <f>_xlfn.XLOOKUP(C109,Ref!$A$2:$A$35,Ref!$B$2:$B$35)</f>
        <v>10.1021/acs.est.5b03686</v>
      </c>
    </row>
    <row r="110" spans="2:53" x14ac:dyDescent="0.3">
      <c r="B110" s="1"/>
      <c r="C110" t="s">
        <v>161</v>
      </c>
      <c r="D110" t="s">
        <v>70</v>
      </c>
      <c r="G110" t="s">
        <v>71</v>
      </c>
      <c r="H110" t="s">
        <v>72</v>
      </c>
      <c r="I110" t="s">
        <v>73</v>
      </c>
      <c r="L110" s="1">
        <v>25</v>
      </c>
      <c r="M110" s="1">
        <f t="shared" si="61"/>
        <v>298.14999999999998</v>
      </c>
      <c r="N110" s="81">
        <f t="shared" si="54"/>
        <v>14</v>
      </c>
      <c r="P110" s="6">
        <v>5</v>
      </c>
      <c r="R110" s="10">
        <v>2.6400000000000001E-5</v>
      </c>
      <c r="S110" s="6" t="s">
        <v>150</v>
      </c>
      <c r="T110" s="14">
        <f t="shared" si="64"/>
        <v>3.0555555555555557E-10</v>
      </c>
      <c r="U110" s="14"/>
      <c r="V110" s="14">
        <f t="shared" si="62"/>
        <v>0.30555555555555558</v>
      </c>
      <c r="W110" s="12">
        <f t="shared" si="68"/>
        <v>26255.575021210043</v>
      </c>
      <c r="X110" s="7">
        <f t="shared" si="56"/>
        <v>3.0555555555555562E-10</v>
      </c>
      <c r="Y110" s="7">
        <f t="shared" si="57"/>
        <v>0.30555555555555558</v>
      </c>
      <c r="Z110">
        <f t="shared" si="63"/>
        <v>-0.51490981560906224</v>
      </c>
      <c r="AA110">
        <f t="shared" si="66"/>
        <v>-9.5149098156090623</v>
      </c>
      <c r="AB110" s="4">
        <f t="shared" si="67"/>
        <v>71.933082249890532</v>
      </c>
      <c r="AC110" t="s">
        <v>329</v>
      </c>
      <c r="AG110" t="str">
        <f>_xlfn.XLOOKUP(C110,Ref!$A$2:$A$35,Ref!$B$2:$B$35)</f>
        <v>10.1021/acs.est.5b03686</v>
      </c>
    </row>
    <row r="111" spans="2:53" x14ac:dyDescent="0.3">
      <c r="B111" s="1"/>
      <c r="C111" t="s">
        <v>161</v>
      </c>
      <c r="D111" t="s">
        <v>74</v>
      </c>
      <c r="G111" t="s">
        <v>75</v>
      </c>
      <c r="H111" t="s">
        <v>72</v>
      </c>
      <c r="I111" t="s">
        <v>76</v>
      </c>
      <c r="L111" s="1">
        <v>25</v>
      </c>
      <c r="M111" s="1">
        <f t="shared" si="61"/>
        <v>298.14999999999998</v>
      </c>
      <c r="N111" s="81">
        <f t="shared" si="54"/>
        <v>14</v>
      </c>
      <c r="P111" s="6">
        <v>5</v>
      </c>
      <c r="R111" s="10">
        <v>1.7799999999999999E-5</v>
      </c>
      <c r="S111" s="6" t="s">
        <v>150</v>
      </c>
      <c r="T111" s="14">
        <f t="shared" si="64"/>
        <v>2.0601851851851849E-10</v>
      </c>
      <c r="U111" s="14"/>
      <c r="V111" s="14">
        <f t="shared" si="62"/>
        <v>0.20601851851851849</v>
      </c>
      <c r="W111" s="12">
        <f t="shared" si="68"/>
        <v>38940.852840446372</v>
      </c>
      <c r="X111" s="7">
        <f t="shared" si="56"/>
        <v>2.0601851851851849E-10</v>
      </c>
      <c r="Y111" s="7">
        <f t="shared" si="57"/>
        <v>0.20601851851851849</v>
      </c>
      <c r="Z111">
        <f t="shared" si="63"/>
        <v>-0.68609374016999936</v>
      </c>
      <c r="AA111">
        <f t="shared" si="66"/>
        <v>-9.6860937401699996</v>
      </c>
      <c r="AB111" s="4">
        <f t="shared" si="67"/>
        <v>106.68726805601746</v>
      </c>
      <c r="AC111" t="s">
        <v>329</v>
      </c>
      <c r="AD111" s="21">
        <f>AVERAGE(W86:W111)</f>
        <v>9068.2974426270503</v>
      </c>
      <c r="AE111" s="21">
        <f>MEDIAN(W86:W111)</f>
        <v>1982.7714414688483</v>
      </c>
      <c r="AF111" s="60">
        <f>STDEV(W86:W111)</f>
        <v>11090.818607078174</v>
      </c>
      <c r="AG111" t="str">
        <f>_xlfn.XLOOKUP(C111,Ref!$A$2:$A$35,Ref!$B$2:$B$35)</f>
        <v>10.1021/acs.est.5b03686</v>
      </c>
      <c r="AH111" s="11">
        <f>AVERAGE(Y86:Y111)</f>
        <v>0.56258339237656774</v>
      </c>
      <c r="AI111">
        <f>LOG(AH111)</f>
        <v>-0.24981309247951342</v>
      </c>
    </row>
    <row r="112" spans="2:53" x14ac:dyDescent="0.3">
      <c r="B112" s="1"/>
      <c r="C112" t="s">
        <v>88</v>
      </c>
      <c r="D112" t="s">
        <v>89</v>
      </c>
      <c r="G112" t="s">
        <v>90</v>
      </c>
      <c r="H112" t="s">
        <v>91</v>
      </c>
      <c r="I112" t="s">
        <v>92</v>
      </c>
      <c r="L112">
        <v>25</v>
      </c>
      <c r="M112" s="1">
        <f t="shared" si="61"/>
        <v>298.14999999999998</v>
      </c>
      <c r="N112" s="81">
        <f t="shared" si="54"/>
        <v>14</v>
      </c>
      <c r="P112" s="6">
        <v>7</v>
      </c>
      <c r="R112" s="10">
        <f>0.0000152</f>
        <v>1.52E-5</v>
      </c>
      <c r="S112" s="6" t="s">
        <v>152</v>
      </c>
      <c r="T112" s="14">
        <f>(R112)*10^(7-P112)</f>
        <v>1.52E-5</v>
      </c>
      <c r="U112" s="14"/>
      <c r="V112" s="14">
        <f>T112*10^(N112-7)</f>
        <v>152</v>
      </c>
      <c r="W112" s="12">
        <f t="shared" ref="W112:W119" si="69">(LN(2)/X112)/(60*60*24)</f>
        <v>0.52779847447607919</v>
      </c>
      <c r="X112" s="7">
        <f t="shared" si="56"/>
        <v>1.52E-5</v>
      </c>
      <c r="Y112" s="7">
        <f t="shared" si="57"/>
        <v>152</v>
      </c>
      <c r="Z112">
        <f t="shared" ref="Z112:Z119" si="70">LOG(Y112)</f>
        <v>2.1818435879447726</v>
      </c>
      <c r="AA112">
        <f t="shared" ref="AA112:AA119" si="71">LOG(X112)</f>
        <v>-4.8181564120552274</v>
      </c>
      <c r="AB112" s="4">
        <f>W112*24</f>
        <v>12.667163387425902</v>
      </c>
      <c r="AC112" t="s">
        <v>326</v>
      </c>
      <c r="AG112" t="str">
        <f>_xlfn.XLOOKUP(C112,Ref!$A$2:$A$35,Ref!$B$2:$B$35)</f>
        <v>10.1177/004051756003000509</v>
      </c>
    </row>
    <row r="113" spans="2:35" x14ac:dyDescent="0.3">
      <c r="B113" s="1"/>
      <c r="C113" t="s">
        <v>88</v>
      </c>
      <c r="D113" t="s">
        <v>89</v>
      </c>
      <c r="G113" t="s">
        <v>90</v>
      </c>
      <c r="H113" t="s">
        <v>91</v>
      </c>
      <c r="I113" t="s">
        <v>92</v>
      </c>
      <c r="L113">
        <v>25</v>
      </c>
      <c r="M113" s="1">
        <f t="shared" si="61"/>
        <v>298.14999999999998</v>
      </c>
      <c r="N113" s="81">
        <f t="shared" si="54"/>
        <v>14</v>
      </c>
      <c r="P113" s="6">
        <v>7.5</v>
      </c>
      <c r="R113" s="10">
        <f>0.03</f>
        <v>0.03</v>
      </c>
      <c r="S113" s="6" t="s">
        <v>152</v>
      </c>
      <c r="T113" s="14">
        <f>(R113)*10^(7.5-P113)</f>
        <v>0.03</v>
      </c>
      <c r="U113" s="14"/>
      <c r="V113" s="14">
        <f>T113*10^(N113-7.5)</f>
        <v>94868.329805051544</v>
      </c>
      <c r="W113" s="12">
        <f t="shared" si="69"/>
        <v>2.6741789373454708E-4</v>
      </c>
      <c r="X113" s="7">
        <f t="shared" si="56"/>
        <v>2.9999999999999968E-2</v>
      </c>
      <c r="Y113" s="7">
        <f t="shared" si="57"/>
        <v>94868.329805051457</v>
      </c>
      <c r="Z113">
        <f t="shared" si="70"/>
        <v>4.9771212547196626</v>
      </c>
      <c r="AA113">
        <f t="shared" si="71"/>
        <v>-1.5228787452803381</v>
      </c>
      <c r="AB113" s="4">
        <f>W113*86400</f>
        <v>23.104906018664867</v>
      </c>
      <c r="AC113" t="s">
        <v>330</v>
      </c>
      <c r="AG113" t="str">
        <f>_xlfn.XLOOKUP(C113,Ref!$A$2:$A$35,Ref!$B$2:$B$35)</f>
        <v>10.1177/004051756003000509</v>
      </c>
    </row>
    <row r="114" spans="2:35" x14ac:dyDescent="0.3">
      <c r="B114" s="1"/>
      <c r="C114" t="s">
        <v>88</v>
      </c>
      <c r="D114" t="s">
        <v>89</v>
      </c>
      <c r="G114" t="s">
        <v>90</v>
      </c>
      <c r="H114" t="s">
        <v>91</v>
      </c>
      <c r="I114" t="s">
        <v>92</v>
      </c>
      <c r="L114">
        <v>25</v>
      </c>
      <c r="M114" s="1">
        <f t="shared" si="61"/>
        <v>298.14999999999998</v>
      </c>
      <c r="N114" s="81">
        <f t="shared" si="54"/>
        <v>14</v>
      </c>
      <c r="P114" s="6">
        <v>7.5</v>
      </c>
      <c r="R114" s="10">
        <f>0.05</f>
        <v>0.05</v>
      </c>
      <c r="S114" s="6" t="s">
        <v>152</v>
      </c>
      <c r="T114" s="14">
        <f>(R114)*10^(7.5-P114)</f>
        <v>0.05</v>
      </c>
      <c r="U114" s="14"/>
      <c r="V114" s="14">
        <f>T114*10^(N114-7.5)</f>
        <v>158113.88300841927</v>
      </c>
      <c r="W114" s="12">
        <f t="shared" si="69"/>
        <v>1.6045073624072797E-4</v>
      </c>
      <c r="X114" s="7">
        <f t="shared" si="56"/>
        <v>5.0000000000000031E-2</v>
      </c>
      <c r="Y114" s="7">
        <f t="shared" si="57"/>
        <v>158113.88300841936</v>
      </c>
      <c r="Z114">
        <f t="shared" si="70"/>
        <v>5.1989700043360196</v>
      </c>
      <c r="AA114">
        <f t="shared" si="71"/>
        <v>-1.301029995663981</v>
      </c>
      <c r="AB114" s="4">
        <f>W114*86400</f>
        <v>13.862943611198896</v>
      </c>
      <c r="AC114" t="s">
        <v>330</v>
      </c>
      <c r="AG114" t="str">
        <f>_xlfn.XLOOKUP(C114,Ref!$A$2:$A$35,Ref!$B$2:$B$35)</f>
        <v>10.1177/004051756003000509</v>
      </c>
    </row>
    <row r="115" spans="2:35" x14ac:dyDescent="0.3">
      <c r="B115" s="1" t="s">
        <v>162</v>
      </c>
      <c r="C115" t="s">
        <v>93</v>
      </c>
      <c r="D115" t="s">
        <v>156</v>
      </c>
      <c r="G115" t="s">
        <v>126</v>
      </c>
      <c r="H115" t="s">
        <v>130</v>
      </c>
      <c r="I115" t="s">
        <v>129</v>
      </c>
      <c r="L115">
        <v>25</v>
      </c>
      <c r="M115" s="1">
        <f t="shared" si="61"/>
        <v>298.14999999999998</v>
      </c>
      <c r="N115" s="81">
        <f t="shared" si="54"/>
        <v>14</v>
      </c>
      <c r="P115" s="6">
        <v>9</v>
      </c>
      <c r="Q115" s="6">
        <f>5/24</f>
        <v>0.20833333333333334</v>
      </c>
      <c r="R115" s="10"/>
      <c r="T115" s="13">
        <f>((LN(2)/Q115)/(60*60*24))*10^(9-P115)</f>
        <v>3.8508176697774737E-5</v>
      </c>
      <c r="U115" s="13"/>
      <c r="V115" s="13">
        <f>T115*10^(N115-9)</f>
        <v>3.8508176697774736</v>
      </c>
      <c r="W115" s="12">
        <f t="shared" si="69"/>
        <v>0.20833333333333334</v>
      </c>
      <c r="X115" s="7">
        <f t="shared" si="56"/>
        <v>3.8508176697774737E-5</v>
      </c>
      <c r="Y115" s="7">
        <f t="shared" si="57"/>
        <v>3.8508176697774736</v>
      </c>
      <c r="Z115">
        <f t="shared" si="70"/>
        <v>0.58555295594183232</v>
      </c>
      <c r="AA115">
        <f t="shared" si="71"/>
        <v>-4.4144470440581678</v>
      </c>
      <c r="AB115" s="4">
        <f>W115*24</f>
        <v>5</v>
      </c>
      <c r="AC115" t="s">
        <v>326</v>
      </c>
      <c r="AG115" t="str">
        <f>_xlfn.XLOOKUP(C115,Ref!$A$2:$A$35,Ref!$B$2:$B$35)</f>
        <v>10.1021/bm0700136</v>
      </c>
    </row>
    <row r="116" spans="2:35" x14ac:dyDescent="0.3">
      <c r="B116" s="1" t="s">
        <v>368</v>
      </c>
      <c r="C116" t="s">
        <v>93</v>
      </c>
      <c r="D116" t="s">
        <v>156</v>
      </c>
      <c r="G116" t="s">
        <v>126</v>
      </c>
      <c r="H116" t="s">
        <v>130</v>
      </c>
      <c r="I116" t="s">
        <v>129</v>
      </c>
      <c r="L116">
        <v>25</v>
      </c>
      <c r="M116" s="1">
        <f t="shared" si="61"/>
        <v>298.14999999999998</v>
      </c>
      <c r="N116" s="49">
        <f t="shared" si="54"/>
        <v>14</v>
      </c>
      <c r="O116" s="48"/>
      <c r="P116" s="6">
        <v>7</v>
      </c>
      <c r="Q116" s="6">
        <f>4</f>
        <v>4</v>
      </c>
      <c r="R116" s="10"/>
      <c r="T116" s="13">
        <f>((LN(2)/Q116)/(60*60*24))*10^(7-P116)</f>
        <v>2.0056342030091009E-6</v>
      </c>
      <c r="U116" s="13"/>
      <c r="V116" s="13">
        <f>T116*10^(N116-7)</f>
        <v>20.05634203009101</v>
      </c>
      <c r="W116" s="12">
        <f t="shared" si="69"/>
        <v>4</v>
      </c>
      <c r="X116" s="7">
        <f t="shared" si="56"/>
        <v>2.0056342030091009E-6</v>
      </c>
      <c r="Y116" s="7">
        <f t="shared" si="57"/>
        <v>20.05634203009101</v>
      </c>
      <c r="Z116">
        <f t="shared" si="70"/>
        <v>1.3022517272382828</v>
      </c>
      <c r="AA116">
        <f t="shared" si="71"/>
        <v>-5.697748272761717</v>
      </c>
      <c r="AB116" s="4">
        <f>W116</f>
        <v>4</v>
      </c>
      <c r="AC116" t="s">
        <v>331</v>
      </c>
      <c r="AG116" t="str">
        <f>_xlfn.XLOOKUP(C116,Ref!$A$2:$A$35,Ref!$B$2:$B$35)</f>
        <v>10.1021/bm0700136</v>
      </c>
    </row>
    <row r="117" spans="2:35" x14ac:dyDescent="0.3">
      <c r="B117" s="1" t="s">
        <v>163</v>
      </c>
      <c r="C117" t="s">
        <v>369</v>
      </c>
      <c r="D117" t="s">
        <v>262</v>
      </c>
      <c r="G117" t="s">
        <v>127</v>
      </c>
      <c r="H117" t="s">
        <v>15</v>
      </c>
      <c r="I117" t="s">
        <v>129</v>
      </c>
      <c r="L117">
        <v>25</v>
      </c>
      <c r="M117" s="1">
        <f t="shared" si="61"/>
        <v>298.14999999999998</v>
      </c>
      <c r="N117" s="81">
        <f t="shared" si="54"/>
        <v>14</v>
      </c>
      <c r="P117" s="6">
        <v>7</v>
      </c>
      <c r="Q117" s="6">
        <f>17/24</f>
        <v>0.70833333333333337</v>
      </c>
      <c r="R117" s="10"/>
      <c r="T117" s="13">
        <f>((LN(2)/Q117)/(60*60*24))*10^(7-P117)</f>
        <v>1.1325934322874922E-5</v>
      </c>
      <c r="U117" s="13"/>
      <c r="V117" s="13">
        <f>T117*10^(N117-7)</f>
        <v>113.25934322874922</v>
      </c>
      <c r="W117" s="12">
        <f t="shared" si="69"/>
        <v>0.70833333333333337</v>
      </c>
      <c r="X117" s="7">
        <f t="shared" si="56"/>
        <v>1.1325934322874923E-5</v>
      </c>
      <c r="Y117" s="7">
        <f t="shared" si="57"/>
        <v>113.25934322874924</v>
      </c>
      <c r="Z117">
        <f t="shared" si="70"/>
        <v>2.0540740388995773</v>
      </c>
      <c r="AA117">
        <f t="shared" si="71"/>
        <v>-4.9459259611004232</v>
      </c>
      <c r="AB117" s="4">
        <f>W117*24</f>
        <v>17</v>
      </c>
      <c r="AC117" t="s">
        <v>326</v>
      </c>
      <c r="AG117" t="e">
        <f>_xlfn.XLOOKUP(C117,Ref!$A$2:$A$35,Ref!$B$2:$B$35)</f>
        <v>#N/A</v>
      </c>
    </row>
    <row r="118" spans="2:35" x14ac:dyDescent="0.3">
      <c r="B118" s="1" t="s">
        <v>158</v>
      </c>
      <c r="C118" t="s">
        <v>263</v>
      </c>
      <c r="D118" t="s">
        <v>262</v>
      </c>
      <c r="G118" t="s">
        <v>128</v>
      </c>
      <c r="H118" t="s">
        <v>15</v>
      </c>
      <c r="I118" t="s">
        <v>129</v>
      </c>
      <c r="L118">
        <v>25</v>
      </c>
      <c r="M118" s="1">
        <f t="shared" si="61"/>
        <v>298.14999999999998</v>
      </c>
      <c r="N118" s="81">
        <f t="shared" si="54"/>
        <v>14</v>
      </c>
      <c r="P118" s="6">
        <v>7</v>
      </c>
      <c r="Q118" s="6">
        <f>6/1440</f>
        <v>4.1666666666666666E-3</v>
      </c>
      <c r="R118" s="10"/>
      <c r="T118" s="13">
        <f>((LN(2)/Q118)/(60*60*24))*10^(7-P118)</f>
        <v>1.9254088348887369E-3</v>
      </c>
      <c r="U118" s="13"/>
      <c r="V118" s="13">
        <f>T118*10^(N118-7)</f>
        <v>19254.08834888737</v>
      </c>
      <c r="W118" s="12">
        <f t="shared" si="69"/>
        <v>4.1666666666666657E-3</v>
      </c>
      <c r="X118" s="7">
        <f t="shared" si="56"/>
        <v>1.9254088348887376E-3</v>
      </c>
      <c r="Y118" s="7">
        <f t="shared" si="57"/>
        <v>19254.088348887377</v>
      </c>
      <c r="Z118">
        <f t="shared" si="70"/>
        <v>4.284522960277851</v>
      </c>
      <c r="AA118">
        <f t="shared" si="71"/>
        <v>-2.7154770397221486</v>
      </c>
      <c r="AB118" s="4">
        <f>W118*1440</f>
        <v>5.9999999999999982</v>
      </c>
      <c r="AC118" t="s">
        <v>325</v>
      </c>
      <c r="AG118" t="str">
        <f>_xlfn.XLOOKUP(C118,Ref!$A$2:$A$35,Ref!$B$2:$B$35)</f>
        <v>10.1007/BF00812508</v>
      </c>
    </row>
    <row r="119" spans="2:35" x14ac:dyDescent="0.3">
      <c r="B119" s="1" t="s">
        <v>370</v>
      </c>
      <c r="C119" t="s">
        <v>261</v>
      </c>
      <c r="D119" t="s">
        <v>262</v>
      </c>
      <c r="G119" t="s">
        <v>128</v>
      </c>
      <c r="H119" t="s">
        <v>15</v>
      </c>
      <c r="I119" t="s">
        <v>129</v>
      </c>
      <c r="L119">
        <v>20</v>
      </c>
      <c r="M119" s="1">
        <f t="shared" si="61"/>
        <v>293.14999999999998</v>
      </c>
      <c r="N119" s="81">
        <f t="shared" si="54"/>
        <v>14.167030000755094</v>
      </c>
      <c r="P119" s="6">
        <v>7</v>
      </c>
      <c r="Q119" s="6">
        <f>1.5</f>
        <v>1.5</v>
      </c>
      <c r="R119" s="10"/>
      <c r="T119" s="13">
        <f>((LN(2)/Q119)/(60*60*24))*10^(7-P119)</f>
        <v>5.3483578746909356E-6</v>
      </c>
      <c r="U119" s="13"/>
      <c r="V119" s="13">
        <f>T119*10^(N119-7)</f>
        <v>78.56886153759713</v>
      </c>
      <c r="W119" s="12">
        <f t="shared" si="69"/>
        <v>1.0210834998795835</v>
      </c>
      <c r="X119" s="7">
        <f t="shared" si="56"/>
        <v>7.85688615375971E-6</v>
      </c>
      <c r="Y119" s="7">
        <f t="shared" si="57"/>
        <v>78.568861537597101</v>
      </c>
      <c r="Z119">
        <f t="shared" si="70"/>
        <v>1.895250460265659</v>
      </c>
      <c r="AA119">
        <f t="shared" si="71"/>
        <v>-5.1047495397343408</v>
      </c>
      <c r="AB119" s="4">
        <f>W119</f>
        <v>1.0210834998795835</v>
      </c>
      <c r="AC119" t="s">
        <v>331</v>
      </c>
      <c r="AD119" s="21">
        <f>AVERAGE(W112:W119)</f>
        <v>0.80876789703987129</v>
      </c>
      <c r="AE119" s="21">
        <f>MEDIAN(W112:W119)</f>
        <v>0.36806590390470628</v>
      </c>
      <c r="AF119" s="60">
        <f>STDEV(W112:W119)</f>
        <v>1.3434228671772934</v>
      </c>
      <c r="AG119" t="str">
        <f>_xlfn.XLOOKUP(C119,Ref!$A$2:$A$35,Ref!$B$2:$B$35)</f>
        <v>10.1016/j.jcis.2006.04.078</v>
      </c>
      <c r="AH119" s="11">
        <f>AVERAGE(Y112:Y119)</f>
        <v>34075.504565853051</v>
      </c>
      <c r="AI119">
        <f>LOG(AH119)</f>
        <v>4.5324422952783436</v>
      </c>
    </row>
    <row r="120" spans="2:35" x14ac:dyDescent="0.3">
      <c r="M120" s="1"/>
      <c r="N120" s="81"/>
      <c r="T120" s="13"/>
      <c r="U120" s="13"/>
      <c r="V120" s="13"/>
      <c r="W120" s="12"/>
      <c r="X120" s="7"/>
      <c r="Y120" s="7"/>
      <c r="AB120" s="4"/>
      <c r="AD120" s="61">
        <f>AVERAGE(W86:W119)</f>
        <v>6934.7706956317543</v>
      </c>
      <c r="AE120" s="61">
        <f>MEDIAN(W86:W119)</f>
        <v>144.72948421071897</v>
      </c>
      <c r="AF120" s="61">
        <f>STDEV(W86:W119)</f>
        <v>10412.907807165204</v>
      </c>
      <c r="AH120" s="59">
        <f>AVERAGE(Y86:Y119)</f>
        <v>8018.1959910301821</v>
      </c>
      <c r="AI120" s="2">
        <f>LOG(AH120)</f>
        <v>3.9040766676269776</v>
      </c>
    </row>
    <row r="121" spans="2:35" x14ac:dyDescent="0.3">
      <c r="M121" s="1"/>
      <c r="N121" s="81"/>
      <c r="T121" s="13"/>
      <c r="U121" s="13"/>
      <c r="V121" s="13"/>
      <c r="W121" s="12"/>
      <c r="X121" s="7"/>
      <c r="Y121" s="7"/>
      <c r="AB121" s="4"/>
    </row>
    <row r="122" spans="2:35" x14ac:dyDescent="0.3">
      <c r="AB122" s="4"/>
    </row>
    <row r="123" spans="2:35" x14ac:dyDescent="0.3">
      <c r="AB123" s="4"/>
    </row>
    <row r="124" spans="2:35" x14ac:dyDescent="0.3">
      <c r="AB124" s="4"/>
    </row>
    <row r="125" spans="2:35" x14ac:dyDescent="0.3">
      <c r="AB125" s="4"/>
    </row>
    <row r="126" spans="2:35" x14ac:dyDescent="0.3">
      <c r="AB126" s="4"/>
    </row>
    <row r="127" spans="2:35" x14ac:dyDescent="0.3">
      <c r="AB127" s="4"/>
    </row>
    <row r="128" spans="2:35" x14ac:dyDescent="0.3">
      <c r="AB128" s="4"/>
    </row>
    <row r="129" spans="28:28" x14ac:dyDescent="0.3">
      <c r="AB129" s="4"/>
    </row>
    <row r="130" spans="28:28" x14ac:dyDescent="0.3">
      <c r="AB130" s="4"/>
    </row>
    <row r="131" spans="28:28" x14ac:dyDescent="0.3">
      <c r="AB131" s="4"/>
    </row>
    <row r="132" spans="28:28" x14ac:dyDescent="0.3">
      <c r="AB132" s="4"/>
    </row>
    <row r="133" spans="28:28" x14ac:dyDescent="0.3">
      <c r="AB133" s="4"/>
    </row>
    <row r="134" spans="28:28" x14ac:dyDescent="0.3">
      <c r="AB134" s="4"/>
    </row>
    <row r="135" spans="28:28" x14ac:dyDescent="0.3">
      <c r="AB135" s="4"/>
    </row>
    <row r="136" spans="28:28" x14ac:dyDescent="0.3">
      <c r="AB136" s="4"/>
    </row>
    <row r="137" spans="28:28" x14ac:dyDescent="0.3">
      <c r="AB137" s="4"/>
    </row>
    <row r="138" spans="28:28" x14ac:dyDescent="0.3">
      <c r="AB138" s="4"/>
    </row>
    <row r="139" spans="28:28" x14ac:dyDescent="0.3">
      <c r="AB139" s="4"/>
    </row>
    <row r="140" spans="28:28" x14ac:dyDescent="0.3">
      <c r="AB140" s="4"/>
    </row>
    <row r="141" spans="28:28" x14ac:dyDescent="0.3">
      <c r="AB141" s="4"/>
    </row>
    <row r="142" spans="28:28" x14ac:dyDescent="0.3">
      <c r="AB142" s="4"/>
    </row>
    <row r="143" spans="28:28" x14ac:dyDescent="0.3">
      <c r="AB143" s="4"/>
    </row>
    <row r="144" spans="28:28" x14ac:dyDescent="0.3">
      <c r="AB144" s="4"/>
    </row>
    <row r="145" spans="28:28" x14ac:dyDescent="0.3">
      <c r="AB145" s="4"/>
    </row>
    <row r="146" spans="28:28" x14ac:dyDescent="0.3">
      <c r="AB146" s="4"/>
    </row>
    <row r="147" spans="28:28" x14ac:dyDescent="0.3">
      <c r="AB147" s="4"/>
    </row>
    <row r="148" spans="28:28" x14ac:dyDescent="0.3">
      <c r="AB148" s="4"/>
    </row>
    <row r="149" spans="28:28" x14ac:dyDescent="0.3">
      <c r="AB149" s="4"/>
    </row>
    <row r="150" spans="28:28" x14ac:dyDescent="0.3">
      <c r="AB150" s="4"/>
    </row>
    <row r="151" spans="28:28" x14ac:dyDescent="0.3">
      <c r="AB151" s="4"/>
    </row>
    <row r="152" spans="28:28" x14ac:dyDescent="0.3">
      <c r="AB152" s="4"/>
    </row>
    <row r="153" spans="28:28" x14ac:dyDescent="0.3">
      <c r="AB153" s="4"/>
    </row>
    <row r="154" spans="28:28" x14ac:dyDescent="0.3">
      <c r="AB154" s="4"/>
    </row>
    <row r="155" spans="28:28" x14ac:dyDescent="0.3">
      <c r="AB155" s="4"/>
    </row>
    <row r="156" spans="28:28" x14ac:dyDescent="0.3">
      <c r="AB156" s="4"/>
    </row>
    <row r="157" spans="28:28" x14ac:dyDescent="0.3">
      <c r="AB157" s="4"/>
    </row>
    <row r="158" spans="28:28" x14ac:dyDescent="0.3">
      <c r="AB158" s="4"/>
    </row>
    <row r="159" spans="28:28" x14ac:dyDescent="0.3">
      <c r="AB159" s="4"/>
    </row>
    <row r="160" spans="28:28" x14ac:dyDescent="0.3">
      <c r="AB160" s="4"/>
    </row>
    <row r="161" spans="28:28" x14ac:dyDescent="0.3">
      <c r="AB161" s="4"/>
    </row>
    <row r="162" spans="28:28" x14ac:dyDescent="0.3">
      <c r="AB162" s="4"/>
    </row>
  </sheetData>
  <phoneticPr fontId="7" type="noConversion"/>
  <conditionalFormatting sqref="D30 F30">
    <cfRule type="duplicateValues" dxfId="35" priority="27"/>
  </conditionalFormatting>
  <conditionalFormatting sqref="D62 F62">
    <cfRule type="duplicateValues" dxfId="34" priority="30"/>
  </conditionalFormatting>
  <conditionalFormatting sqref="D81 F81">
    <cfRule type="duplicateValues" dxfId="33" priority="26"/>
  </conditionalFormatting>
  <conditionalFormatting sqref="D82 D76:D80 F80 F82">
    <cfRule type="duplicateValues" dxfId="32" priority="398"/>
  </conditionalFormatting>
  <conditionalFormatting sqref="D34:E34">
    <cfRule type="duplicateValues" dxfId="31" priority="29"/>
  </conditionalFormatting>
  <conditionalFormatting sqref="D37:E37 D35:F36 F34 D5:F29 D31:E33">
    <cfRule type="duplicateValues" dxfId="30" priority="392"/>
  </conditionalFormatting>
  <conditionalFormatting sqref="D83:E83">
    <cfRule type="duplicateValues" dxfId="29" priority="4"/>
  </conditionalFormatting>
  <conditionalFormatting sqref="D65:F73 D40:F55 D56:D61 F58:F60 D63:D64 F63:F64">
    <cfRule type="duplicateValues" dxfId="28" priority="395"/>
  </conditionalFormatting>
  <conditionalFormatting sqref="D86:F119">
    <cfRule type="duplicateValues" dxfId="27" priority="95"/>
  </conditionalFormatting>
  <conditionalFormatting sqref="E30">
    <cfRule type="duplicateValues" dxfId="26" priority="14"/>
  </conditionalFormatting>
  <conditionalFormatting sqref="E56:E57 E59:E61">
    <cfRule type="duplicateValues" dxfId="25" priority="13"/>
  </conditionalFormatting>
  <conditionalFormatting sqref="E58">
    <cfRule type="duplicateValues" dxfId="24" priority="11"/>
  </conditionalFormatting>
  <conditionalFormatting sqref="E62">
    <cfRule type="duplicateValues" dxfId="23" priority="2"/>
  </conditionalFormatting>
  <conditionalFormatting sqref="E63:E64">
    <cfRule type="duplicateValues" dxfId="22" priority="10"/>
  </conditionalFormatting>
  <conditionalFormatting sqref="E76:E77">
    <cfRule type="duplicateValues" dxfId="21" priority="9"/>
  </conditionalFormatting>
  <conditionalFormatting sqref="E78:E80">
    <cfRule type="duplicateValues" dxfId="20" priority="8"/>
  </conditionalFormatting>
  <conditionalFormatting sqref="E81">
    <cfRule type="duplicateValues" dxfId="19" priority="1"/>
  </conditionalFormatting>
  <conditionalFormatting sqref="E82">
    <cfRule type="duplicateValues" dxfId="18" priority="6"/>
  </conditionalFormatting>
  <conditionalFormatting sqref="F31">
    <cfRule type="duplicateValues" dxfId="17" priority="19"/>
  </conditionalFormatting>
  <conditionalFormatting sqref="F32">
    <cfRule type="duplicateValues" dxfId="16" priority="419"/>
  </conditionalFormatting>
  <conditionalFormatting sqref="F33">
    <cfRule type="duplicateValues" dxfId="15" priority="15"/>
  </conditionalFormatting>
  <conditionalFormatting sqref="F37">
    <cfRule type="duplicateValues" dxfId="14" priority="31"/>
  </conditionalFormatting>
  <conditionalFormatting sqref="F56">
    <cfRule type="duplicateValues" dxfId="13" priority="25"/>
  </conditionalFormatting>
  <conditionalFormatting sqref="F57">
    <cfRule type="duplicateValues" dxfId="12" priority="24"/>
  </conditionalFormatting>
  <conditionalFormatting sqref="F61">
    <cfRule type="duplicateValues" dxfId="11" priority="16"/>
  </conditionalFormatting>
  <conditionalFormatting sqref="F76">
    <cfRule type="duplicateValues" dxfId="10" priority="23"/>
  </conditionalFormatting>
  <conditionalFormatting sqref="F77">
    <cfRule type="duplicateValues" dxfId="9" priority="22"/>
  </conditionalFormatting>
  <conditionalFormatting sqref="F78">
    <cfRule type="duplicateValues" dxfId="8" priority="21"/>
  </conditionalFormatting>
  <conditionalFormatting sqref="F79">
    <cfRule type="duplicateValues" dxfId="7" priority="20"/>
  </conditionalFormatting>
  <conditionalFormatting sqref="F83">
    <cfRule type="duplicateValues" dxfId="6" priority="3"/>
  </conditionalFormatting>
  <conditionalFormatting sqref="G5:G29 G31:G37">
    <cfRule type="duplicateValues" dxfId="5" priority="416"/>
  </conditionalFormatting>
  <conditionalFormatting sqref="G30">
    <cfRule type="duplicateValues" dxfId="4" priority="28"/>
  </conditionalFormatting>
  <conditionalFormatting sqref="G40:G73">
    <cfRule type="duplicateValues" dxfId="3" priority="406"/>
  </conditionalFormatting>
  <conditionalFormatting sqref="G76:G82">
    <cfRule type="duplicateValues" dxfId="2" priority="423"/>
  </conditionalFormatting>
  <conditionalFormatting sqref="G83">
    <cfRule type="duplicateValues" dxfId="1" priority="5"/>
  </conditionalFormatting>
  <conditionalFormatting sqref="G86:G119">
    <cfRule type="duplicateValues" dxfId="0" priority="96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09E2A-8CF3-48E7-AF58-FBDC73F55429}">
  <dimension ref="A1:B35"/>
  <sheetViews>
    <sheetView workbookViewId="0"/>
  </sheetViews>
  <sheetFormatPr defaultRowHeight="14.4" x14ac:dyDescent="0.3"/>
  <cols>
    <col min="1" max="1" width="30.109375" customWidth="1"/>
    <col min="2" max="2" width="47.44140625" customWidth="1"/>
  </cols>
  <sheetData>
    <row r="1" spans="1:2" x14ac:dyDescent="0.3">
      <c r="A1" t="s">
        <v>389</v>
      </c>
      <c r="B1" t="s">
        <v>379</v>
      </c>
    </row>
    <row r="2" spans="1:2" x14ac:dyDescent="0.3">
      <c r="A2" t="s">
        <v>259</v>
      </c>
      <c r="B2" t="s">
        <v>300</v>
      </c>
    </row>
    <row r="3" spans="1:2" x14ac:dyDescent="0.3">
      <c r="A3" t="s">
        <v>111</v>
      </c>
      <c r="B3" s="43" t="s">
        <v>304</v>
      </c>
    </row>
    <row r="4" spans="1:2" x14ac:dyDescent="0.3">
      <c r="A4" t="s">
        <v>88</v>
      </c>
      <c r="B4" t="s">
        <v>312</v>
      </c>
    </row>
    <row r="6" spans="1:2" x14ac:dyDescent="0.3">
      <c r="A6" t="s">
        <v>380</v>
      </c>
      <c r="B6" t="s">
        <v>378</v>
      </c>
    </row>
    <row r="8" spans="1:2" x14ac:dyDescent="0.3">
      <c r="A8" t="s">
        <v>395</v>
      </c>
      <c r="B8" t="s">
        <v>396</v>
      </c>
    </row>
    <row r="9" spans="1:2" x14ac:dyDescent="0.3">
      <c r="A9" t="s">
        <v>414</v>
      </c>
      <c r="B9" t="s">
        <v>413</v>
      </c>
    </row>
    <row r="10" spans="1:2" x14ac:dyDescent="0.3">
      <c r="A10" t="s">
        <v>392</v>
      </c>
      <c r="B10" s="43" t="s">
        <v>393</v>
      </c>
    </row>
    <row r="11" spans="1:2" x14ac:dyDescent="0.3">
      <c r="A11" s="43" t="s">
        <v>400</v>
      </c>
      <c r="B11" s="43" t="s">
        <v>401</v>
      </c>
    </row>
    <row r="14" spans="1:2" x14ac:dyDescent="0.3">
      <c r="A14" t="s">
        <v>388</v>
      </c>
      <c r="B14" t="s">
        <v>301</v>
      </c>
    </row>
    <row r="15" spans="1:2" x14ac:dyDescent="0.3">
      <c r="A15" t="s">
        <v>56</v>
      </c>
      <c r="B15" t="s">
        <v>302</v>
      </c>
    </row>
    <row r="16" spans="1:2" x14ac:dyDescent="0.3">
      <c r="A16" t="s">
        <v>94</v>
      </c>
      <c r="B16" t="s">
        <v>303</v>
      </c>
    </row>
    <row r="17" spans="1:2" x14ac:dyDescent="0.3">
      <c r="A17" t="s">
        <v>381</v>
      </c>
      <c r="B17" s="43" t="s">
        <v>382</v>
      </c>
    </row>
    <row r="18" spans="1:2" x14ac:dyDescent="0.3">
      <c r="A18" t="s">
        <v>247</v>
      </c>
      <c r="B18" t="s">
        <v>298</v>
      </c>
    </row>
    <row r="19" spans="1:2" x14ac:dyDescent="0.3">
      <c r="A19" t="s">
        <v>387</v>
      </c>
      <c r="B19" t="s">
        <v>299</v>
      </c>
    </row>
    <row r="20" spans="1:2" x14ac:dyDescent="0.3">
      <c r="A20" t="s">
        <v>385</v>
      </c>
      <c r="B20" t="s">
        <v>305</v>
      </c>
    </row>
    <row r="21" spans="1:2" x14ac:dyDescent="0.3">
      <c r="B21" s="63"/>
    </row>
    <row r="22" spans="1:2" x14ac:dyDescent="0.3">
      <c r="A22" t="s">
        <v>64</v>
      </c>
      <c r="B22" t="s">
        <v>306</v>
      </c>
    </row>
    <row r="23" spans="1:2" x14ac:dyDescent="0.3">
      <c r="A23" t="s">
        <v>248</v>
      </c>
      <c r="B23" t="s">
        <v>316</v>
      </c>
    </row>
    <row r="24" spans="1:2" x14ac:dyDescent="0.3">
      <c r="A24" s="1" t="s">
        <v>249</v>
      </c>
      <c r="B24" s="43" t="s">
        <v>307</v>
      </c>
    </row>
    <row r="25" spans="1:2" x14ac:dyDescent="0.3">
      <c r="A25" t="s">
        <v>251</v>
      </c>
      <c r="B25" s="43" t="s">
        <v>308</v>
      </c>
    </row>
    <row r="26" spans="1:2" x14ac:dyDescent="0.3">
      <c r="A26" s="43" t="s">
        <v>121</v>
      </c>
      <c r="B26" s="43" t="s">
        <v>390</v>
      </c>
    </row>
    <row r="27" spans="1:2" x14ac:dyDescent="0.3">
      <c r="A27" s="1" t="s">
        <v>17</v>
      </c>
      <c r="B27" t="s">
        <v>309</v>
      </c>
    </row>
    <row r="28" spans="1:2" x14ac:dyDescent="0.3">
      <c r="A28" s="43" t="s">
        <v>161</v>
      </c>
      <c r="B28" t="s">
        <v>317</v>
      </c>
    </row>
    <row r="29" spans="1:2" x14ac:dyDescent="0.3">
      <c r="A29" s="43" t="s">
        <v>260</v>
      </c>
      <c r="B29" t="s">
        <v>318</v>
      </c>
    </row>
    <row r="30" spans="1:2" x14ac:dyDescent="0.3">
      <c r="A30" t="s">
        <v>86</v>
      </c>
      <c r="B30" t="s">
        <v>310</v>
      </c>
    </row>
    <row r="31" spans="1:2" x14ac:dyDescent="0.3">
      <c r="A31" t="s">
        <v>77</v>
      </c>
      <c r="B31" s="43" t="s">
        <v>311</v>
      </c>
    </row>
    <row r="33" spans="1:2" x14ac:dyDescent="0.3">
      <c r="A33" t="s">
        <v>93</v>
      </c>
      <c r="B33" s="43" t="s">
        <v>313</v>
      </c>
    </row>
    <row r="34" spans="1:2" x14ac:dyDescent="0.3">
      <c r="A34" t="s">
        <v>263</v>
      </c>
      <c r="B34" t="s">
        <v>314</v>
      </c>
    </row>
    <row r="35" spans="1:2" x14ac:dyDescent="0.3">
      <c r="A35" t="s">
        <v>261</v>
      </c>
      <c r="B35" s="43" t="s">
        <v>315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Key</vt:lpstr>
      <vt:lpstr>Collect</vt:lpstr>
      <vt:lpstr>Ref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Lazare, Jovian</dc:creator>
  <cp:lastModifiedBy>Stevens, Caroline</cp:lastModifiedBy>
  <dcterms:created xsi:type="dcterms:W3CDTF">2023-04-28T14:02:53Z</dcterms:created>
  <dcterms:modified xsi:type="dcterms:W3CDTF">2025-05-06T23:58:37Z</dcterms:modified>
</cp:coreProperties>
</file>